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kott_000\Documents\donkeylift\"/>
    </mc:Choice>
  </mc:AlternateContent>
  <bookViews>
    <workbookView xWindow="480" yWindow="330" windowWidth="6255" windowHeight="1635" tabRatio="799" firstSheet="2" activeTab="5"/>
  </bookViews>
  <sheets>
    <sheet name="Schema" sheetId="115" r:id="rId1"/>
    <sheet name="customers.rows" sheetId="125" r:id="rId2"/>
    <sheet name="products.rows" sheetId="122" r:id="rId3"/>
    <sheet name="orders.rows" sheetId="126" r:id="rId4"/>
    <sheet name="products_in_orders.rows" sheetId="133" r:id="rId5"/>
    <sheet name="PivotCustomerSales" sheetId="135" r:id="rId6"/>
    <sheet name="PivotProductSales" sheetId="134" r:id="rId7"/>
  </sheets>
  <functionGroups builtInGroupCount="18"/>
  <definedNames>
    <definedName name="_xlnm._FilterDatabase" localSheetId="2" hidden="1">products.rows!$C$1:$K$1</definedName>
    <definedName name="_xlnm._FilterDatabase" localSheetId="4" hidden="1">products_in_orders.rows!$C$1:$N$2906</definedName>
    <definedName name="Column__id" localSheetId="1">customers.rows!$E$1</definedName>
    <definedName name="Column__id" localSheetId="3">orders.rows!$E$1</definedName>
    <definedName name="Column__id" localSheetId="2">products.rows!$E$1</definedName>
    <definedName name="Column__id" localSheetId="4">products_in_orders.rows!$E$1</definedName>
    <definedName name="Column__modified_by" localSheetId="1">customers.rows!$H$1</definedName>
    <definedName name="Column__modified_on" localSheetId="1">customers.rows!$I$1</definedName>
    <definedName name="Column__modified_on" localSheetId="3">orders.rows!$J$1</definedName>
    <definedName name="Column__modified_on" localSheetId="2">products.rows!$K$1</definedName>
    <definedName name="Column__modified_on" localSheetId="4">products_in_orders.rows!$K$1</definedName>
    <definedName name="Column__ref" localSheetId="1">customers.rows!$D$1</definedName>
    <definedName name="Column__ref" localSheetId="3">orders.rows!$D$1</definedName>
    <definedName name="Column__ref" localSheetId="2">products.rows!$D$1</definedName>
    <definedName name="Column__ref" localSheetId="4">products_in_orders.rows!$D$1</definedName>
    <definedName name="Column__status" localSheetId="1">customers.rows!$C$1</definedName>
    <definedName name="Column__status" localSheetId="3">orders.rows!$C$1</definedName>
    <definedName name="Column__status" localSheetId="2">products.rows!$C$1</definedName>
    <definedName name="Column__status" localSheetId="4">products_in_orders.rows!$C$1</definedName>
    <definedName name="id" localSheetId="2">products.rows!$E$1</definedName>
    <definedName name="modified_by" localSheetId="2">products.rows!$H$1</definedName>
    <definedName name="modified_on" localSheetId="2">products.rows!$I$1</definedName>
    <definedName name="Options__customer_id" localSheetId="3">customers.rows!$D$2:INDEX(customers.rows!$D:$D,COUNTA(customers.rows!$D:$D))</definedName>
    <definedName name="Options__order_id" localSheetId="4">orders.rows!$D$2:INDEX(orders.rows!$D:$D,COUNTA(orders.rows!$D:$D))</definedName>
    <definedName name="Options__product_id" localSheetId="4">products.rows!$D$2:INDEX(products.rows!$D:$D,COUNTA(products.rows!$D:$D))</definedName>
    <definedName name="ref" localSheetId="2">products.rows!$D$1</definedName>
    <definedName name="status" localSheetId="2">products.rows!$C$1</definedName>
  </definedNames>
  <calcPr calcId="152511"/>
  <pivotCaches>
    <pivotCache cacheId="37" r:id="rId8"/>
    <pivotCache cacheId="61" r:id="rId9"/>
  </pivotCaches>
</workbook>
</file>

<file path=xl/calcChain.xml><?xml version="1.0" encoding="utf-8"?>
<calcChain xmlns="http://schemas.openxmlformats.org/spreadsheetml/2006/main">
  <c r="C2034" i="133" l="1"/>
  <c r="M2906" i="133"/>
  <c r="M2905" i="133"/>
  <c r="M2904" i="133"/>
  <c r="M2903" i="133"/>
  <c r="M2902" i="133"/>
  <c r="M2901" i="133"/>
  <c r="M2900" i="133"/>
  <c r="M2899" i="133"/>
  <c r="M2898" i="133"/>
  <c r="M2897" i="133"/>
  <c r="M2896" i="133"/>
  <c r="M2895" i="133"/>
  <c r="M2894" i="133"/>
  <c r="M2893" i="133"/>
  <c r="M2892" i="133"/>
  <c r="M2891" i="133"/>
  <c r="M2890" i="133"/>
  <c r="M2889" i="133"/>
  <c r="M2888" i="133"/>
  <c r="M2887" i="133"/>
  <c r="M2886" i="133"/>
  <c r="M2885" i="133"/>
  <c r="M2884" i="133"/>
  <c r="M2883" i="133"/>
  <c r="M2882" i="133"/>
  <c r="M2881" i="133"/>
  <c r="M2880" i="133"/>
  <c r="M2879" i="133"/>
  <c r="M2878" i="133"/>
  <c r="M2877" i="133"/>
  <c r="M2876" i="133"/>
  <c r="M2875" i="133"/>
  <c r="M2874" i="133"/>
  <c r="M2873" i="133"/>
  <c r="M2872" i="133"/>
  <c r="M2871" i="133"/>
  <c r="M2870" i="133"/>
  <c r="M2869" i="133"/>
  <c r="M2868" i="133"/>
  <c r="M2867" i="133"/>
  <c r="M2866" i="133"/>
  <c r="M2865" i="133"/>
  <c r="M2864" i="133"/>
  <c r="M2863" i="133"/>
  <c r="M2862" i="133"/>
  <c r="M2861" i="133"/>
  <c r="M2860" i="133"/>
  <c r="M2859" i="133"/>
  <c r="M2858" i="133"/>
  <c r="M2857" i="133"/>
  <c r="M2856" i="133"/>
  <c r="M2855" i="133"/>
  <c r="M2854" i="133"/>
  <c r="M2853" i="133"/>
  <c r="M2852" i="133"/>
  <c r="M2851" i="133"/>
  <c r="M2850" i="133"/>
  <c r="M2849" i="133"/>
  <c r="M2848" i="133"/>
  <c r="M2847" i="133"/>
  <c r="M2846" i="133"/>
  <c r="M2845" i="133"/>
  <c r="M2844" i="133"/>
  <c r="M2843" i="133"/>
  <c r="M2842" i="133"/>
  <c r="M2841" i="133"/>
  <c r="M2840" i="133"/>
  <c r="M2839" i="133"/>
  <c r="M2838" i="133"/>
  <c r="M2837" i="133"/>
  <c r="M2836" i="133"/>
  <c r="M2835" i="133"/>
  <c r="M2834" i="133"/>
  <c r="M2833" i="133"/>
  <c r="M2832" i="133"/>
  <c r="M2831" i="133"/>
  <c r="M2830" i="133"/>
  <c r="M2829" i="133"/>
  <c r="M2828" i="133"/>
  <c r="M2827" i="133"/>
  <c r="M2826" i="133"/>
  <c r="M2825" i="133"/>
  <c r="M2824" i="133"/>
  <c r="M2823" i="133"/>
  <c r="M2822" i="133"/>
  <c r="M2821" i="133"/>
  <c r="M2820" i="133"/>
  <c r="M2819" i="133"/>
  <c r="M2818" i="133"/>
  <c r="M2817" i="133"/>
  <c r="M2816" i="133"/>
  <c r="M2815" i="133"/>
  <c r="M2814" i="133"/>
  <c r="M2813" i="133"/>
  <c r="M2812" i="133"/>
  <c r="M2811" i="133"/>
  <c r="M2810" i="133"/>
  <c r="M2809" i="133"/>
  <c r="M2808" i="133"/>
  <c r="M2807" i="133"/>
  <c r="M2806" i="133"/>
  <c r="M2805" i="133"/>
  <c r="M2804" i="133"/>
  <c r="M2803" i="133"/>
  <c r="M2802" i="133"/>
  <c r="M2801" i="133"/>
  <c r="M2800" i="133"/>
  <c r="M2799" i="133"/>
  <c r="M2798" i="133"/>
  <c r="M2797" i="133"/>
  <c r="M2796" i="133"/>
  <c r="M2795" i="133"/>
  <c r="M2794" i="133"/>
  <c r="M2793" i="133"/>
  <c r="M2792" i="133"/>
  <c r="M2791" i="133"/>
  <c r="M2790" i="133"/>
  <c r="M2789" i="133"/>
  <c r="M2788" i="133"/>
  <c r="M2787" i="133"/>
  <c r="M2786" i="133"/>
  <c r="M2785" i="133"/>
  <c r="M2784" i="133"/>
  <c r="M2783" i="133"/>
  <c r="M2782" i="133"/>
  <c r="M2781" i="133"/>
  <c r="M2780" i="133"/>
  <c r="M2779" i="133"/>
  <c r="M2778" i="133"/>
  <c r="M2777" i="133"/>
  <c r="M2776" i="133"/>
  <c r="M2775" i="133"/>
  <c r="M2774" i="133"/>
  <c r="M2773" i="133"/>
  <c r="M2772" i="133"/>
  <c r="M2771" i="133"/>
  <c r="M2770" i="133"/>
  <c r="M2769" i="133"/>
  <c r="M2768" i="133"/>
  <c r="M2767" i="133"/>
  <c r="M2766" i="133"/>
  <c r="M2765" i="133"/>
  <c r="M2764" i="133"/>
  <c r="M2763" i="133"/>
  <c r="M2762" i="133"/>
  <c r="M2761" i="133"/>
  <c r="M2760" i="133"/>
  <c r="M2759" i="133"/>
  <c r="M2758" i="133"/>
  <c r="M2757" i="133"/>
  <c r="M2756" i="133"/>
  <c r="M2755" i="133"/>
  <c r="M2754" i="133"/>
  <c r="M2753" i="133"/>
  <c r="M2752" i="133"/>
  <c r="M2751" i="133"/>
  <c r="M2750" i="133"/>
  <c r="M2749" i="133"/>
  <c r="M2748" i="133"/>
  <c r="M2747" i="133"/>
  <c r="M2746" i="133"/>
  <c r="M2745" i="133"/>
  <c r="M2744" i="133"/>
  <c r="M2743" i="133"/>
  <c r="M2742" i="133"/>
  <c r="M2741" i="133"/>
  <c r="M2740" i="133"/>
  <c r="M2739" i="133"/>
  <c r="M2738" i="133"/>
  <c r="M2737" i="133"/>
  <c r="M2736" i="133"/>
  <c r="M2735" i="133"/>
  <c r="M2734" i="133"/>
  <c r="M2733" i="133"/>
  <c r="M2732" i="133"/>
  <c r="M2731" i="133"/>
  <c r="M2730" i="133"/>
  <c r="M2729" i="133"/>
  <c r="M2728" i="133"/>
  <c r="M2727" i="133"/>
  <c r="M2726" i="133"/>
  <c r="M2725" i="133"/>
  <c r="M2724" i="133"/>
  <c r="M2723" i="133"/>
  <c r="M2722" i="133"/>
  <c r="M2721" i="133"/>
  <c r="M2720" i="133"/>
  <c r="M2719" i="133"/>
  <c r="M2718" i="133"/>
  <c r="M2717" i="133"/>
  <c r="M2716" i="133"/>
  <c r="M2715" i="133"/>
  <c r="M2714" i="133"/>
  <c r="M2713" i="133"/>
  <c r="M2712" i="133"/>
  <c r="M2711" i="133"/>
  <c r="M2710" i="133"/>
  <c r="M2709" i="133"/>
  <c r="M2708" i="133"/>
  <c r="M2707" i="133"/>
  <c r="M2706" i="133"/>
  <c r="M2705" i="133"/>
  <c r="M2704" i="133"/>
  <c r="M2703" i="133"/>
  <c r="M2702" i="133"/>
  <c r="M2701" i="133"/>
  <c r="M2700" i="133"/>
  <c r="M2699" i="133"/>
  <c r="M2698" i="133"/>
  <c r="M2697" i="133"/>
  <c r="M2696" i="133"/>
  <c r="M2695" i="133"/>
  <c r="M2694" i="133"/>
  <c r="M2693" i="133"/>
  <c r="M2692" i="133"/>
  <c r="M2691" i="133"/>
  <c r="M2690" i="133"/>
  <c r="M2689" i="133"/>
  <c r="M2688" i="133"/>
  <c r="M2687" i="133"/>
  <c r="M2686" i="133"/>
  <c r="M2685" i="133"/>
  <c r="M2684" i="133"/>
  <c r="M2683" i="133"/>
  <c r="M2682" i="133"/>
  <c r="M2681" i="133"/>
  <c r="M2680" i="133"/>
  <c r="M2679" i="133"/>
  <c r="M2678" i="133"/>
  <c r="M2677" i="133"/>
  <c r="M2676" i="133"/>
  <c r="M2675" i="133"/>
  <c r="M2674" i="133"/>
  <c r="M2673" i="133"/>
  <c r="M2672" i="133"/>
  <c r="M2671" i="133"/>
  <c r="M2670" i="133"/>
  <c r="M2669" i="133"/>
  <c r="M2668" i="133"/>
  <c r="M2667" i="133"/>
  <c r="M2666" i="133"/>
  <c r="M2665" i="133"/>
  <c r="M2664" i="133"/>
  <c r="M2663" i="133"/>
  <c r="M2662" i="133"/>
  <c r="M2661" i="133"/>
  <c r="M2660" i="133"/>
  <c r="M2659" i="133"/>
  <c r="M2658" i="133"/>
  <c r="M2657" i="133"/>
  <c r="M2656" i="133"/>
  <c r="M2655" i="133"/>
  <c r="M2654" i="133"/>
  <c r="M2653" i="133"/>
  <c r="M2652" i="133"/>
  <c r="M2651" i="133"/>
  <c r="M2650" i="133"/>
  <c r="M2649" i="133"/>
  <c r="M2648" i="133"/>
  <c r="M2647" i="133"/>
  <c r="M2646" i="133"/>
  <c r="M2645" i="133"/>
  <c r="M2644" i="133"/>
  <c r="M2643" i="133"/>
  <c r="M2642" i="133"/>
  <c r="M2641" i="133"/>
  <c r="M2640" i="133"/>
  <c r="M2639" i="133"/>
  <c r="M2638" i="133"/>
  <c r="M2637" i="133"/>
  <c r="M2636" i="133"/>
  <c r="M2635" i="133"/>
  <c r="M2634" i="133"/>
  <c r="M2633" i="133"/>
  <c r="M2632" i="133"/>
  <c r="M2631" i="133"/>
  <c r="M2630" i="133"/>
  <c r="M2629" i="133"/>
  <c r="M2628" i="133"/>
  <c r="M2627" i="133"/>
  <c r="M2626" i="133"/>
  <c r="M2625" i="133"/>
  <c r="M2624" i="133"/>
  <c r="M2623" i="133"/>
  <c r="M2622" i="133"/>
  <c r="M2621" i="133"/>
  <c r="M2620" i="133"/>
  <c r="M2619" i="133"/>
  <c r="M2618" i="133"/>
  <c r="M2617" i="133"/>
  <c r="M2616" i="133"/>
  <c r="M2615" i="133"/>
  <c r="M2614" i="133"/>
  <c r="M2613" i="133"/>
  <c r="M2612" i="133"/>
  <c r="M2611" i="133"/>
  <c r="M2610" i="133"/>
  <c r="M2609" i="133"/>
  <c r="M2608" i="133"/>
  <c r="M2607" i="133"/>
  <c r="M2606" i="133"/>
  <c r="M2605" i="133"/>
  <c r="M2604" i="133"/>
  <c r="M2603" i="133"/>
  <c r="M2602" i="133"/>
  <c r="M2601" i="133"/>
  <c r="M2600" i="133"/>
  <c r="M2599" i="133"/>
  <c r="M2598" i="133"/>
  <c r="M2597" i="133"/>
  <c r="M2596" i="133"/>
  <c r="M2595" i="133"/>
  <c r="M2594" i="133"/>
  <c r="M2593" i="133"/>
  <c r="M2592" i="133"/>
  <c r="M2591" i="133"/>
  <c r="M2590" i="133"/>
  <c r="M2589" i="133"/>
  <c r="M2588" i="133"/>
  <c r="M2587" i="133"/>
  <c r="M2586" i="133"/>
  <c r="M2585" i="133"/>
  <c r="M2584" i="133"/>
  <c r="M2583" i="133"/>
  <c r="M2582" i="133"/>
  <c r="M2581" i="133"/>
  <c r="M2580" i="133"/>
  <c r="M2579" i="133"/>
  <c r="M2578" i="133"/>
  <c r="M2577" i="133"/>
  <c r="M2576" i="133"/>
  <c r="M2575" i="133"/>
  <c r="M2574" i="133"/>
  <c r="M2573" i="133"/>
  <c r="M2572" i="133"/>
  <c r="M2571" i="133"/>
  <c r="M2570" i="133"/>
  <c r="M2569" i="133"/>
  <c r="M2568" i="133"/>
  <c r="M2567" i="133"/>
  <c r="M2566" i="133"/>
  <c r="M2565" i="133"/>
  <c r="M2564" i="133"/>
  <c r="M2563" i="133"/>
  <c r="M2562" i="133"/>
  <c r="M2561" i="133"/>
  <c r="M2560" i="133"/>
  <c r="M2559" i="133"/>
  <c r="M2558" i="133"/>
  <c r="M2557" i="133"/>
  <c r="M2556" i="133"/>
  <c r="M2555" i="133"/>
  <c r="M2554" i="133"/>
  <c r="M2553" i="133"/>
  <c r="M2552" i="133"/>
  <c r="M2551" i="133"/>
  <c r="M2550" i="133"/>
  <c r="M2549" i="133"/>
  <c r="M2548" i="133"/>
  <c r="M2547" i="133"/>
  <c r="M2546" i="133"/>
  <c r="M2545" i="133"/>
  <c r="M2544" i="133"/>
  <c r="M2543" i="133"/>
  <c r="M2542" i="133"/>
  <c r="M2541" i="133"/>
  <c r="M2540" i="133"/>
  <c r="M2539" i="133"/>
  <c r="M2538" i="133"/>
  <c r="M2537" i="133"/>
  <c r="M2536" i="133"/>
  <c r="M2535" i="133"/>
  <c r="M2534" i="133"/>
  <c r="M2533" i="133"/>
  <c r="M2532" i="133"/>
  <c r="M2531" i="133"/>
  <c r="M2530" i="133"/>
  <c r="M2529" i="133"/>
  <c r="M2528" i="133"/>
  <c r="M2527" i="133"/>
  <c r="M2526" i="133"/>
  <c r="M2525" i="133"/>
  <c r="M2524" i="133"/>
  <c r="M2523" i="133"/>
  <c r="M2522" i="133"/>
  <c r="M2521" i="133"/>
  <c r="M2520" i="133"/>
  <c r="M2519" i="133"/>
  <c r="M2518" i="133"/>
  <c r="M2517" i="133"/>
  <c r="M2516" i="133"/>
  <c r="M2515" i="133"/>
  <c r="M2514" i="133"/>
  <c r="M2513" i="133"/>
  <c r="M2512" i="133"/>
  <c r="M2511" i="133"/>
  <c r="M2510" i="133"/>
  <c r="M2509" i="133"/>
  <c r="M2508" i="133"/>
  <c r="M2507" i="133"/>
  <c r="M2506" i="133"/>
  <c r="M2505" i="133"/>
  <c r="M2504" i="133"/>
  <c r="M2503" i="133"/>
  <c r="M2502" i="133"/>
  <c r="M2501" i="133"/>
  <c r="M2500" i="133"/>
  <c r="M2499" i="133"/>
  <c r="M2498" i="133"/>
  <c r="M2497" i="133"/>
  <c r="M2496" i="133"/>
  <c r="M2495" i="133"/>
  <c r="M2494" i="133"/>
  <c r="M2493" i="133"/>
  <c r="M2492" i="133"/>
  <c r="M2491" i="133"/>
  <c r="M2490" i="133"/>
  <c r="M2489" i="133"/>
  <c r="M2488" i="133"/>
  <c r="M2487" i="133"/>
  <c r="M2486" i="133"/>
  <c r="M2485" i="133"/>
  <c r="M2484" i="133"/>
  <c r="M2483" i="133"/>
  <c r="M2482" i="133"/>
  <c r="M2481" i="133"/>
  <c r="M2480" i="133"/>
  <c r="M2479" i="133"/>
  <c r="M2478" i="133"/>
  <c r="M2477" i="133"/>
  <c r="M2476" i="133"/>
  <c r="M2475" i="133"/>
  <c r="M2474" i="133"/>
  <c r="M2473" i="133"/>
  <c r="M2472" i="133"/>
  <c r="M2471" i="133"/>
  <c r="M2470" i="133"/>
  <c r="M2469" i="133"/>
  <c r="M2468" i="133"/>
  <c r="M2467" i="133"/>
  <c r="M2466" i="133"/>
  <c r="M2465" i="133"/>
  <c r="M2464" i="133"/>
  <c r="M2463" i="133"/>
  <c r="M2462" i="133"/>
  <c r="M2461" i="133"/>
  <c r="M2460" i="133"/>
  <c r="M2459" i="133"/>
  <c r="M2458" i="133"/>
  <c r="M2457" i="133"/>
  <c r="M2456" i="133"/>
  <c r="M2455" i="133"/>
  <c r="M2454" i="133"/>
  <c r="M2453" i="133"/>
  <c r="M2452" i="133"/>
  <c r="M2451" i="133"/>
  <c r="M2450" i="133"/>
  <c r="M2449" i="133"/>
  <c r="M2448" i="133"/>
  <c r="M2447" i="133"/>
  <c r="M2446" i="133"/>
  <c r="M2445" i="133"/>
  <c r="M2444" i="133"/>
  <c r="M2443" i="133"/>
  <c r="M2442" i="133"/>
  <c r="M2441" i="133"/>
  <c r="M2440" i="133"/>
  <c r="M2439" i="133"/>
  <c r="M2438" i="133"/>
  <c r="M2437" i="133"/>
  <c r="M2436" i="133"/>
  <c r="M2435" i="133"/>
  <c r="M2434" i="133"/>
  <c r="M2433" i="133"/>
  <c r="M2432" i="133"/>
  <c r="M2431" i="133"/>
  <c r="M2430" i="133"/>
  <c r="M2429" i="133"/>
  <c r="M2428" i="133"/>
  <c r="M2427" i="133"/>
  <c r="M2426" i="133"/>
  <c r="M2425" i="133"/>
  <c r="M2424" i="133"/>
  <c r="M2423" i="133"/>
  <c r="M2422" i="133"/>
  <c r="M2421" i="133"/>
  <c r="M2420" i="133"/>
  <c r="M2419" i="133"/>
  <c r="M2418" i="133"/>
  <c r="M2417" i="133"/>
  <c r="M2416" i="133"/>
  <c r="M2415" i="133"/>
  <c r="M2414" i="133"/>
  <c r="M2413" i="133"/>
  <c r="M2412" i="133"/>
  <c r="M2411" i="133"/>
  <c r="M2410" i="133"/>
  <c r="M2409" i="133"/>
  <c r="M2408" i="133"/>
  <c r="M2407" i="133"/>
  <c r="M2406" i="133"/>
  <c r="M2405" i="133"/>
  <c r="M2404" i="133"/>
  <c r="M2403" i="133"/>
  <c r="M2402" i="133"/>
  <c r="M2401" i="133"/>
  <c r="M2400" i="133"/>
  <c r="M2399" i="133"/>
  <c r="M2398" i="133"/>
  <c r="M2397" i="133"/>
  <c r="M2396" i="133"/>
  <c r="M2395" i="133"/>
  <c r="M2394" i="133"/>
  <c r="M2393" i="133"/>
  <c r="M2392" i="133"/>
  <c r="M2391" i="133"/>
  <c r="M2390" i="133"/>
  <c r="M2389" i="133"/>
  <c r="M2388" i="133"/>
  <c r="M2387" i="133"/>
  <c r="M2386" i="133"/>
  <c r="M2385" i="133"/>
  <c r="M2384" i="133"/>
  <c r="M2383" i="133"/>
  <c r="M2382" i="133"/>
  <c r="M2381" i="133"/>
  <c r="M2380" i="133"/>
  <c r="M2379" i="133"/>
  <c r="M2378" i="133"/>
  <c r="M2377" i="133"/>
  <c r="M2376" i="133"/>
  <c r="M2375" i="133"/>
  <c r="M2374" i="133"/>
  <c r="M2373" i="133"/>
  <c r="M2372" i="133"/>
  <c r="M2371" i="133"/>
  <c r="M2370" i="133"/>
  <c r="M2369" i="133"/>
  <c r="M2368" i="133"/>
  <c r="M2367" i="133"/>
  <c r="M2366" i="133"/>
  <c r="M2365" i="133"/>
  <c r="M2364" i="133"/>
  <c r="M2363" i="133"/>
  <c r="M2362" i="133"/>
  <c r="M2361" i="133"/>
  <c r="M2360" i="133"/>
  <c r="M2359" i="133"/>
  <c r="M2358" i="133"/>
  <c r="M2357" i="133"/>
  <c r="M2356" i="133"/>
  <c r="M2355" i="133"/>
  <c r="M2354" i="133"/>
  <c r="M2353" i="133"/>
  <c r="M2352" i="133"/>
  <c r="M2351" i="133"/>
  <c r="M2350" i="133"/>
  <c r="M2349" i="133"/>
  <c r="M2348" i="133"/>
  <c r="M2347" i="133"/>
  <c r="M2346" i="133"/>
  <c r="M2345" i="133"/>
  <c r="M2344" i="133"/>
  <c r="M2343" i="133"/>
  <c r="M2342" i="133"/>
  <c r="M2341" i="133"/>
  <c r="M2340" i="133"/>
  <c r="M2339" i="133"/>
  <c r="M2338" i="133"/>
  <c r="M2337" i="133"/>
  <c r="M2336" i="133"/>
  <c r="M2335" i="133"/>
  <c r="M2334" i="133"/>
  <c r="M2333" i="133"/>
  <c r="M2332" i="133"/>
  <c r="M2331" i="133"/>
  <c r="M2330" i="133"/>
  <c r="M2329" i="133"/>
  <c r="M2328" i="133"/>
  <c r="M2327" i="133"/>
  <c r="M2326" i="133"/>
  <c r="M2325" i="133"/>
  <c r="M2324" i="133"/>
  <c r="M2323" i="133"/>
  <c r="M2322" i="133"/>
  <c r="M2321" i="133"/>
  <c r="M2320" i="133"/>
  <c r="M2319" i="133"/>
  <c r="M2318" i="133"/>
  <c r="M2317" i="133"/>
  <c r="M2316" i="133"/>
  <c r="M2315" i="133"/>
  <c r="M2314" i="133"/>
  <c r="M2313" i="133"/>
  <c r="M2312" i="133"/>
  <c r="M2311" i="133"/>
  <c r="M2310" i="133"/>
  <c r="M2309" i="133"/>
  <c r="M2308" i="133"/>
  <c r="M2307" i="133"/>
  <c r="M2306" i="133"/>
  <c r="M2305" i="133"/>
  <c r="M2304" i="133"/>
  <c r="M2303" i="133"/>
  <c r="M2302" i="133"/>
  <c r="M2301" i="133"/>
  <c r="M2300" i="133"/>
  <c r="M2299" i="133"/>
  <c r="M2298" i="133"/>
  <c r="M2297" i="133"/>
  <c r="M2296" i="133"/>
  <c r="M2295" i="133"/>
  <c r="M2294" i="133"/>
  <c r="M2293" i="133"/>
  <c r="M2292" i="133"/>
  <c r="M2291" i="133"/>
  <c r="M2290" i="133"/>
  <c r="M2289" i="133"/>
  <c r="M2288" i="133"/>
  <c r="M2287" i="133"/>
  <c r="M2286" i="133"/>
  <c r="M2285" i="133"/>
  <c r="M2284" i="133"/>
  <c r="M2283" i="133"/>
  <c r="M2282" i="133"/>
  <c r="M2281" i="133"/>
  <c r="M2280" i="133"/>
  <c r="M2279" i="133"/>
  <c r="M2278" i="133"/>
  <c r="M2277" i="133"/>
  <c r="M2276" i="133"/>
  <c r="M2275" i="133"/>
  <c r="M2274" i="133"/>
  <c r="M2273" i="133"/>
  <c r="M2272" i="133"/>
  <c r="M2271" i="133"/>
  <c r="M2270" i="133"/>
  <c r="M2269" i="133"/>
  <c r="M2268" i="133"/>
  <c r="M2267" i="133"/>
  <c r="M2266" i="133"/>
  <c r="M2265" i="133"/>
  <c r="M2264" i="133"/>
  <c r="M2263" i="133"/>
  <c r="M2262" i="133"/>
  <c r="M2261" i="133"/>
  <c r="M2260" i="133"/>
  <c r="M2259" i="133"/>
  <c r="M2258" i="133"/>
  <c r="M2257" i="133"/>
  <c r="M2256" i="133"/>
  <c r="M2255" i="133"/>
  <c r="M2254" i="133"/>
  <c r="M2253" i="133"/>
  <c r="M2252" i="133"/>
  <c r="M2251" i="133"/>
  <c r="M2250" i="133"/>
  <c r="M2249" i="133"/>
  <c r="M2248" i="133"/>
  <c r="M2247" i="133"/>
  <c r="M2246" i="133"/>
  <c r="M2245" i="133"/>
  <c r="M2244" i="133"/>
  <c r="M2243" i="133"/>
  <c r="M2242" i="133"/>
  <c r="M2241" i="133"/>
  <c r="M2240" i="133"/>
  <c r="M2239" i="133"/>
  <c r="M2238" i="133"/>
  <c r="M2237" i="133"/>
  <c r="M2236" i="133"/>
  <c r="M2235" i="133"/>
  <c r="M2234" i="133"/>
  <c r="M2233" i="133"/>
  <c r="M2232" i="133"/>
  <c r="M2231" i="133"/>
  <c r="M2230" i="133"/>
  <c r="M2229" i="133"/>
  <c r="M2228" i="133"/>
  <c r="M2227" i="133"/>
  <c r="M2226" i="133"/>
  <c r="M2225" i="133"/>
  <c r="M2224" i="133"/>
  <c r="M2223" i="133"/>
  <c r="M2222" i="133"/>
  <c r="M2221" i="133"/>
  <c r="M2220" i="133"/>
  <c r="M2219" i="133"/>
  <c r="M2218" i="133"/>
  <c r="M2217" i="133"/>
  <c r="M2216" i="133"/>
  <c r="M2215" i="133"/>
  <c r="M2214" i="133"/>
  <c r="M2213" i="133"/>
  <c r="M2212" i="133"/>
  <c r="M2211" i="133"/>
  <c r="M2210" i="133"/>
  <c r="M2209" i="133"/>
  <c r="M2208" i="133"/>
  <c r="M2207" i="133"/>
  <c r="M2206" i="133"/>
  <c r="M2205" i="133"/>
  <c r="M2204" i="133"/>
  <c r="M2203" i="133"/>
  <c r="M2202" i="133"/>
  <c r="M2201" i="133"/>
  <c r="M2200" i="133"/>
  <c r="M2199" i="133"/>
  <c r="M2198" i="133"/>
  <c r="M2197" i="133"/>
  <c r="M2196" i="133"/>
  <c r="M2195" i="133"/>
  <c r="M2194" i="133"/>
  <c r="M2193" i="133"/>
  <c r="M2192" i="133"/>
  <c r="M2191" i="133"/>
  <c r="M2190" i="133"/>
  <c r="M2189" i="133"/>
  <c r="M2188" i="133"/>
  <c r="M2187" i="133"/>
  <c r="M2186" i="133"/>
  <c r="M2185" i="133"/>
  <c r="M2184" i="133"/>
  <c r="M2183" i="133"/>
  <c r="M2182" i="133"/>
  <c r="M2181" i="133"/>
  <c r="M2180" i="133"/>
  <c r="M2179" i="133"/>
  <c r="M2178" i="133"/>
  <c r="M2177" i="133"/>
  <c r="M2176" i="133"/>
  <c r="M2175" i="133"/>
  <c r="M2174" i="133"/>
  <c r="M2173" i="133"/>
  <c r="M2172" i="133"/>
  <c r="M2171" i="133"/>
  <c r="M2170" i="133"/>
  <c r="M2169" i="133"/>
  <c r="M2168" i="133"/>
  <c r="M2167" i="133"/>
  <c r="M2166" i="133"/>
  <c r="M2165" i="133"/>
  <c r="M2164" i="133"/>
  <c r="M2163" i="133"/>
  <c r="M2162" i="133"/>
  <c r="M2161" i="133"/>
  <c r="M2160" i="133"/>
  <c r="M2159" i="133"/>
  <c r="M2158" i="133"/>
  <c r="M2157" i="133"/>
  <c r="M2156" i="133"/>
  <c r="M2155" i="133"/>
  <c r="M2154" i="133"/>
  <c r="M2153" i="133"/>
  <c r="M2152" i="133"/>
  <c r="M2151" i="133"/>
  <c r="M2150" i="133"/>
  <c r="M2149" i="133"/>
  <c r="M2148" i="133"/>
  <c r="M2147" i="133"/>
  <c r="M2146" i="133"/>
  <c r="M2145" i="133"/>
  <c r="M2144" i="133"/>
  <c r="M2143" i="133"/>
  <c r="M2142" i="133"/>
  <c r="M2141" i="133"/>
  <c r="M2140" i="133"/>
  <c r="M2139" i="133"/>
  <c r="M2138" i="133"/>
  <c r="M2137" i="133"/>
  <c r="M2136" i="133"/>
  <c r="M2135" i="133"/>
  <c r="M2134" i="133"/>
  <c r="M2133" i="133"/>
  <c r="M2132" i="133"/>
  <c r="M2131" i="133"/>
  <c r="M2130" i="133"/>
  <c r="M2129" i="133"/>
  <c r="M2128" i="133"/>
  <c r="M2127" i="133"/>
  <c r="M2126" i="133"/>
  <c r="M2125" i="133"/>
  <c r="M2124" i="133"/>
  <c r="M2123" i="133"/>
  <c r="M2122" i="133"/>
  <c r="M2121" i="133"/>
  <c r="M2120" i="133"/>
  <c r="M2119" i="133"/>
  <c r="M2118" i="133"/>
  <c r="M2117" i="133"/>
  <c r="M2116" i="133"/>
  <c r="M2115" i="133"/>
  <c r="M2114" i="133"/>
  <c r="M2113" i="133"/>
  <c r="M2112" i="133"/>
  <c r="M2111" i="133"/>
  <c r="M2110" i="133"/>
  <c r="M2109" i="133"/>
  <c r="M2108" i="133"/>
  <c r="M2107" i="133"/>
  <c r="M2106" i="133"/>
  <c r="M2105" i="133"/>
  <c r="M2104" i="133"/>
  <c r="M2103" i="133"/>
  <c r="M2102" i="133"/>
  <c r="M2101" i="133"/>
  <c r="M2100" i="133"/>
  <c r="M2099" i="133"/>
  <c r="M2098" i="133"/>
  <c r="M2097" i="133"/>
  <c r="M2096" i="133"/>
  <c r="M2095" i="133"/>
  <c r="M2094" i="133"/>
  <c r="M2093" i="133"/>
  <c r="M2092" i="133"/>
  <c r="M2091" i="133"/>
  <c r="M2090" i="133"/>
  <c r="M2089" i="133"/>
  <c r="M2088" i="133"/>
  <c r="M2087" i="133"/>
  <c r="M2086" i="133"/>
  <c r="M2085" i="133"/>
  <c r="M2084" i="133"/>
  <c r="M2083" i="133"/>
  <c r="M2082" i="133"/>
  <c r="M2081" i="133"/>
  <c r="M2080" i="133"/>
  <c r="M2079" i="133"/>
  <c r="M2078" i="133"/>
  <c r="M2077" i="133"/>
  <c r="M2076" i="133"/>
  <c r="M2075" i="133"/>
  <c r="M2074" i="133"/>
  <c r="M2073" i="133"/>
  <c r="M2072" i="133"/>
  <c r="M2071" i="133"/>
  <c r="M2070" i="133"/>
  <c r="M2069" i="133"/>
  <c r="M2068" i="133"/>
  <c r="M2067" i="133"/>
  <c r="M2066" i="133"/>
  <c r="M2065" i="133"/>
  <c r="M2064" i="133"/>
  <c r="M2063" i="133"/>
  <c r="M2062" i="133"/>
  <c r="M2061" i="133"/>
  <c r="M2060" i="133"/>
  <c r="M2059" i="133"/>
  <c r="M2058" i="133"/>
  <c r="M2057" i="133"/>
  <c r="M2056" i="133"/>
  <c r="M2055" i="133"/>
  <c r="M2054" i="133"/>
  <c r="M2053" i="133"/>
  <c r="M2052" i="133"/>
  <c r="M2051" i="133"/>
  <c r="M2050" i="133"/>
  <c r="M2049" i="133"/>
  <c r="M2048" i="133"/>
  <c r="M2047" i="133"/>
  <c r="M2046" i="133"/>
  <c r="M2045" i="133"/>
  <c r="M2044" i="133"/>
  <c r="M2043" i="133"/>
  <c r="M2042" i="133"/>
  <c r="M2041" i="133"/>
  <c r="M2040" i="133"/>
  <c r="M2039" i="133"/>
  <c r="M2038" i="133"/>
  <c r="M2037" i="133"/>
  <c r="M2036" i="133"/>
  <c r="M2035" i="133"/>
  <c r="M2034" i="133"/>
  <c r="M2032" i="133"/>
  <c r="M2028" i="133"/>
  <c r="M2024" i="133"/>
  <c r="M2020" i="133"/>
  <c r="M2016" i="133"/>
  <c r="M2012" i="133"/>
  <c r="M2008" i="133"/>
  <c r="M2004" i="133"/>
  <c r="M1001" i="133"/>
  <c r="M1000" i="133"/>
  <c r="M999" i="133"/>
  <c r="M998" i="133"/>
  <c r="M997" i="133"/>
  <c r="M996" i="133"/>
  <c r="M995" i="133"/>
  <c r="M994" i="133"/>
  <c r="M993" i="133"/>
  <c r="M992" i="133"/>
  <c r="M991" i="133"/>
  <c r="M990" i="133"/>
  <c r="M989" i="133"/>
  <c r="M988" i="133"/>
  <c r="M987" i="133"/>
  <c r="M986" i="133"/>
  <c r="M985" i="133"/>
  <c r="M984" i="133"/>
  <c r="M983" i="133"/>
  <c r="M982" i="133"/>
  <c r="M981" i="133"/>
  <c r="M980" i="133"/>
  <c r="M979" i="133"/>
  <c r="M978" i="133"/>
  <c r="M977" i="133"/>
  <c r="M976" i="133"/>
  <c r="M975" i="133"/>
  <c r="M974" i="133"/>
  <c r="M973" i="133"/>
  <c r="M972" i="133"/>
  <c r="M971" i="133"/>
  <c r="M970" i="133"/>
  <c r="M969" i="133"/>
  <c r="M968" i="133"/>
  <c r="M967" i="133"/>
  <c r="M966" i="133"/>
  <c r="M965" i="133"/>
  <c r="M964" i="133"/>
  <c r="M963" i="133"/>
  <c r="M962" i="133"/>
  <c r="M961" i="133"/>
  <c r="M960" i="133"/>
  <c r="M959" i="133"/>
  <c r="M958" i="133"/>
  <c r="M957" i="133"/>
  <c r="M956" i="133"/>
  <c r="M955" i="133"/>
  <c r="M954" i="133"/>
  <c r="M953" i="133"/>
  <c r="M952" i="133"/>
  <c r="M951" i="133"/>
  <c r="M950" i="133"/>
  <c r="M949" i="133"/>
  <c r="M948" i="133"/>
  <c r="M947" i="133"/>
  <c r="M946" i="133"/>
  <c r="M945" i="133"/>
  <c r="M944" i="133"/>
  <c r="M943" i="133"/>
  <c r="M942" i="133"/>
  <c r="M941" i="133"/>
  <c r="M940" i="133"/>
  <c r="M939" i="133"/>
  <c r="M938" i="133"/>
  <c r="M937" i="133"/>
  <c r="M936" i="133"/>
  <c r="M935" i="133"/>
  <c r="M934" i="133"/>
  <c r="M933" i="133"/>
  <c r="M932" i="133"/>
  <c r="M931" i="133"/>
  <c r="M930" i="133"/>
  <c r="M929" i="133"/>
  <c r="M928" i="133"/>
  <c r="M927" i="133"/>
  <c r="M926" i="133"/>
  <c r="M925" i="133"/>
  <c r="M924" i="133"/>
  <c r="M923" i="133"/>
  <c r="M922" i="133"/>
  <c r="M921" i="133"/>
  <c r="M920" i="133"/>
  <c r="M919" i="133"/>
  <c r="M918" i="133"/>
  <c r="M917" i="133"/>
  <c r="M916" i="133"/>
  <c r="M915" i="133"/>
  <c r="M914" i="133"/>
  <c r="M913" i="133"/>
  <c r="M912" i="133"/>
  <c r="M911" i="133"/>
  <c r="M910" i="133"/>
  <c r="M909" i="133"/>
  <c r="M908" i="133"/>
  <c r="M907" i="133"/>
  <c r="M906" i="133"/>
  <c r="M905" i="133"/>
  <c r="M904" i="133"/>
  <c r="M903" i="133"/>
  <c r="M902" i="133"/>
  <c r="M901" i="133"/>
  <c r="M900" i="133"/>
  <c r="M899" i="133"/>
  <c r="M898" i="133"/>
  <c r="M897" i="133"/>
  <c r="M896" i="133"/>
  <c r="M895" i="133"/>
  <c r="M894" i="133"/>
  <c r="M893" i="133"/>
  <c r="M892" i="133"/>
  <c r="M891" i="133"/>
  <c r="M890" i="133"/>
  <c r="M889" i="133"/>
  <c r="M888" i="133"/>
  <c r="M887" i="133"/>
  <c r="M886" i="133"/>
  <c r="M885" i="133"/>
  <c r="M884" i="133"/>
  <c r="M883" i="133"/>
  <c r="M882" i="133"/>
  <c r="M881" i="133"/>
  <c r="M880" i="133"/>
  <c r="M879" i="133"/>
  <c r="M878" i="133"/>
  <c r="M877" i="133"/>
  <c r="M876" i="133"/>
  <c r="M875" i="133"/>
  <c r="M874" i="133"/>
  <c r="M873" i="133"/>
  <c r="M872" i="133"/>
  <c r="M871" i="133"/>
  <c r="M870" i="133"/>
  <c r="M869" i="133"/>
  <c r="M868" i="133"/>
  <c r="M867" i="133"/>
  <c r="M866" i="133"/>
  <c r="M865" i="133"/>
  <c r="M864" i="133"/>
  <c r="M863" i="133"/>
  <c r="M862" i="133"/>
  <c r="M861" i="133"/>
  <c r="M860" i="133"/>
  <c r="M859" i="133"/>
  <c r="M858" i="133"/>
  <c r="M857" i="133"/>
  <c r="M856" i="133"/>
  <c r="M855" i="133"/>
  <c r="M854" i="133"/>
  <c r="M853" i="133"/>
  <c r="M852" i="133"/>
  <c r="M851" i="133"/>
  <c r="M850" i="133"/>
  <c r="M849" i="133"/>
  <c r="M848" i="133"/>
  <c r="M847" i="133"/>
  <c r="M846" i="133"/>
  <c r="M845" i="133"/>
  <c r="M844" i="133"/>
  <c r="M843" i="133"/>
  <c r="M842" i="133"/>
  <c r="M841" i="133"/>
  <c r="M840" i="133"/>
  <c r="M839" i="133"/>
  <c r="M838" i="133"/>
  <c r="M837" i="133"/>
  <c r="M836" i="133"/>
  <c r="M835" i="133"/>
  <c r="M834" i="133"/>
  <c r="M833" i="133"/>
  <c r="M832" i="133"/>
  <c r="M831" i="133"/>
  <c r="M830" i="133"/>
  <c r="M829" i="133"/>
  <c r="M828" i="133"/>
  <c r="M827" i="133"/>
  <c r="M826" i="133"/>
  <c r="M825" i="133"/>
  <c r="M824" i="133"/>
  <c r="M823" i="133"/>
  <c r="M822" i="133"/>
  <c r="M821" i="133"/>
  <c r="M820" i="133"/>
  <c r="M819" i="133"/>
  <c r="M818" i="133"/>
  <c r="M817" i="133"/>
  <c r="M816" i="133"/>
  <c r="M815" i="133"/>
  <c r="M814" i="133"/>
  <c r="M813" i="133"/>
  <c r="M812" i="133"/>
  <c r="M811" i="133"/>
  <c r="M810" i="133"/>
  <c r="M809" i="133"/>
  <c r="M808" i="133"/>
  <c r="M807" i="133"/>
  <c r="M806" i="133"/>
  <c r="M805" i="133"/>
  <c r="M804" i="133"/>
  <c r="M803" i="133"/>
  <c r="M802" i="133"/>
  <c r="M801" i="133"/>
  <c r="M800" i="133"/>
  <c r="M799" i="133"/>
  <c r="M798" i="133"/>
  <c r="M797" i="133"/>
  <c r="M796" i="133"/>
  <c r="M795" i="133"/>
  <c r="M794" i="133"/>
  <c r="M793" i="133"/>
  <c r="M792" i="133"/>
  <c r="M791" i="133"/>
  <c r="M790" i="133"/>
  <c r="M789" i="133"/>
  <c r="M788" i="133"/>
  <c r="M787" i="133"/>
  <c r="M786" i="133"/>
  <c r="M785" i="133"/>
  <c r="M784" i="133"/>
  <c r="M783" i="133"/>
  <c r="M782" i="133"/>
  <c r="M781" i="133"/>
  <c r="M780" i="133"/>
  <c r="M779" i="133"/>
  <c r="M778" i="133"/>
  <c r="M777" i="133"/>
  <c r="M776" i="133"/>
  <c r="M775" i="133"/>
  <c r="M774" i="133"/>
  <c r="M773" i="133"/>
  <c r="M772" i="133"/>
  <c r="M771" i="133"/>
  <c r="M770" i="133"/>
  <c r="M769" i="133"/>
  <c r="M768" i="133"/>
  <c r="M767" i="133"/>
  <c r="M766" i="133"/>
  <c r="M765" i="133"/>
  <c r="M764" i="133"/>
  <c r="M763" i="133"/>
  <c r="M762" i="133"/>
  <c r="M761" i="133"/>
  <c r="M760" i="133"/>
  <c r="M759" i="133"/>
  <c r="M758" i="133"/>
  <c r="M757" i="133"/>
  <c r="M756" i="133"/>
  <c r="M755" i="133"/>
  <c r="M754" i="133"/>
  <c r="M753" i="133"/>
  <c r="M752" i="133"/>
  <c r="M751" i="133"/>
  <c r="M750" i="133"/>
  <c r="M749" i="133"/>
  <c r="M748" i="133"/>
  <c r="M747" i="133"/>
  <c r="M746" i="133"/>
  <c r="M745" i="133"/>
  <c r="M744" i="133"/>
  <c r="M743" i="133"/>
  <c r="M742" i="133"/>
  <c r="M741" i="133"/>
  <c r="M740" i="133"/>
  <c r="M739" i="133"/>
  <c r="M738" i="133"/>
  <c r="M737" i="133"/>
  <c r="M736" i="133"/>
  <c r="M735" i="133"/>
  <c r="M734" i="133"/>
  <c r="M733" i="133"/>
  <c r="M732" i="133"/>
  <c r="M731" i="133"/>
  <c r="M730" i="133"/>
  <c r="M729" i="133"/>
  <c r="M728" i="133"/>
  <c r="M727" i="133"/>
  <c r="M726" i="133"/>
  <c r="M725" i="133"/>
  <c r="M724" i="133"/>
  <c r="M723" i="133"/>
  <c r="M722" i="133"/>
  <c r="M721" i="133"/>
  <c r="M720" i="133"/>
  <c r="M719" i="133"/>
  <c r="M718" i="133"/>
  <c r="M717" i="133"/>
  <c r="M716" i="133"/>
  <c r="M715" i="133"/>
  <c r="M714" i="133"/>
  <c r="M713" i="133"/>
  <c r="M712" i="133"/>
  <c r="M711" i="133"/>
  <c r="M710" i="133"/>
  <c r="M709" i="133"/>
  <c r="M708" i="133"/>
  <c r="M707" i="133"/>
  <c r="M706" i="133"/>
  <c r="M705" i="133"/>
  <c r="M704" i="133"/>
  <c r="M703" i="133"/>
  <c r="M702" i="133"/>
  <c r="M701" i="133"/>
  <c r="M700" i="133"/>
  <c r="M699" i="133"/>
  <c r="M698" i="133"/>
  <c r="M697" i="133"/>
  <c r="M696" i="133"/>
  <c r="M695" i="133"/>
  <c r="M694" i="133"/>
  <c r="M693" i="133"/>
  <c r="M692" i="133"/>
  <c r="M691" i="133"/>
  <c r="M690" i="133"/>
  <c r="M689" i="133"/>
  <c r="M688" i="133"/>
  <c r="M687" i="133"/>
  <c r="M686" i="133"/>
  <c r="M685" i="133"/>
  <c r="M684" i="133"/>
  <c r="M683" i="133"/>
  <c r="M682" i="133"/>
  <c r="M681" i="133"/>
  <c r="M680" i="133"/>
  <c r="M679" i="133"/>
  <c r="M678" i="133"/>
  <c r="M677" i="133"/>
  <c r="M676" i="133"/>
  <c r="M675" i="133"/>
  <c r="M674" i="133"/>
  <c r="M673" i="133"/>
  <c r="M672" i="133"/>
  <c r="M671" i="133"/>
  <c r="M670" i="133"/>
  <c r="M669" i="133"/>
  <c r="M668" i="133"/>
  <c r="M667" i="133"/>
  <c r="M666" i="133"/>
  <c r="M665" i="133"/>
  <c r="M664" i="133"/>
  <c r="M663" i="133"/>
  <c r="M662" i="133"/>
  <c r="M661" i="133"/>
  <c r="M660" i="133"/>
  <c r="M659" i="133"/>
  <c r="M658" i="133"/>
  <c r="M657" i="133"/>
  <c r="M656" i="133"/>
  <c r="M655" i="133"/>
  <c r="M654" i="133"/>
  <c r="M653" i="133"/>
  <c r="M652" i="133"/>
  <c r="M651" i="133"/>
  <c r="M650" i="133"/>
  <c r="M649" i="133"/>
  <c r="M648" i="133"/>
  <c r="M647" i="133"/>
  <c r="M646" i="133"/>
  <c r="M645" i="133"/>
  <c r="M644" i="133"/>
  <c r="M643" i="133"/>
  <c r="M642" i="133"/>
  <c r="M641" i="133"/>
  <c r="M640" i="133"/>
  <c r="M639" i="133"/>
  <c r="M638" i="133"/>
  <c r="M637" i="133"/>
  <c r="M636" i="133"/>
  <c r="M635" i="133"/>
  <c r="M634" i="133"/>
  <c r="M633" i="133"/>
  <c r="M632" i="133"/>
  <c r="M631" i="133"/>
  <c r="M630" i="133"/>
  <c r="M629" i="133"/>
  <c r="M628" i="133"/>
  <c r="M627" i="133"/>
  <c r="M626" i="133"/>
  <c r="M625" i="133"/>
  <c r="M624" i="133"/>
  <c r="M623" i="133"/>
  <c r="M622" i="133"/>
  <c r="M621" i="133"/>
  <c r="M620" i="133"/>
  <c r="M619" i="133"/>
  <c r="M618" i="133"/>
  <c r="M617" i="133"/>
  <c r="M616" i="133"/>
  <c r="M615" i="133"/>
  <c r="M614" i="133"/>
  <c r="M613" i="133"/>
  <c r="M612" i="133"/>
  <c r="M611" i="133"/>
  <c r="M610" i="133"/>
  <c r="M609" i="133"/>
  <c r="M608" i="133"/>
  <c r="M607" i="133"/>
  <c r="M606" i="133"/>
  <c r="M605" i="133"/>
  <c r="M604" i="133"/>
  <c r="M603" i="133"/>
  <c r="M602" i="133"/>
  <c r="M601" i="133"/>
  <c r="M600" i="133"/>
  <c r="M599" i="133"/>
  <c r="M598" i="133"/>
  <c r="M597" i="133"/>
  <c r="M596" i="133"/>
  <c r="M595" i="133"/>
  <c r="M594" i="133"/>
  <c r="M593" i="133"/>
  <c r="M592" i="133"/>
  <c r="M591" i="133"/>
  <c r="M590" i="133"/>
  <c r="M589" i="133"/>
  <c r="M588" i="133"/>
  <c r="M587" i="133"/>
  <c r="M586" i="133"/>
  <c r="M585" i="133"/>
  <c r="M584" i="133"/>
  <c r="M583" i="133"/>
  <c r="M582" i="133"/>
  <c r="M581" i="133"/>
  <c r="M580" i="133"/>
  <c r="M579" i="133"/>
  <c r="M578" i="133"/>
  <c r="M577" i="133"/>
  <c r="M576" i="133"/>
  <c r="M575" i="133"/>
  <c r="M574" i="133"/>
  <c r="M573" i="133"/>
  <c r="M572" i="133"/>
  <c r="M571" i="133"/>
  <c r="M570" i="133"/>
  <c r="M569" i="133"/>
  <c r="M568" i="133"/>
  <c r="M567" i="133"/>
  <c r="M566" i="133"/>
  <c r="M565" i="133"/>
  <c r="M564" i="133"/>
  <c r="M563" i="133"/>
  <c r="M562" i="133"/>
  <c r="M561" i="133"/>
  <c r="M560" i="133"/>
  <c r="M559" i="133"/>
  <c r="M558" i="133"/>
  <c r="M557" i="133"/>
  <c r="M556" i="133"/>
  <c r="M555" i="133"/>
  <c r="M554" i="133"/>
  <c r="M553" i="133"/>
  <c r="M552" i="133"/>
  <c r="M551" i="133"/>
  <c r="M550" i="133"/>
  <c r="M549" i="133"/>
  <c r="M548" i="133"/>
  <c r="M547" i="133"/>
  <c r="M546" i="133"/>
  <c r="M545" i="133"/>
  <c r="M544" i="133"/>
  <c r="M543" i="133"/>
  <c r="M542" i="133"/>
  <c r="M541" i="133"/>
  <c r="M540" i="133"/>
  <c r="M539" i="133"/>
  <c r="M538" i="133"/>
  <c r="M537" i="133"/>
  <c r="M536" i="133"/>
  <c r="M535" i="133"/>
  <c r="M534" i="133"/>
  <c r="M533" i="133"/>
  <c r="M532" i="133"/>
  <c r="M531" i="133"/>
  <c r="M530" i="133"/>
  <c r="M529" i="133"/>
  <c r="M528" i="133"/>
  <c r="M527" i="133"/>
  <c r="M526" i="133"/>
  <c r="M525" i="133"/>
  <c r="M524" i="133"/>
  <c r="M523" i="133"/>
  <c r="M522" i="133"/>
  <c r="M521" i="133"/>
  <c r="M520" i="133"/>
  <c r="M519" i="133"/>
  <c r="M518" i="133"/>
  <c r="M517" i="133"/>
  <c r="M516" i="133"/>
  <c r="M515" i="133"/>
  <c r="M514" i="133"/>
  <c r="M513" i="133"/>
  <c r="M512" i="133"/>
  <c r="M511" i="133"/>
  <c r="M510" i="133"/>
  <c r="M509" i="133"/>
  <c r="M508" i="133"/>
  <c r="M507" i="133"/>
  <c r="M506" i="133"/>
  <c r="M505" i="133"/>
  <c r="M504" i="133"/>
  <c r="M503" i="133"/>
  <c r="M502" i="133"/>
  <c r="M501" i="133"/>
  <c r="M500" i="133"/>
  <c r="M499" i="133"/>
  <c r="M498" i="133"/>
  <c r="M497" i="133"/>
  <c r="M496" i="133"/>
  <c r="M495" i="133"/>
  <c r="M494" i="133"/>
  <c r="M493" i="133"/>
  <c r="M492" i="133"/>
  <c r="M491" i="133"/>
  <c r="M490" i="133"/>
  <c r="M489" i="133"/>
  <c r="M488" i="133"/>
  <c r="M487" i="133"/>
  <c r="M486" i="133"/>
  <c r="M485" i="133"/>
  <c r="M484" i="133"/>
  <c r="M483" i="133"/>
  <c r="M482" i="133"/>
  <c r="M481" i="133"/>
  <c r="M480" i="133"/>
  <c r="M479" i="133"/>
  <c r="M478" i="133"/>
  <c r="M477" i="133"/>
  <c r="M476" i="133"/>
  <c r="M475" i="133"/>
  <c r="M474" i="133"/>
  <c r="M473" i="133"/>
  <c r="M472" i="133"/>
  <c r="M471" i="133"/>
  <c r="M470" i="133"/>
  <c r="M469" i="133"/>
  <c r="M468" i="133"/>
  <c r="M467" i="133"/>
  <c r="M466" i="133"/>
  <c r="M465" i="133"/>
  <c r="M464" i="133"/>
  <c r="M463" i="133"/>
  <c r="M462" i="133"/>
  <c r="M461" i="133"/>
  <c r="M460" i="133"/>
  <c r="M459" i="133"/>
  <c r="M458" i="133"/>
  <c r="M457" i="133"/>
  <c r="M456" i="133"/>
  <c r="M455" i="133"/>
  <c r="M454" i="133"/>
  <c r="M453" i="133"/>
  <c r="M452" i="133"/>
  <c r="M451" i="133"/>
  <c r="M450" i="133"/>
  <c r="M449" i="133"/>
  <c r="M448" i="133"/>
  <c r="M447" i="133"/>
  <c r="M446" i="133"/>
  <c r="M445" i="133"/>
  <c r="M444" i="133"/>
  <c r="M443" i="133"/>
  <c r="M442" i="133"/>
  <c r="M441" i="133"/>
  <c r="M440" i="133"/>
  <c r="M439" i="133"/>
  <c r="M438" i="133"/>
  <c r="M437" i="133"/>
  <c r="M436" i="133"/>
  <c r="M435" i="133"/>
  <c r="M434" i="133"/>
  <c r="M433" i="133"/>
  <c r="M432" i="133"/>
  <c r="M431" i="133"/>
  <c r="M430" i="133"/>
  <c r="M429" i="133"/>
  <c r="M428" i="133"/>
  <c r="M427" i="133"/>
  <c r="M426" i="133"/>
  <c r="M425" i="133"/>
  <c r="M424" i="133"/>
  <c r="M423" i="133"/>
  <c r="M422" i="133"/>
  <c r="M421" i="133"/>
  <c r="M420" i="133"/>
  <c r="M419" i="133"/>
  <c r="M418" i="133"/>
  <c r="M417" i="133"/>
  <c r="M416" i="133"/>
  <c r="M415" i="133"/>
  <c r="M414" i="133"/>
  <c r="M413" i="133"/>
  <c r="M412" i="133"/>
  <c r="M411" i="133"/>
  <c r="M410" i="133"/>
  <c r="M409" i="133"/>
  <c r="M408" i="133"/>
  <c r="M407" i="133"/>
  <c r="M406" i="133"/>
  <c r="M405" i="133"/>
  <c r="M404" i="133"/>
  <c r="M403" i="133"/>
  <c r="M402" i="133"/>
  <c r="M401" i="133"/>
  <c r="M400" i="133"/>
  <c r="M399" i="133"/>
  <c r="M398" i="133"/>
  <c r="M397" i="133"/>
  <c r="M396" i="133"/>
  <c r="M395" i="133"/>
  <c r="M394" i="133"/>
  <c r="M393" i="133"/>
  <c r="M392" i="133"/>
  <c r="M391" i="133"/>
  <c r="M390" i="133"/>
  <c r="M389" i="133"/>
  <c r="M388" i="133"/>
  <c r="M387" i="133"/>
  <c r="M386" i="133"/>
  <c r="M385" i="133"/>
  <c r="M384" i="133"/>
  <c r="M383" i="133"/>
  <c r="M382" i="133"/>
  <c r="M381" i="133"/>
  <c r="M380" i="133"/>
  <c r="M379" i="133"/>
  <c r="M378" i="133"/>
  <c r="M377" i="133"/>
  <c r="M376" i="133"/>
  <c r="M375" i="133"/>
  <c r="M374" i="133"/>
  <c r="M373" i="133"/>
  <c r="M372" i="133"/>
  <c r="M371" i="133"/>
  <c r="M370" i="133"/>
  <c r="M369" i="133"/>
  <c r="M368" i="133"/>
  <c r="M367" i="133"/>
  <c r="M366" i="133"/>
  <c r="M365" i="133"/>
  <c r="M364" i="133"/>
  <c r="M363" i="133"/>
  <c r="M362" i="133"/>
  <c r="M361" i="133"/>
  <c r="M360" i="133"/>
  <c r="M359" i="133"/>
  <c r="M358" i="133"/>
  <c r="M357" i="133"/>
  <c r="M356" i="133"/>
  <c r="M355" i="133"/>
  <c r="M354" i="133"/>
  <c r="M353" i="133"/>
  <c r="M352" i="133"/>
  <c r="M351" i="133"/>
  <c r="M350" i="133"/>
  <c r="M349" i="133"/>
  <c r="M348" i="133"/>
  <c r="M347" i="133"/>
  <c r="M346" i="133"/>
  <c r="M345" i="133"/>
  <c r="M344" i="133"/>
  <c r="M343" i="133"/>
  <c r="M342" i="133"/>
  <c r="M341" i="133"/>
  <c r="M340" i="133"/>
  <c r="M339" i="133"/>
  <c r="M338" i="133"/>
  <c r="M337" i="133"/>
  <c r="M336" i="133"/>
  <c r="M335" i="133"/>
  <c r="M334" i="133"/>
  <c r="M333" i="133"/>
  <c r="M332" i="133"/>
  <c r="M331" i="133"/>
  <c r="M330" i="133"/>
  <c r="M329" i="133"/>
  <c r="M328" i="133"/>
  <c r="M327" i="133"/>
  <c r="M326" i="133"/>
  <c r="M325" i="133"/>
  <c r="M324" i="133"/>
  <c r="M323" i="133"/>
  <c r="M322" i="133"/>
  <c r="M321" i="133"/>
  <c r="M320" i="133"/>
  <c r="M319" i="133"/>
  <c r="M318" i="133"/>
  <c r="M317" i="133"/>
  <c r="M316" i="133"/>
  <c r="M315" i="133"/>
  <c r="M314" i="133"/>
  <c r="M313" i="133"/>
  <c r="M312" i="133"/>
  <c r="M311" i="133"/>
  <c r="M310" i="133"/>
  <c r="M309" i="133"/>
  <c r="M308" i="133"/>
  <c r="M307" i="133"/>
  <c r="M306" i="133"/>
  <c r="M305" i="133"/>
  <c r="M304" i="133"/>
  <c r="M303" i="133"/>
  <c r="M302" i="133"/>
  <c r="M301" i="133"/>
  <c r="M300" i="133"/>
  <c r="M299" i="133"/>
  <c r="M298" i="133"/>
  <c r="M297" i="133"/>
  <c r="M296" i="133"/>
  <c r="M295" i="133"/>
  <c r="M294" i="133"/>
  <c r="M293" i="133"/>
  <c r="M292" i="133"/>
  <c r="M291" i="133"/>
  <c r="M290" i="133"/>
  <c r="M289" i="133"/>
  <c r="M288" i="133"/>
  <c r="M287" i="133"/>
  <c r="M286" i="133"/>
  <c r="M285" i="133"/>
  <c r="M284" i="133"/>
  <c r="M283" i="133"/>
  <c r="M282" i="133"/>
  <c r="M281" i="133"/>
  <c r="M280" i="133"/>
  <c r="M279" i="133"/>
  <c r="M278" i="133"/>
  <c r="M277" i="133"/>
  <c r="M276" i="133"/>
  <c r="M275" i="133"/>
  <c r="M274" i="133"/>
  <c r="M273" i="133"/>
  <c r="M272" i="133"/>
  <c r="M271" i="133"/>
  <c r="M270" i="133"/>
  <c r="M269" i="133"/>
  <c r="M268" i="133"/>
  <c r="M267" i="133"/>
  <c r="M266" i="133"/>
  <c r="M265" i="133"/>
  <c r="M264" i="133"/>
  <c r="M263" i="133"/>
  <c r="M262" i="133"/>
  <c r="M261" i="133"/>
  <c r="M260" i="133"/>
  <c r="M259" i="133"/>
  <c r="M258" i="133"/>
  <c r="M257" i="133"/>
  <c r="M256" i="133"/>
  <c r="M255" i="133"/>
  <c r="M254" i="133"/>
  <c r="M253" i="133"/>
  <c r="M252" i="133"/>
  <c r="M251" i="133"/>
  <c r="M250" i="133"/>
  <c r="M249" i="133"/>
  <c r="M248" i="133"/>
  <c r="M247" i="133"/>
  <c r="M246" i="133"/>
  <c r="M245" i="133"/>
  <c r="M244" i="133"/>
  <c r="M243" i="133"/>
  <c r="M242" i="133"/>
  <c r="M241" i="133"/>
  <c r="M240" i="133"/>
  <c r="M239" i="133"/>
  <c r="M238" i="133"/>
  <c r="M237" i="133"/>
  <c r="M236" i="133"/>
  <c r="M235" i="133"/>
  <c r="M234" i="133"/>
  <c r="M233" i="133"/>
  <c r="M232" i="133"/>
  <c r="M231" i="133"/>
  <c r="M230" i="133"/>
  <c r="M229" i="133"/>
  <c r="M228" i="133"/>
  <c r="M227" i="133"/>
  <c r="M226" i="133"/>
  <c r="M225" i="133"/>
  <c r="M224" i="133"/>
  <c r="M223" i="133"/>
  <c r="M222" i="133"/>
  <c r="M221" i="133"/>
  <c r="M220" i="133"/>
  <c r="M219" i="133"/>
  <c r="M218" i="133"/>
  <c r="M217" i="133"/>
  <c r="M216" i="133"/>
  <c r="M215" i="133"/>
  <c r="M214" i="133"/>
  <c r="M213" i="133"/>
  <c r="M212" i="133"/>
  <c r="M211" i="133"/>
  <c r="M210" i="133"/>
  <c r="M209" i="133"/>
  <c r="M208" i="133"/>
  <c r="M207" i="133"/>
  <c r="M206" i="133"/>
  <c r="M205" i="133"/>
  <c r="M204" i="133"/>
  <c r="M203" i="133"/>
  <c r="M202" i="133"/>
  <c r="M201" i="133"/>
  <c r="M200" i="133"/>
  <c r="M199" i="133"/>
  <c r="M198" i="133"/>
  <c r="M197" i="133"/>
  <c r="M196" i="133"/>
  <c r="M195" i="133"/>
  <c r="M194" i="133"/>
  <c r="M193" i="133"/>
  <c r="M192" i="133"/>
  <c r="M191" i="133"/>
  <c r="M190" i="133"/>
  <c r="M189" i="133"/>
  <c r="M188" i="133"/>
  <c r="M187" i="133"/>
  <c r="M186" i="133"/>
  <c r="M185" i="133"/>
  <c r="M184" i="133"/>
  <c r="M183" i="133"/>
  <c r="M182" i="133"/>
  <c r="M181" i="133"/>
  <c r="M180" i="133"/>
  <c r="M179" i="133"/>
  <c r="M178" i="133"/>
  <c r="M177" i="133"/>
  <c r="M176" i="133"/>
  <c r="M175" i="133"/>
  <c r="M174" i="133"/>
  <c r="M173" i="133"/>
  <c r="M172" i="133"/>
  <c r="M171" i="133"/>
  <c r="M170" i="133"/>
  <c r="M169" i="133"/>
  <c r="M168" i="133"/>
  <c r="M167" i="133"/>
  <c r="M166" i="133"/>
  <c r="M165" i="133"/>
  <c r="M164" i="133"/>
  <c r="M163" i="133"/>
  <c r="M162" i="133"/>
  <c r="M161" i="133"/>
  <c r="M160" i="133"/>
  <c r="M159" i="133"/>
  <c r="M158" i="133"/>
  <c r="M157" i="133"/>
  <c r="M156" i="133"/>
  <c r="M155" i="133"/>
  <c r="M154" i="133"/>
  <c r="M153" i="133"/>
  <c r="M152" i="133"/>
  <c r="M151" i="133"/>
  <c r="M150" i="133"/>
  <c r="M149" i="133"/>
  <c r="M148" i="133"/>
  <c r="M147" i="133"/>
  <c r="M146" i="133"/>
  <c r="M145" i="133"/>
  <c r="M144" i="133"/>
  <c r="M143" i="133"/>
  <c r="M142" i="133"/>
  <c r="M141" i="133"/>
  <c r="M140" i="133"/>
  <c r="M139" i="133"/>
  <c r="M138" i="133"/>
  <c r="M137" i="133"/>
  <c r="M136" i="133"/>
  <c r="M135" i="133"/>
  <c r="M134" i="133"/>
  <c r="M133" i="133"/>
  <c r="M132" i="133"/>
  <c r="M131" i="133"/>
  <c r="M130" i="133"/>
  <c r="M129" i="133"/>
  <c r="M128" i="133"/>
  <c r="M127" i="133"/>
  <c r="M126" i="133"/>
  <c r="M125" i="133"/>
  <c r="M124" i="133"/>
  <c r="M123" i="133"/>
  <c r="M122" i="133"/>
  <c r="M121" i="133"/>
  <c r="M120" i="133"/>
  <c r="M119" i="133"/>
  <c r="M118" i="133"/>
  <c r="M117" i="133"/>
  <c r="M116" i="133"/>
  <c r="M115" i="133"/>
  <c r="M114" i="133"/>
  <c r="M113" i="133"/>
  <c r="M112" i="133"/>
  <c r="M111" i="133"/>
  <c r="M110" i="133"/>
  <c r="M109" i="133"/>
  <c r="M108" i="133"/>
  <c r="M107" i="133"/>
  <c r="M106" i="133"/>
  <c r="M105" i="133"/>
  <c r="M104" i="133"/>
  <c r="M103" i="133"/>
  <c r="M102" i="133"/>
  <c r="M101" i="133"/>
  <c r="M100" i="133"/>
  <c r="M99" i="133"/>
  <c r="M98" i="133"/>
  <c r="M97" i="133"/>
  <c r="M96" i="133"/>
  <c r="M95" i="133"/>
  <c r="M94" i="133"/>
  <c r="M93" i="133"/>
  <c r="M92" i="133"/>
  <c r="M91" i="133"/>
  <c r="M90" i="133"/>
  <c r="M89" i="133"/>
  <c r="M88" i="133"/>
  <c r="M87" i="133"/>
  <c r="M86" i="133"/>
  <c r="M85" i="133"/>
  <c r="M84" i="133"/>
  <c r="M83" i="133"/>
  <c r="M82" i="133"/>
  <c r="M81" i="133"/>
  <c r="M80" i="133"/>
  <c r="M79" i="133"/>
  <c r="M78" i="133"/>
  <c r="M77" i="133"/>
  <c r="M76" i="133"/>
  <c r="M75" i="133"/>
  <c r="M74" i="133"/>
  <c r="M73" i="133"/>
  <c r="M72" i="133"/>
  <c r="M71" i="133"/>
  <c r="M70" i="133"/>
  <c r="M69" i="133"/>
  <c r="M68" i="133"/>
  <c r="M67" i="133"/>
  <c r="M66" i="133"/>
  <c r="M65" i="133"/>
  <c r="M64" i="133"/>
  <c r="M63" i="133"/>
  <c r="M62" i="133"/>
  <c r="M61" i="133"/>
  <c r="M60" i="133"/>
  <c r="M59" i="133"/>
  <c r="M58" i="133"/>
  <c r="M57" i="133"/>
  <c r="M56" i="133"/>
  <c r="M55" i="133"/>
  <c r="M54" i="133"/>
  <c r="M53" i="133"/>
  <c r="M52" i="133"/>
  <c r="M51" i="133"/>
  <c r="M50" i="133"/>
  <c r="M49" i="133"/>
  <c r="M48" i="133"/>
  <c r="M47" i="133"/>
  <c r="M46" i="133"/>
  <c r="M45" i="133"/>
  <c r="M44" i="133"/>
  <c r="M43" i="133"/>
  <c r="M42" i="133"/>
  <c r="M41" i="133"/>
  <c r="M40" i="133"/>
  <c r="M39" i="133"/>
  <c r="M38" i="133"/>
  <c r="M37" i="133"/>
  <c r="M36" i="133"/>
  <c r="M35" i="133"/>
  <c r="M34" i="133"/>
  <c r="M33" i="133"/>
  <c r="M32" i="133"/>
  <c r="M31" i="133"/>
  <c r="M30" i="133"/>
  <c r="M29" i="133"/>
  <c r="M28" i="133"/>
  <c r="M27" i="133"/>
  <c r="M26" i="133"/>
  <c r="M25" i="133"/>
  <c r="M24" i="133"/>
  <c r="M23" i="133"/>
  <c r="M22" i="133"/>
  <c r="M21" i="133"/>
  <c r="M20" i="133"/>
  <c r="M19" i="133"/>
  <c r="M18" i="133"/>
  <c r="M17" i="133"/>
  <c r="M16" i="133"/>
  <c r="M15" i="133"/>
  <c r="M14" i="133"/>
  <c r="M13" i="133"/>
  <c r="M12" i="133"/>
  <c r="M11" i="133"/>
  <c r="M10" i="133"/>
  <c r="M9" i="133"/>
  <c r="M8" i="133"/>
  <c r="M7" i="133"/>
  <c r="M6" i="133"/>
  <c r="M5" i="133"/>
  <c r="M4" i="133"/>
  <c r="M3" i="133"/>
  <c r="M2" i="133"/>
  <c r="K1501" i="126"/>
  <c r="K1500" i="126"/>
  <c r="K1499" i="126"/>
  <c r="K1498" i="126"/>
  <c r="K1497" i="126"/>
  <c r="K1496" i="126"/>
  <c r="K1495" i="126"/>
  <c r="K1494" i="126"/>
  <c r="K1493" i="126"/>
  <c r="K1492" i="126"/>
  <c r="K1491" i="126"/>
  <c r="K1490" i="126"/>
  <c r="K1489" i="126"/>
  <c r="K1488" i="126"/>
  <c r="K1487" i="126"/>
  <c r="K1486" i="126"/>
  <c r="K1485" i="126"/>
  <c r="K1484" i="126"/>
  <c r="K1483" i="126"/>
  <c r="K1482" i="126"/>
  <c r="K1481" i="126"/>
  <c r="K1480" i="126"/>
  <c r="K1479" i="126"/>
  <c r="K1478" i="126"/>
  <c r="K1477" i="126"/>
  <c r="K1476" i="126"/>
  <c r="K1475" i="126"/>
  <c r="K1474" i="126"/>
  <c r="K1473" i="126"/>
  <c r="K1472" i="126"/>
  <c r="K1471" i="126"/>
  <c r="K1470" i="126"/>
  <c r="K1469" i="126"/>
  <c r="K1468" i="126"/>
  <c r="K1467" i="126"/>
  <c r="K1466" i="126"/>
  <c r="K1465" i="126"/>
  <c r="K1464" i="126"/>
  <c r="K1463" i="126"/>
  <c r="K1462" i="126"/>
  <c r="K1461" i="126"/>
  <c r="K1460" i="126"/>
  <c r="K1459" i="126"/>
  <c r="K1458" i="126"/>
  <c r="K1457" i="126"/>
  <c r="K1456" i="126"/>
  <c r="K1455" i="126"/>
  <c r="K1454" i="126"/>
  <c r="K1453" i="126"/>
  <c r="K1452" i="126"/>
  <c r="K1451" i="126"/>
  <c r="K1450" i="126"/>
  <c r="K1449" i="126"/>
  <c r="K1448" i="126"/>
  <c r="K1447" i="126"/>
  <c r="K1446" i="126"/>
  <c r="K1445" i="126"/>
  <c r="K1444" i="126"/>
  <c r="K1443" i="126"/>
  <c r="K1442" i="126"/>
  <c r="K1441" i="126"/>
  <c r="K1440" i="126"/>
  <c r="K1439" i="126"/>
  <c r="K1438" i="126"/>
  <c r="K1437" i="126"/>
  <c r="K1436" i="126"/>
  <c r="K1435" i="126"/>
  <c r="K1434" i="126"/>
  <c r="K1433" i="126"/>
  <c r="K1432" i="126"/>
  <c r="K1431" i="126"/>
  <c r="K1430" i="126"/>
  <c r="K1429" i="126"/>
  <c r="K1428" i="126"/>
  <c r="K1427" i="126"/>
  <c r="K1426" i="126"/>
  <c r="K1425" i="126"/>
  <c r="K1424" i="126"/>
  <c r="K1423" i="126"/>
  <c r="K1422" i="126"/>
  <c r="K1421" i="126"/>
  <c r="K1420" i="126"/>
  <c r="K1419" i="126"/>
  <c r="K1418" i="126"/>
  <c r="K1417" i="126"/>
  <c r="K1416" i="126"/>
  <c r="K1415" i="126"/>
  <c r="K1414" i="126"/>
  <c r="K1413" i="126"/>
  <c r="K1412" i="126"/>
  <c r="K1411" i="126"/>
  <c r="K1410" i="126"/>
  <c r="K1409" i="126"/>
  <c r="K1408" i="126"/>
  <c r="K1407" i="126"/>
  <c r="K1406" i="126"/>
  <c r="K1405" i="126"/>
  <c r="K1404" i="126"/>
  <c r="K1403" i="126"/>
  <c r="K1402" i="126"/>
  <c r="K1401" i="126"/>
  <c r="K1400" i="126"/>
  <c r="K1399" i="126"/>
  <c r="K1398" i="126"/>
  <c r="K1397" i="126"/>
  <c r="K1396" i="126"/>
  <c r="K1395" i="126"/>
  <c r="K1394" i="126"/>
  <c r="K1393" i="126"/>
  <c r="K1392" i="126"/>
  <c r="K1391" i="126"/>
  <c r="K1390" i="126"/>
  <c r="K1389" i="126"/>
  <c r="K1388" i="126"/>
  <c r="K1387" i="126"/>
  <c r="K1386" i="126"/>
  <c r="K1385" i="126"/>
  <c r="K1384" i="126"/>
  <c r="K1383" i="126"/>
  <c r="K1382" i="126"/>
  <c r="K1381" i="126"/>
  <c r="K1380" i="126"/>
  <c r="K1379" i="126"/>
  <c r="K1378" i="126"/>
  <c r="K1377" i="126"/>
  <c r="K1376" i="126"/>
  <c r="K1375" i="126"/>
  <c r="K1374" i="126"/>
  <c r="K1373" i="126"/>
  <c r="K1372" i="126"/>
  <c r="K1371" i="126"/>
  <c r="K1370" i="126"/>
  <c r="K1369" i="126"/>
  <c r="K1368" i="126"/>
  <c r="K1367" i="126"/>
  <c r="K1366" i="126"/>
  <c r="K1365" i="126"/>
  <c r="K1364" i="126"/>
  <c r="K1363" i="126"/>
  <c r="K1362" i="126"/>
  <c r="K1361" i="126"/>
  <c r="K1360" i="126"/>
  <c r="K1359" i="126"/>
  <c r="K1358" i="126"/>
  <c r="K1357" i="126"/>
  <c r="K1356" i="126"/>
  <c r="K1355" i="126"/>
  <c r="K1354" i="126"/>
  <c r="K1353" i="126"/>
  <c r="K1352" i="126"/>
  <c r="K1351" i="126"/>
  <c r="K1350" i="126"/>
  <c r="K1349" i="126"/>
  <c r="K1348" i="126"/>
  <c r="K1347" i="126"/>
  <c r="K1346" i="126"/>
  <c r="K1345" i="126"/>
  <c r="K1344" i="126"/>
  <c r="K1343" i="126"/>
  <c r="K1342" i="126"/>
  <c r="K1341" i="126"/>
  <c r="K1340" i="126"/>
  <c r="K1339" i="126"/>
  <c r="K1338" i="126"/>
  <c r="K1337" i="126"/>
  <c r="K1336" i="126"/>
  <c r="K1335" i="126"/>
  <c r="K1334" i="126"/>
  <c r="K1333" i="126"/>
  <c r="K1332" i="126"/>
  <c r="K1331" i="126"/>
  <c r="K1330" i="126"/>
  <c r="K1329" i="126"/>
  <c r="K1328" i="126"/>
  <c r="K1327" i="126"/>
  <c r="K1326" i="126"/>
  <c r="K1325" i="126"/>
  <c r="K1324" i="126"/>
  <c r="K1323" i="126"/>
  <c r="K1322" i="126"/>
  <c r="K1321" i="126"/>
  <c r="K1320" i="126"/>
  <c r="K1319" i="126"/>
  <c r="K1318" i="126"/>
  <c r="K1317" i="126"/>
  <c r="K1316" i="126"/>
  <c r="K1315" i="126"/>
  <c r="K1314" i="126"/>
  <c r="K1313" i="126"/>
  <c r="K1312" i="126"/>
  <c r="K1311" i="126"/>
  <c r="K1310" i="126"/>
  <c r="K1309" i="126"/>
  <c r="K1308" i="126"/>
  <c r="K1307" i="126"/>
  <c r="K1306" i="126"/>
  <c r="K1305" i="126"/>
  <c r="K1304" i="126"/>
  <c r="K1303" i="126"/>
  <c r="K1302" i="126"/>
  <c r="K1301" i="126"/>
  <c r="K1300" i="126"/>
  <c r="K1299" i="126"/>
  <c r="K1298" i="126"/>
  <c r="K1297" i="126"/>
  <c r="K1296" i="126"/>
  <c r="K1295" i="126"/>
  <c r="K1294" i="126"/>
  <c r="K1293" i="126"/>
  <c r="K1292" i="126"/>
  <c r="K1291" i="126"/>
  <c r="K1290" i="126"/>
  <c r="K1289" i="126"/>
  <c r="K1288" i="126"/>
  <c r="K1287" i="126"/>
  <c r="K1286" i="126"/>
  <c r="K1285" i="126"/>
  <c r="K1284" i="126"/>
  <c r="K1283" i="126"/>
  <c r="K1282" i="126"/>
  <c r="K1281" i="126"/>
  <c r="K1280" i="126"/>
  <c r="K1279" i="126"/>
  <c r="K1278" i="126"/>
  <c r="K1277" i="126"/>
  <c r="K1276" i="126"/>
  <c r="K1275" i="126"/>
  <c r="K1274" i="126"/>
  <c r="K1273" i="126"/>
  <c r="K1272" i="126"/>
  <c r="K1271" i="126"/>
  <c r="K1270" i="126"/>
  <c r="K1269" i="126"/>
  <c r="K1268" i="126"/>
  <c r="K1267" i="126"/>
  <c r="K1266" i="126"/>
  <c r="K1265" i="126"/>
  <c r="K1264" i="126"/>
  <c r="K1263" i="126"/>
  <c r="K1262" i="126"/>
  <c r="K1261" i="126"/>
  <c r="K1260" i="126"/>
  <c r="K1259" i="126"/>
  <c r="K1258" i="126"/>
  <c r="K1257" i="126"/>
  <c r="K1256" i="126"/>
  <c r="K1255" i="126"/>
  <c r="K1254" i="126"/>
  <c r="K1253" i="126"/>
  <c r="K1252" i="126"/>
  <c r="K1251" i="126"/>
  <c r="K1250" i="126"/>
  <c r="K1249" i="126"/>
  <c r="K1248" i="126"/>
  <c r="K1247" i="126"/>
  <c r="K1246" i="126"/>
  <c r="K1245" i="126"/>
  <c r="K1244" i="126"/>
  <c r="K1243" i="126"/>
  <c r="K1242" i="126"/>
  <c r="K1241" i="126"/>
  <c r="K1240" i="126"/>
  <c r="K1239" i="126"/>
  <c r="K1238" i="126"/>
  <c r="K1237" i="126"/>
  <c r="K1236" i="126"/>
  <c r="K1235" i="126"/>
  <c r="K1234" i="126"/>
  <c r="K1233" i="126"/>
  <c r="K1232" i="126"/>
  <c r="K1231" i="126"/>
  <c r="K1230" i="126"/>
  <c r="K1229" i="126"/>
  <c r="K1228" i="126"/>
  <c r="K1227" i="126"/>
  <c r="K1226" i="126"/>
  <c r="K1225" i="126"/>
  <c r="K1224" i="126"/>
  <c r="K1223" i="126"/>
  <c r="K1222" i="126"/>
  <c r="K1221" i="126"/>
  <c r="K1220" i="126"/>
  <c r="K1219" i="126"/>
  <c r="K1218" i="126"/>
  <c r="K1217" i="126"/>
  <c r="K1216" i="126"/>
  <c r="K1215" i="126"/>
  <c r="K1214" i="126"/>
  <c r="K1213" i="126"/>
  <c r="K1212" i="126"/>
  <c r="K1211" i="126"/>
  <c r="K1210" i="126"/>
  <c r="K1209" i="126"/>
  <c r="K1208" i="126"/>
  <c r="K1207" i="126"/>
  <c r="K1206" i="126"/>
  <c r="K1205" i="126"/>
  <c r="K1204" i="126"/>
  <c r="K1203" i="126"/>
  <c r="K1202" i="126"/>
  <c r="K1201" i="126"/>
  <c r="K1200" i="126"/>
  <c r="K1199" i="126"/>
  <c r="K1198" i="126"/>
  <c r="K1197" i="126"/>
  <c r="K1196" i="126"/>
  <c r="K1195" i="126"/>
  <c r="K1194" i="126"/>
  <c r="K1193" i="126"/>
  <c r="K1192" i="126"/>
  <c r="K1191" i="126"/>
  <c r="K1190" i="126"/>
  <c r="K1189" i="126"/>
  <c r="K1188" i="126"/>
  <c r="K1187" i="126"/>
  <c r="K1186" i="126"/>
  <c r="K1185" i="126"/>
  <c r="K1184" i="126"/>
  <c r="K1183" i="126"/>
  <c r="K1182" i="126"/>
  <c r="K1181" i="126"/>
  <c r="K1180" i="126"/>
  <c r="K1179" i="126"/>
  <c r="K1178" i="126"/>
  <c r="K1177" i="126"/>
  <c r="K1176" i="126"/>
  <c r="K1175" i="126"/>
  <c r="K1174" i="126"/>
  <c r="K1173" i="126"/>
  <c r="K1172" i="126"/>
  <c r="K1171" i="126"/>
  <c r="K1170" i="126"/>
  <c r="K1169" i="126"/>
  <c r="K1168" i="126"/>
  <c r="K1167" i="126"/>
  <c r="K1166" i="126"/>
  <c r="K1165" i="126"/>
  <c r="K1164" i="126"/>
  <c r="K1163" i="126"/>
  <c r="K1162" i="126"/>
  <c r="K1161" i="126"/>
  <c r="K1160" i="126"/>
  <c r="K1159" i="126"/>
  <c r="K1158" i="126"/>
  <c r="K1157" i="126"/>
  <c r="K1156" i="126"/>
  <c r="K1155" i="126"/>
  <c r="K1154" i="126"/>
  <c r="K1153" i="126"/>
  <c r="K1152" i="126"/>
  <c r="K1151" i="126"/>
  <c r="K1150" i="126"/>
  <c r="K1149" i="126"/>
  <c r="K1148" i="126"/>
  <c r="K1147" i="126"/>
  <c r="K1146" i="126"/>
  <c r="K1145" i="126"/>
  <c r="K1144" i="126"/>
  <c r="K1143" i="126"/>
  <c r="K1142" i="126"/>
  <c r="K1141" i="126"/>
  <c r="K1140" i="126"/>
  <c r="K1139" i="126"/>
  <c r="K1138" i="126"/>
  <c r="K1137" i="126"/>
  <c r="K1136" i="126"/>
  <c r="K1135" i="126"/>
  <c r="K1134" i="126"/>
  <c r="K1133" i="126"/>
  <c r="K1132" i="126"/>
  <c r="K1131" i="126"/>
  <c r="K1130" i="126"/>
  <c r="K1129" i="126"/>
  <c r="K1128" i="126"/>
  <c r="K1127" i="126"/>
  <c r="K1126" i="126"/>
  <c r="K1125" i="126"/>
  <c r="K1124" i="126"/>
  <c r="K1123" i="126"/>
  <c r="K1122" i="126"/>
  <c r="K1121" i="126"/>
  <c r="K1120" i="126"/>
  <c r="K1119" i="126"/>
  <c r="K1118" i="126"/>
  <c r="K1117" i="126"/>
  <c r="K1116" i="126"/>
  <c r="K1115" i="126"/>
  <c r="K1114" i="126"/>
  <c r="K1113" i="126"/>
  <c r="K1112" i="126"/>
  <c r="K1111" i="126"/>
  <c r="K1110" i="126"/>
  <c r="K1109" i="126"/>
  <c r="K1108" i="126"/>
  <c r="K1107" i="126"/>
  <c r="K1106" i="126"/>
  <c r="K1105" i="126"/>
  <c r="K1104" i="126"/>
  <c r="K1103" i="126"/>
  <c r="K1102" i="126"/>
  <c r="K1101" i="126"/>
  <c r="K1100" i="126"/>
  <c r="K1099" i="126"/>
  <c r="K1098" i="126"/>
  <c r="K1097" i="126"/>
  <c r="K1096" i="126"/>
  <c r="K1095" i="126"/>
  <c r="K1094" i="126"/>
  <c r="K1093" i="126"/>
  <c r="K1092" i="126"/>
  <c r="K1091" i="126"/>
  <c r="K1090" i="126"/>
  <c r="K1089" i="126"/>
  <c r="K1088" i="126"/>
  <c r="K1087" i="126"/>
  <c r="K1086" i="126"/>
  <c r="K1085" i="126"/>
  <c r="K1084" i="126"/>
  <c r="K1083" i="126"/>
  <c r="K1082" i="126"/>
  <c r="K1081" i="126"/>
  <c r="K1080" i="126"/>
  <c r="K1079" i="126"/>
  <c r="K1078" i="126"/>
  <c r="K1077" i="126"/>
  <c r="K1076" i="126"/>
  <c r="K1075" i="126"/>
  <c r="K1074" i="126"/>
  <c r="K1073" i="126"/>
  <c r="K1072" i="126"/>
  <c r="K1071" i="126"/>
  <c r="K1070" i="126"/>
  <c r="K1069" i="126"/>
  <c r="K1068" i="126"/>
  <c r="K1067" i="126"/>
  <c r="K1066" i="126"/>
  <c r="K1065" i="126"/>
  <c r="K1064" i="126"/>
  <c r="K1063" i="126"/>
  <c r="K1062" i="126"/>
  <c r="K1061" i="126"/>
  <c r="K1060" i="126"/>
  <c r="K1059" i="126"/>
  <c r="K1058" i="126"/>
  <c r="K1057" i="126"/>
  <c r="K1056" i="126"/>
  <c r="K1055" i="126"/>
  <c r="K1054" i="126"/>
  <c r="K1053" i="126"/>
  <c r="K1052" i="126"/>
  <c r="K1051" i="126"/>
  <c r="K1050" i="126"/>
  <c r="K1049" i="126"/>
  <c r="K1048" i="126"/>
  <c r="K1047" i="126"/>
  <c r="K1046" i="126"/>
  <c r="K1045" i="126"/>
  <c r="K1044" i="126"/>
  <c r="K1043" i="126"/>
  <c r="K1042" i="126"/>
  <c r="K1041" i="126"/>
  <c r="K1040" i="126"/>
  <c r="K1039" i="126"/>
  <c r="K1038" i="126"/>
  <c r="K1037" i="126"/>
  <c r="K1036" i="126"/>
  <c r="K1035" i="126"/>
  <c r="K1034" i="126"/>
  <c r="K1033" i="126"/>
  <c r="K1032" i="126"/>
  <c r="K1031" i="126"/>
  <c r="K1030" i="126"/>
  <c r="K1029" i="126"/>
  <c r="K1028" i="126"/>
  <c r="K1027" i="126"/>
  <c r="K1026" i="126"/>
  <c r="K1025" i="126"/>
  <c r="K1024" i="126"/>
  <c r="K1023" i="126"/>
  <c r="K1022" i="126"/>
  <c r="K1021" i="126"/>
  <c r="K1020" i="126"/>
  <c r="K1019" i="126"/>
  <c r="K1018" i="126"/>
  <c r="K1017" i="126"/>
  <c r="K1016" i="126"/>
  <c r="K1015" i="126"/>
  <c r="K1014" i="126"/>
  <c r="K1013" i="126"/>
  <c r="K1012" i="126"/>
  <c r="K1011" i="126"/>
  <c r="K1010" i="126"/>
  <c r="K1009" i="126"/>
  <c r="K1008" i="126"/>
  <c r="K1007" i="126"/>
  <c r="K1006" i="126"/>
  <c r="K1005" i="126"/>
  <c r="K1004" i="126"/>
  <c r="K1003" i="126"/>
  <c r="K1002" i="126"/>
  <c r="K1001" i="126"/>
  <c r="K1000" i="126"/>
  <c r="K999" i="126"/>
  <c r="K998" i="126"/>
  <c r="K997" i="126"/>
  <c r="K996" i="126"/>
  <c r="K995" i="126"/>
  <c r="K994" i="126"/>
  <c r="K993" i="126"/>
  <c r="K992" i="126"/>
  <c r="K991" i="126"/>
  <c r="K990" i="126"/>
  <c r="K989" i="126"/>
  <c r="K988" i="126"/>
  <c r="K987" i="126"/>
  <c r="K986" i="126"/>
  <c r="K985" i="126"/>
  <c r="K984" i="126"/>
  <c r="K983" i="126"/>
  <c r="K982" i="126"/>
  <c r="K981" i="126"/>
  <c r="K980" i="126"/>
  <c r="K979" i="126"/>
  <c r="K978" i="126"/>
  <c r="K977" i="126"/>
  <c r="K976" i="126"/>
  <c r="K975" i="126"/>
  <c r="K974" i="126"/>
  <c r="K973" i="126"/>
  <c r="K972" i="126"/>
  <c r="K971" i="126"/>
  <c r="K970" i="126"/>
  <c r="K969" i="126"/>
  <c r="K968" i="126"/>
  <c r="K967" i="126"/>
  <c r="K966" i="126"/>
  <c r="K965" i="126"/>
  <c r="K964" i="126"/>
  <c r="K963" i="126"/>
  <c r="K962" i="126"/>
  <c r="K961" i="126"/>
  <c r="K960" i="126"/>
  <c r="K959" i="126"/>
  <c r="K958" i="126"/>
  <c r="K957" i="126"/>
  <c r="K956" i="126"/>
  <c r="K955" i="126"/>
  <c r="K954" i="126"/>
  <c r="K953" i="126"/>
  <c r="K952" i="126"/>
  <c r="K951" i="126"/>
  <c r="K950" i="126"/>
  <c r="K949" i="126"/>
  <c r="K948" i="126"/>
  <c r="K947" i="126"/>
  <c r="K946" i="126"/>
  <c r="K945" i="126"/>
  <c r="K944" i="126"/>
  <c r="K943" i="126"/>
  <c r="K942" i="126"/>
  <c r="K941" i="126"/>
  <c r="K940" i="126"/>
  <c r="K939" i="126"/>
  <c r="K938" i="126"/>
  <c r="K937" i="126"/>
  <c r="K936" i="126"/>
  <c r="K935" i="126"/>
  <c r="K934" i="126"/>
  <c r="K933" i="126"/>
  <c r="K932" i="126"/>
  <c r="K931" i="126"/>
  <c r="K930" i="126"/>
  <c r="K929" i="126"/>
  <c r="K928" i="126"/>
  <c r="K927" i="126"/>
  <c r="K926" i="126"/>
  <c r="K925" i="126"/>
  <c r="K924" i="126"/>
  <c r="K923" i="126"/>
  <c r="K922" i="126"/>
  <c r="K921" i="126"/>
  <c r="K920" i="126"/>
  <c r="K919" i="126"/>
  <c r="K918" i="126"/>
  <c r="K917" i="126"/>
  <c r="K916" i="126"/>
  <c r="K915" i="126"/>
  <c r="K914" i="126"/>
  <c r="K913" i="126"/>
  <c r="K912" i="126"/>
  <c r="K911" i="126"/>
  <c r="K910" i="126"/>
  <c r="K909" i="126"/>
  <c r="K908" i="126"/>
  <c r="K907" i="126"/>
  <c r="K906" i="126"/>
  <c r="K905" i="126"/>
  <c r="K904" i="126"/>
  <c r="K903" i="126"/>
  <c r="K902" i="126"/>
  <c r="K901" i="126"/>
  <c r="K900" i="126"/>
  <c r="K899" i="126"/>
  <c r="K898" i="126"/>
  <c r="K897" i="126"/>
  <c r="K896" i="126"/>
  <c r="K895" i="126"/>
  <c r="K894" i="126"/>
  <c r="K893" i="126"/>
  <c r="K892" i="126"/>
  <c r="K891" i="126"/>
  <c r="K890" i="126"/>
  <c r="K889" i="126"/>
  <c r="K888" i="126"/>
  <c r="K887" i="126"/>
  <c r="K886" i="126"/>
  <c r="K885" i="126"/>
  <c r="K884" i="126"/>
  <c r="K883" i="126"/>
  <c r="K882" i="126"/>
  <c r="K881" i="126"/>
  <c r="K880" i="126"/>
  <c r="K879" i="126"/>
  <c r="K878" i="126"/>
  <c r="K877" i="126"/>
  <c r="K876" i="126"/>
  <c r="K875" i="126"/>
  <c r="K874" i="126"/>
  <c r="K873" i="126"/>
  <c r="K872" i="126"/>
  <c r="K871" i="126"/>
  <c r="K870" i="126"/>
  <c r="K869" i="126"/>
  <c r="K868" i="126"/>
  <c r="K867" i="126"/>
  <c r="K866" i="126"/>
  <c r="K865" i="126"/>
  <c r="K864" i="126"/>
  <c r="K863" i="126"/>
  <c r="K862" i="126"/>
  <c r="K861" i="126"/>
  <c r="K860" i="126"/>
  <c r="K859" i="126"/>
  <c r="K858" i="126"/>
  <c r="K857" i="126"/>
  <c r="K856" i="126"/>
  <c r="K855" i="126"/>
  <c r="K854" i="126"/>
  <c r="K853" i="126"/>
  <c r="K852" i="126"/>
  <c r="K851" i="126"/>
  <c r="K850" i="126"/>
  <c r="K849" i="126"/>
  <c r="K848" i="126"/>
  <c r="K847" i="126"/>
  <c r="K846" i="126"/>
  <c r="K845" i="126"/>
  <c r="K844" i="126"/>
  <c r="K843" i="126"/>
  <c r="K842" i="126"/>
  <c r="K841" i="126"/>
  <c r="K840" i="126"/>
  <c r="K839" i="126"/>
  <c r="K838" i="126"/>
  <c r="K837" i="126"/>
  <c r="K836" i="126"/>
  <c r="K835" i="126"/>
  <c r="K834" i="126"/>
  <c r="K833" i="126"/>
  <c r="K832" i="126"/>
  <c r="K831" i="126"/>
  <c r="K830" i="126"/>
  <c r="K829" i="126"/>
  <c r="K828" i="126"/>
  <c r="K827" i="126"/>
  <c r="K826" i="126"/>
  <c r="K825" i="126"/>
  <c r="K824" i="126"/>
  <c r="K823" i="126"/>
  <c r="K822" i="126"/>
  <c r="K821" i="126"/>
  <c r="K820" i="126"/>
  <c r="K819" i="126"/>
  <c r="K818" i="126"/>
  <c r="K817" i="126"/>
  <c r="K816" i="126"/>
  <c r="K815" i="126"/>
  <c r="K814" i="126"/>
  <c r="K813" i="126"/>
  <c r="K812" i="126"/>
  <c r="K811" i="126"/>
  <c r="K810" i="126"/>
  <c r="K809" i="126"/>
  <c r="K808" i="126"/>
  <c r="K807" i="126"/>
  <c r="K806" i="126"/>
  <c r="K805" i="126"/>
  <c r="K804" i="126"/>
  <c r="K803" i="126"/>
  <c r="K802" i="126"/>
  <c r="K801" i="126"/>
  <c r="K800" i="126"/>
  <c r="K799" i="126"/>
  <c r="K798" i="126"/>
  <c r="K797" i="126"/>
  <c r="K796" i="126"/>
  <c r="K795" i="126"/>
  <c r="K794" i="126"/>
  <c r="K793" i="126"/>
  <c r="K792" i="126"/>
  <c r="K791" i="126"/>
  <c r="K790" i="126"/>
  <c r="K789" i="126"/>
  <c r="K788" i="126"/>
  <c r="K787" i="126"/>
  <c r="K786" i="126"/>
  <c r="K785" i="126"/>
  <c r="K784" i="126"/>
  <c r="K783" i="126"/>
  <c r="K782" i="126"/>
  <c r="K781" i="126"/>
  <c r="K780" i="126"/>
  <c r="K779" i="126"/>
  <c r="K778" i="126"/>
  <c r="K777" i="126"/>
  <c r="K776" i="126"/>
  <c r="K775" i="126"/>
  <c r="K774" i="126"/>
  <c r="K773" i="126"/>
  <c r="K772" i="126"/>
  <c r="K771" i="126"/>
  <c r="K770" i="126"/>
  <c r="K769" i="126"/>
  <c r="K768" i="126"/>
  <c r="K767" i="126"/>
  <c r="K766" i="126"/>
  <c r="K765" i="126"/>
  <c r="K764" i="126"/>
  <c r="K763" i="126"/>
  <c r="K762" i="126"/>
  <c r="K761" i="126"/>
  <c r="K760" i="126"/>
  <c r="K759" i="126"/>
  <c r="K758" i="126"/>
  <c r="K757" i="126"/>
  <c r="K756" i="126"/>
  <c r="K755" i="126"/>
  <c r="K754" i="126"/>
  <c r="K753" i="126"/>
  <c r="K752" i="126"/>
  <c r="K751" i="126"/>
  <c r="K750" i="126"/>
  <c r="K749" i="126"/>
  <c r="K748" i="126"/>
  <c r="K747" i="126"/>
  <c r="K746" i="126"/>
  <c r="K745" i="126"/>
  <c r="K744" i="126"/>
  <c r="K743" i="126"/>
  <c r="K742" i="126"/>
  <c r="K741" i="126"/>
  <c r="K740" i="126"/>
  <c r="K739" i="126"/>
  <c r="K738" i="126"/>
  <c r="K737" i="126"/>
  <c r="K736" i="126"/>
  <c r="K735" i="126"/>
  <c r="K734" i="126"/>
  <c r="K733" i="126"/>
  <c r="K732" i="126"/>
  <c r="K731" i="126"/>
  <c r="K730" i="126"/>
  <c r="K729" i="126"/>
  <c r="K728" i="126"/>
  <c r="K727" i="126"/>
  <c r="K726" i="126"/>
  <c r="K725" i="126"/>
  <c r="K724" i="126"/>
  <c r="K723" i="126"/>
  <c r="K722" i="126"/>
  <c r="K721" i="126"/>
  <c r="K720" i="126"/>
  <c r="K719" i="126"/>
  <c r="K718" i="126"/>
  <c r="K717" i="126"/>
  <c r="K716" i="126"/>
  <c r="K715" i="126"/>
  <c r="K714" i="126"/>
  <c r="K713" i="126"/>
  <c r="K712" i="126"/>
  <c r="K711" i="126"/>
  <c r="K710" i="126"/>
  <c r="K709" i="126"/>
  <c r="K708" i="126"/>
  <c r="K707" i="126"/>
  <c r="K706" i="126"/>
  <c r="K705" i="126"/>
  <c r="K704" i="126"/>
  <c r="K703" i="126"/>
  <c r="K702" i="126"/>
  <c r="K701" i="126"/>
  <c r="K700" i="126"/>
  <c r="K699" i="126"/>
  <c r="K698" i="126"/>
  <c r="K697" i="126"/>
  <c r="K696" i="126"/>
  <c r="K695" i="126"/>
  <c r="K694" i="126"/>
  <c r="K693" i="126"/>
  <c r="K692" i="126"/>
  <c r="K691" i="126"/>
  <c r="K690" i="126"/>
  <c r="K689" i="126"/>
  <c r="K688" i="126"/>
  <c r="K687" i="126"/>
  <c r="K686" i="126"/>
  <c r="K685" i="126"/>
  <c r="K684" i="126"/>
  <c r="K683" i="126"/>
  <c r="K682" i="126"/>
  <c r="K681" i="126"/>
  <c r="K680" i="126"/>
  <c r="K679" i="126"/>
  <c r="K678" i="126"/>
  <c r="K677" i="126"/>
  <c r="K676" i="126"/>
  <c r="K675" i="126"/>
  <c r="K674" i="126"/>
  <c r="K673" i="126"/>
  <c r="K672" i="126"/>
  <c r="K671" i="126"/>
  <c r="K670" i="126"/>
  <c r="K669" i="126"/>
  <c r="K668" i="126"/>
  <c r="K667" i="126"/>
  <c r="K666" i="126"/>
  <c r="K665" i="126"/>
  <c r="K664" i="126"/>
  <c r="K663" i="126"/>
  <c r="K662" i="126"/>
  <c r="K661" i="126"/>
  <c r="K660" i="126"/>
  <c r="K659" i="126"/>
  <c r="K658" i="126"/>
  <c r="K657" i="126"/>
  <c r="K656" i="126"/>
  <c r="K655" i="126"/>
  <c r="K654" i="126"/>
  <c r="K653" i="126"/>
  <c r="K652" i="126"/>
  <c r="K651" i="126"/>
  <c r="K650" i="126"/>
  <c r="K649" i="126"/>
  <c r="K648" i="126"/>
  <c r="K647" i="126"/>
  <c r="K646" i="126"/>
  <c r="K645" i="126"/>
  <c r="K644" i="126"/>
  <c r="K643" i="126"/>
  <c r="K642" i="126"/>
  <c r="K641" i="126"/>
  <c r="K640" i="126"/>
  <c r="K639" i="126"/>
  <c r="K638" i="126"/>
  <c r="K637" i="126"/>
  <c r="K636" i="126"/>
  <c r="K635" i="126"/>
  <c r="K634" i="126"/>
  <c r="K633" i="126"/>
  <c r="K632" i="126"/>
  <c r="K631" i="126"/>
  <c r="K630" i="126"/>
  <c r="K629" i="126"/>
  <c r="K628" i="126"/>
  <c r="K627" i="126"/>
  <c r="K626" i="126"/>
  <c r="K625" i="126"/>
  <c r="K624" i="126"/>
  <c r="K623" i="126"/>
  <c r="K622" i="126"/>
  <c r="K621" i="126"/>
  <c r="K620" i="126"/>
  <c r="K619" i="126"/>
  <c r="K618" i="126"/>
  <c r="K617" i="126"/>
  <c r="K616" i="126"/>
  <c r="K615" i="126"/>
  <c r="K614" i="126"/>
  <c r="K613" i="126"/>
  <c r="K612" i="126"/>
  <c r="K611" i="126"/>
  <c r="K610" i="126"/>
  <c r="K609" i="126"/>
  <c r="K608" i="126"/>
  <c r="K607" i="126"/>
  <c r="K606" i="126"/>
  <c r="K605" i="126"/>
  <c r="K604" i="126"/>
  <c r="K603" i="126"/>
  <c r="K602" i="126"/>
  <c r="K601" i="126"/>
  <c r="K600" i="126"/>
  <c r="K599" i="126"/>
  <c r="K598" i="126"/>
  <c r="K597" i="126"/>
  <c r="K596" i="126"/>
  <c r="K595" i="126"/>
  <c r="K594" i="126"/>
  <c r="K593" i="126"/>
  <c r="K592" i="126"/>
  <c r="K591" i="126"/>
  <c r="K590" i="126"/>
  <c r="K589" i="126"/>
  <c r="K588" i="126"/>
  <c r="K587" i="126"/>
  <c r="K586" i="126"/>
  <c r="K585" i="126"/>
  <c r="K584" i="126"/>
  <c r="K583" i="126"/>
  <c r="K582" i="126"/>
  <c r="K581" i="126"/>
  <c r="K580" i="126"/>
  <c r="K579" i="126"/>
  <c r="K578" i="126"/>
  <c r="K577" i="126"/>
  <c r="K576" i="126"/>
  <c r="K575" i="126"/>
  <c r="K574" i="126"/>
  <c r="K573" i="126"/>
  <c r="K572" i="126"/>
  <c r="K571" i="126"/>
  <c r="K570" i="126"/>
  <c r="K569" i="126"/>
  <c r="K568" i="126"/>
  <c r="K567" i="126"/>
  <c r="K566" i="126"/>
  <c r="K565" i="126"/>
  <c r="K564" i="126"/>
  <c r="K563" i="126"/>
  <c r="K562" i="126"/>
  <c r="K561" i="126"/>
  <c r="K560" i="126"/>
  <c r="K559" i="126"/>
  <c r="K558" i="126"/>
  <c r="K557" i="126"/>
  <c r="K556" i="126"/>
  <c r="K555" i="126"/>
  <c r="K554" i="126"/>
  <c r="K553" i="126"/>
  <c r="K552" i="126"/>
  <c r="K551" i="126"/>
  <c r="K550" i="126"/>
  <c r="K549" i="126"/>
  <c r="K548" i="126"/>
  <c r="K547" i="126"/>
  <c r="K546" i="126"/>
  <c r="K545" i="126"/>
  <c r="K544" i="126"/>
  <c r="K543" i="126"/>
  <c r="K542" i="126"/>
  <c r="K541" i="126"/>
  <c r="K540" i="126"/>
  <c r="K539" i="126"/>
  <c r="K538" i="126"/>
  <c r="K537" i="126"/>
  <c r="K536" i="126"/>
  <c r="K535" i="126"/>
  <c r="K534" i="126"/>
  <c r="K533" i="126"/>
  <c r="K532" i="126"/>
  <c r="K531" i="126"/>
  <c r="K530" i="126"/>
  <c r="K529" i="126"/>
  <c r="K528" i="126"/>
  <c r="K527" i="126"/>
  <c r="K526" i="126"/>
  <c r="K525" i="126"/>
  <c r="K524" i="126"/>
  <c r="K523" i="126"/>
  <c r="K522" i="126"/>
  <c r="K521" i="126"/>
  <c r="K520" i="126"/>
  <c r="K519" i="126"/>
  <c r="K518" i="126"/>
  <c r="K517" i="126"/>
  <c r="K516" i="126"/>
  <c r="K515" i="126"/>
  <c r="K514" i="126"/>
  <c r="K513" i="126"/>
  <c r="K512" i="126"/>
  <c r="K511" i="126"/>
  <c r="K510" i="126"/>
  <c r="K509" i="126"/>
  <c r="K508" i="126"/>
  <c r="K507" i="126"/>
  <c r="K506" i="126"/>
  <c r="K505" i="126"/>
  <c r="K504" i="126"/>
  <c r="K503" i="126"/>
  <c r="K502" i="126"/>
  <c r="K501" i="126"/>
  <c r="K500" i="126"/>
  <c r="K499" i="126"/>
  <c r="K498" i="126"/>
  <c r="K497" i="126"/>
  <c r="K496" i="126"/>
  <c r="K495" i="126"/>
  <c r="K494" i="126"/>
  <c r="K493" i="126"/>
  <c r="K492" i="126"/>
  <c r="K491" i="126"/>
  <c r="K490" i="126"/>
  <c r="K489" i="126"/>
  <c r="K488" i="126"/>
  <c r="K487" i="126"/>
  <c r="K486" i="126"/>
  <c r="K485" i="126"/>
  <c r="K484" i="126"/>
  <c r="K483" i="126"/>
  <c r="K482" i="126"/>
  <c r="K481" i="126"/>
  <c r="K480" i="126"/>
  <c r="K479" i="126"/>
  <c r="K478" i="126"/>
  <c r="K477" i="126"/>
  <c r="K476" i="126"/>
  <c r="K475" i="126"/>
  <c r="K474" i="126"/>
  <c r="K473" i="126"/>
  <c r="K472" i="126"/>
  <c r="K471" i="126"/>
  <c r="K470" i="126"/>
  <c r="K469" i="126"/>
  <c r="K468" i="126"/>
  <c r="K467" i="126"/>
  <c r="K466" i="126"/>
  <c r="K465" i="126"/>
  <c r="K464" i="126"/>
  <c r="K463" i="126"/>
  <c r="K462" i="126"/>
  <c r="K461" i="126"/>
  <c r="K460" i="126"/>
  <c r="K459" i="126"/>
  <c r="K458" i="126"/>
  <c r="K457" i="126"/>
  <c r="K456" i="126"/>
  <c r="K455" i="126"/>
  <c r="K454" i="126"/>
  <c r="K453" i="126"/>
  <c r="K452" i="126"/>
  <c r="K451" i="126"/>
  <c r="K450" i="126"/>
  <c r="K449" i="126"/>
  <c r="K448" i="126"/>
  <c r="K447" i="126"/>
  <c r="K446" i="126"/>
  <c r="K445" i="126"/>
  <c r="K444" i="126"/>
  <c r="K443" i="126"/>
  <c r="K442" i="126"/>
  <c r="K441" i="126"/>
  <c r="K440" i="126"/>
  <c r="K439" i="126"/>
  <c r="K438" i="126"/>
  <c r="K437" i="126"/>
  <c r="K436" i="126"/>
  <c r="K435" i="126"/>
  <c r="K434" i="126"/>
  <c r="K433" i="126"/>
  <c r="K432" i="126"/>
  <c r="K431" i="126"/>
  <c r="K430" i="126"/>
  <c r="K429" i="126"/>
  <c r="K428" i="126"/>
  <c r="K427" i="126"/>
  <c r="K426" i="126"/>
  <c r="K425" i="126"/>
  <c r="K424" i="126"/>
  <c r="K423" i="126"/>
  <c r="K422" i="126"/>
  <c r="K421" i="126"/>
  <c r="K420" i="126"/>
  <c r="K419" i="126"/>
  <c r="K418" i="126"/>
  <c r="K417" i="126"/>
  <c r="K416" i="126"/>
  <c r="K415" i="126"/>
  <c r="K414" i="126"/>
  <c r="K413" i="126"/>
  <c r="K412" i="126"/>
  <c r="K411" i="126"/>
  <c r="K410" i="126"/>
  <c r="K409" i="126"/>
  <c r="K408" i="126"/>
  <c r="K407" i="126"/>
  <c r="K406" i="126"/>
  <c r="K405" i="126"/>
  <c r="K404" i="126"/>
  <c r="K403" i="126"/>
  <c r="K402" i="126"/>
  <c r="K401" i="126"/>
  <c r="K400" i="126"/>
  <c r="K399" i="126"/>
  <c r="K398" i="126"/>
  <c r="K397" i="126"/>
  <c r="K396" i="126"/>
  <c r="K395" i="126"/>
  <c r="K394" i="126"/>
  <c r="K393" i="126"/>
  <c r="K392" i="126"/>
  <c r="K391" i="126"/>
  <c r="K390" i="126"/>
  <c r="K389" i="126"/>
  <c r="K388" i="126"/>
  <c r="K387" i="126"/>
  <c r="K386" i="126"/>
  <c r="K385" i="126"/>
  <c r="K384" i="126"/>
  <c r="K383" i="126"/>
  <c r="K382" i="126"/>
  <c r="K381" i="126"/>
  <c r="K380" i="126"/>
  <c r="K379" i="126"/>
  <c r="K378" i="126"/>
  <c r="K377" i="126"/>
  <c r="K376" i="126"/>
  <c r="K375" i="126"/>
  <c r="K374" i="126"/>
  <c r="K373" i="126"/>
  <c r="K372" i="126"/>
  <c r="K371" i="126"/>
  <c r="K370" i="126"/>
  <c r="K369" i="126"/>
  <c r="K368" i="126"/>
  <c r="K367" i="126"/>
  <c r="K366" i="126"/>
  <c r="K365" i="126"/>
  <c r="K364" i="126"/>
  <c r="K363" i="126"/>
  <c r="K362" i="126"/>
  <c r="K361" i="126"/>
  <c r="K360" i="126"/>
  <c r="K359" i="126"/>
  <c r="K358" i="126"/>
  <c r="K357" i="126"/>
  <c r="K356" i="126"/>
  <c r="K355" i="126"/>
  <c r="K354" i="126"/>
  <c r="K353" i="126"/>
  <c r="K352" i="126"/>
  <c r="K351" i="126"/>
  <c r="K350" i="126"/>
  <c r="K349" i="126"/>
  <c r="K348" i="126"/>
  <c r="K347" i="126"/>
  <c r="K346" i="126"/>
  <c r="K345" i="126"/>
  <c r="K344" i="126"/>
  <c r="K343" i="126"/>
  <c r="K342" i="126"/>
  <c r="K341" i="126"/>
  <c r="K340" i="126"/>
  <c r="K339" i="126"/>
  <c r="K338" i="126"/>
  <c r="K337" i="126"/>
  <c r="K336" i="126"/>
  <c r="K335" i="126"/>
  <c r="K334" i="126"/>
  <c r="K333" i="126"/>
  <c r="K332" i="126"/>
  <c r="K331" i="126"/>
  <c r="K330" i="126"/>
  <c r="K329" i="126"/>
  <c r="K328" i="126"/>
  <c r="K327" i="126"/>
  <c r="K326" i="126"/>
  <c r="K325" i="126"/>
  <c r="K324" i="126"/>
  <c r="K323" i="126"/>
  <c r="K322" i="126"/>
  <c r="K321" i="126"/>
  <c r="K320" i="126"/>
  <c r="K319" i="126"/>
  <c r="K318" i="126"/>
  <c r="K317" i="126"/>
  <c r="K316" i="126"/>
  <c r="K315" i="126"/>
  <c r="K314" i="126"/>
  <c r="K313" i="126"/>
  <c r="K312" i="126"/>
  <c r="K311" i="126"/>
  <c r="K310" i="126"/>
  <c r="K309" i="126"/>
  <c r="K308" i="126"/>
  <c r="K307" i="126"/>
  <c r="K306" i="126"/>
  <c r="K305" i="126"/>
  <c r="K304" i="126"/>
  <c r="K303" i="126"/>
  <c r="K302" i="126"/>
  <c r="K301" i="126"/>
  <c r="K300" i="126"/>
  <c r="K299" i="126"/>
  <c r="K298" i="126"/>
  <c r="K297" i="126"/>
  <c r="K296" i="126"/>
  <c r="K295" i="126"/>
  <c r="K294" i="126"/>
  <c r="K293" i="126"/>
  <c r="K292" i="126"/>
  <c r="K291" i="126"/>
  <c r="K290" i="126"/>
  <c r="K289" i="126"/>
  <c r="K288" i="126"/>
  <c r="K287" i="126"/>
  <c r="K286" i="126"/>
  <c r="K285" i="126"/>
  <c r="K284" i="126"/>
  <c r="K283" i="126"/>
  <c r="K282" i="126"/>
  <c r="K281" i="126"/>
  <c r="K280" i="126"/>
  <c r="K279" i="126"/>
  <c r="K278" i="126"/>
  <c r="K277" i="126"/>
  <c r="K276" i="126"/>
  <c r="K275" i="126"/>
  <c r="K274" i="126"/>
  <c r="K273" i="126"/>
  <c r="K272" i="126"/>
  <c r="K271" i="126"/>
  <c r="K270" i="126"/>
  <c r="K269" i="126"/>
  <c r="K268" i="126"/>
  <c r="K267" i="126"/>
  <c r="K266" i="126"/>
  <c r="K265" i="126"/>
  <c r="K264" i="126"/>
  <c r="K263" i="126"/>
  <c r="K262" i="126"/>
  <c r="K261" i="126"/>
  <c r="K260" i="126"/>
  <c r="K259" i="126"/>
  <c r="K258" i="126"/>
  <c r="K257" i="126"/>
  <c r="K256" i="126"/>
  <c r="K255" i="126"/>
  <c r="K254" i="126"/>
  <c r="K253" i="126"/>
  <c r="K252" i="126"/>
  <c r="K251" i="126"/>
  <c r="K250" i="126"/>
  <c r="K249" i="126"/>
  <c r="K248" i="126"/>
  <c r="K247" i="126"/>
  <c r="K246" i="126"/>
  <c r="K245" i="126"/>
  <c r="K244" i="126"/>
  <c r="K243" i="126"/>
  <c r="K242" i="126"/>
  <c r="K241" i="126"/>
  <c r="K240" i="126"/>
  <c r="K239" i="126"/>
  <c r="K238" i="126"/>
  <c r="K237" i="126"/>
  <c r="K236" i="126"/>
  <c r="K235" i="126"/>
  <c r="K234" i="126"/>
  <c r="K233" i="126"/>
  <c r="K232" i="126"/>
  <c r="K231" i="126"/>
  <c r="K230" i="126"/>
  <c r="K229" i="126"/>
  <c r="K228" i="126"/>
  <c r="K227" i="126"/>
  <c r="K226" i="126"/>
  <c r="K225" i="126"/>
  <c r="K224" i="126"/>
  <c r="K223" i="126"/>
  <c r="K222" i="126"/>
  <c r="K221" i="126"/>
  <c r="K220" i="126"/>
  <c r="K219" i="126"/>
  <c r="K218" i="126"/>
  <c r="K217" i="126"/>
  <c r="K216" i="126"/>
  <c r="K215" i="126"/>
  <c r="K214" i="126"/>
  <c r="K213" i="126"/>
  <c r="K212" i="126"/>
  <c r="K211" i="126"/>
  <c r="K210" i="126"/>
  <c r="K209" i="126"/>
  <c r="K208" i="126"/>
  <c r="K207" i="126"/>
  <c r="K206" i="126"/>
  <c r="K205" i="126"/>
  <c r="K204" i="126"/>
  <c r="K203" i="126"/>
  <c r="K202" i="126"/>
  <c r="K201" i="126"/>
  <c r="K200" i="126"/>
  <c r="K199" i="126"/>
  <c r="K198" i="126"/>
  <c r="K197" i="126"/>
  <c r="K196" i="126"/>
  <c r="K195" i="126"/>
  <c r="K194" i="126"/>
  <c r="K193" i="126"/>
  <c r="K192" i="126"/>
  <c r="K191" i="126"/>
  <c r="K190" i="126"/>
  <c r="K189" i="126"/>
  <c r="K188" i="126"/>
  <c r="K187" i="126"/>
  <c r="K186" i="126"/>
  <c r="K185" i="126"/>
  <c r="K184" i="126"/>
  <c r="K183" i="126"/>
  <c r="K182" i="126"/>
  <c r="K181" i="126"/>
  <c r="K180" i="126"/>
  <c r="K179" i="126"/>
  <c r="K178" i="126"/>
  <c r="K177" i="126"/>
  <c r="K176" i="126"/>
  <c r="K175" i="126"/>
  <c r="K174" i="126"/>
  <c r="K173" i="126"/>
  <c r="K172" i="126"/>
  <c r="K171" i="126"/>
  <c r="K170" i="126"/>
  <c r="K169" i="126"/>
  <c r="K168" i="126"/>
  <c r="K167" i="126"/>
  <c r="K166" i="126"/>
  <c r="K165" i="126"/>
  <c r="K164" i="126"/>
  <c r="K163" i="126"/>
  <c r="K162" i="126"/>
  <c r="K161" i="126"/>
  <c r="K160" i="126"/>
  <c r="K159" i="126"/>
  <c r="K158" i="126"/>
  <c r="K157" i="126"/>
  <c r="K156" i="126"/>
  <c r="K155" i="126"/>
  <c r="K154" i="126"/>
  <c r="K153" i="126"/>
  <c r="K152" i="126"/>
  <c r="K151" i="126"/>
  <c r="K150" i="126"/>
  <c r="K149" i="126"/>
  <c r="K148" i="126"/>
  <c r="K147" i="126"/>
  <c r="K146" i="126"/>
  <c r="K145" i="126"/>
  <c r="K144" i="126"/>
  <c r="K143" i="126"/>
  <c r="K142" i="126"/>
  <c r="K141" i="126"/>
  <c r="K140" i="126"/>
  <c r="K139" i="126"/>
  <c r="K138" i="126"/>
  <c r="K137" i="126"/>
  <c r="K136" i="126"/>
  <c r="K135" i="126"/>
  <c r="K134" i="126"/>
  <c r="K133" i="126"/>
  <c r="K132" i="126"/>
  <c r="K131" i="126"/>
  <c r="K130" i="126"/>
  <c r="K129" i="126"/>
  <c r="K128" i="126"/>
  <c r="K127" i="126"/>
  <c r="K126" i="126"/>
  <c r="K125" i="126"/>
  <c r="K124" i="126"/>
  <c r="K123" i="126"/>
  <c r="K122" i="126"/>
  <c r="K121" i="126"/>
  <c r="K120" i="126"/>
  <c r="K119" i="126"/>
  <c r="K118" i="126"/>
  <c r="K117" i="126"/>
  <c r="K116" i="126"/>
  <c r="K115" i="126"/>
  <c r="K114" i="126"/>
  <c r="K113" i="126"/>
  <c r="K112" i="126"/>
  <c r="K111" i="126"/>
  <c r="K110" i="126"/>
  <c r="K109" i="126"/>
  <c r="K108" i="126"/>
  <c r="K107" i="126"/>
  <c r="K106" i="126"/>
  <c r="K105" i="126"/>
  <c r="K104" i="126"/>
  <c r="K103" i="126"/>
  <c r="K102" i="126"/>
  <c r="K101" i="126"/>
  <c r="K100" i="126"/>
  <c r="K99" i="126"/>
  <c r="K98" i="126"/>
  <c r="K97" i="126"/>
  <c r="K96" i="126"/>
  <c r="K95" i="126"/>
  <c r="K94" i="126"/>
  <c r="K93" i="126"/>
  <c r="K92" i="126"/>
  <c r="K91" i="126"/>
  <c r="K90" i="126"/>
  <c r="K89" i="126"/>
  <c r="K88" i="126"/>
  <c r="K87" i="126"/>
  <c r="K86" i="126"/>
  <c r="K85" i="126"/>
  <c r="K84" i="126"/>
  <c r="K83" i="126"/>
  <c r="K82" i="126"/>
  <c r="K81" i="126"/>
  <c r="K80" i="126"/>
  <c r="K79" i="126"/>
  <c r="K78" i="126"/>
  <c r="K77" i="126"/>
  <c r="K76" i="126"/>
  <c r="K75" i="126"/>
  <c r="K74" i="126"/>
  <c r="K73" i="126"/>
  <c r="K72" i="126"/>
  <c r="K71" i="126"/>
  <c r="K70" i="126"/>
  <c r="K69" i="126"/>
  <c r="K68" i="126"/>
  <c r="K67" i="126"/>
  <c r="K66" i="126"/>
  <c r="K65" i="126"/>
  <c r="K64" i="126"/>
  <c r="K63" i="126"/>
  <c r="K62" i="126"/>
  <c r="K61" i="126"/>
  <c r="K60" i="126"/>
  <c r="K59" i="126"/>
  <c r="K58" i="126"/>
  <c r="K57" i="126"/>
  <c r="K56" i="126"/>
  <c r="K55" i="126"/>
  <c r="K54" i="126"/>
  <c r="K53" i="126"/>
  <c r="K52" i="126"/>
  <c r="K51" i="126"/>
  <c r="K50" i="126"/>
  <c r="K49" i="126"/>
  <c r="K48" i="126"/>
  <c r="K47" i="126"/>
  <c r="K46" i="126"/>
  <c r="K45" i="126"/>
  <c r="K44" i="126"/>
  <c r="K43" i="126"/>
  <c r="K42" i="126"/>
  <c r="K41" i="126"/>
  <c r="K40" i="126"/>
  <c r="K39" i="126"/>
  <c r="K38" i="126"/>
  <c r="K37" i="126"/>
  <c r="K36" i="126"/>
  <c r="K35" i="126"/>
  <c r="K34" i="126"/>
  <c r="K33" i="126"/>
  <c r="K32" i="126"/>
  <c r="K31" i="126"/>
  <c r="K30" i="126"/>
  <c r="K29" i="126"/>
  <c r="K28" i="126"/>
  <c r="K27" i="126"/>
  <c r="K26" i="126"/>
  <c r="K25" i="126"/>
  <c r="K24" i="126"/>
  <c r="K23" i="126"/>
  <c r="K22" i="126"/>
  <c r="K21" i="126"/>
  <c r="K20" i="126"/>
  <c r="K19" i="126"/>
  <c r="K18" i="126"/>
  <c r="K17" i="126"/>
  <c r="K16" i="126"/>
  <c r="K15" i="126"/>
  <c r="K14" i="126"/>
  <c r="K13" i="126"/>
  <c r="K12" i="126"/>
  <c r="K3" i="126"/>
  <c r="K4" i="126"/>
  <c r="K5" i="126"/>
  <c r="K6" i="126"/>
  <c r="K7" i="126"/>
  <c r="K8" i="126"/>
  <c r="K9" i="126"/>
  <c r="K10" i="126"/>
  <c r="K11" i="126"/>
  <c r="K2" i="126"/>
  <c r="N3" i="133"/>
  <c r="N4" i="133"/>
  <c r="N5" i="133"/>
  <c r="N6" i="133"/>
  <c r="N7" i="133"/>
  <c r="N8" i="133"/>
  <c r="N9" i="133"/>
  <c r="N10" i="133"/>
  <c r="N11" i="133"/>
  <c r="N12" i="133"/>
  <c r="N13" i="133"/>
  <c r="N14" i="133"/>
  <c r="N15" i="133"/>
  <c r="N16" i="133"/>
  <c r="N17" i="133"/>
  <c r="N18" i="133"/>
  <c r="N19" i="133"/>
  <c r="N20" i="133"/>
  <c r="N21" i="133"/>
  <c r="N22" i="133"/>
  <c r="N23" i="133"/>
  <c r="N24" i="133"/>
  <c r="N25" i="133"/>
  <c r="N26" i="133"/>
  <c r="N27" i="133"/>
  <c r="N28" i="133"/>
  <c r="N29" i="133"/>
  <c r="N30" i="133"/>
  <c r="N31" i="133"/>
  <c r="N32" i="133"/>
  <c r="N33" i="133"/>
  <c r="N34" i="133"/>
  <c r="N35" i="133"/>
  <c r="N36" i="133"/>
  <c r="N37" i="133"/>
  <c r="N38" i="133"/>
  <c r="N39" i="133"/>
  <c r="N40" i="133"/>
  <c r="N41" i="133"/>
  <c r="N42" i="133"/>
  <c r="N43" i="133"/>
  <c r="N44" i="133"/>
  <c r="N45" i="133"/>
  <c r="N46" i="133"/>
  <c r="N47" i="133"/>
  <c r="N48" i="133"/>
  <c r="N49" i="133"/>
  <c r="N50" i="133"/>
  <c r="N51" i="133"/>
  <c r="N52" i="133"/>
  <c r="N53" i="133"/>
  <c r="N54" i="133"/>
  <c r="N55" i="133"/>
  <c r="N56" i="133"/>
  <c r="N57" i="133"/>
  <c r="N58" i="133"/>
  <c r="N59" i="133"/>
  <c r="N60" i="133"/>
  <c r="N61" i="133"/>
  <c r="N62" i="133"/>
  <c r="N63" i="133"/>
  <c r="N64" i="133"/>
  <c r="N65" i="133"/>
  <c r="N66" i="133"/>
  <c r="N67" i="133"/>
  <c r="N68" i="133"/>
  <c r="N69" i="133"/>
  <c r="N70" i="133"/>
  <c r="N71" i="133"/>
  <c r="N72" i="133"/>
  <c r="N73" i="133"/>
  <c r="N74" i="133"/>
  <c r="N75" i="133"/>
  <c r="N76" i="133"/>
  <c r="N77" i="133"/>
  <c r="N78" i="133"/>
  <c r="N79" i="133"/>
  <c r="N80" i="133"/>
  <c r="N81" i="133"/>
  <c r="N82" i="133"/>
  <c r="N83" i="133"/>
  <c r="N84" i="133"/>
  <c r="N85" i="133"/>
  <c r="N86" i="133"/>
  <c r="N87" i="133"/>
  <c r="N88" i="133"/>
  <c r="N89" i="133"/>
  <c r="N90" i="133"/>
  <c r="N91" i="133"/>
  <c r="N92" i="133"/>
  <c r="N93" i="133"/>
  <c r="N94" i="133"/>
  <c r="N95" i="133"/>
  <c r="N96" i="133"/>
  <c r="N97" i="133"/>
  <c r="N98" i="133"/>
  <c r="N99" i="133"/>
  <c r="N100" i="133"/>
  <c r="N101" i="133"/>
  <c r="N102" i="133"/>
  <c r="N103" i="133"/>
  <c r="N104" i="133"/>
  <c r="N105" i="133"/>
  <c r="N106" i="133"/>
  <c r="N107" i="133"/>
  <c r="N108" i="133"/>
  <c r="N109" i="133"/>
  <c r="N110" i="133"/>
  <c r="N111" i="133"/>
  <c r="N112" i="133"/>
  <c r="N113" i="133"/>
  <c r="N114" i="133"/>
  <c r="N115" i="133"/>
  <c r="N116" i="133"/>
  <c r="N117" i="133"/>
  <c r="N118" i="133"/>
  <c r="N119" i="133"/>
  <c r="N120" i="133"/>
  <c r="N121" i="133"/>
  <c r="N122" i="133"/>
  <c r="N123" i="133"/>
  <c r="N124" i="133"/>
  <c r="N125" i="133"/>
  <c r="N126" i="133"/>
  <c r="N127" i="133"/>
  <c r="N128" i="133"/>
  <c r="N129" i="133"/>
  <c r="N130" i="133"/>
  <c r="N131" i="133"/>
  <c r="N132" i="133"/>
  <c r="N133" i="133"/>
  <c r="N134" i="133"/>
  <c r="N135" i="133"/>
  <c r="N136" i="133"/>
  <c r="N137" i="133"/>
  <c r="N138" i="133"/>
  <c r="N139" i="133"/>
  <c r="N140" i="133"/>
  <c r="N141" i="133"/>
  <c r="N142" i="133"/>
  <c r="N143" i="133"/>
  <c r="N144" i="133"/>
  <c r="N145" i="133"/>
  <c r="N146" i="133"/>
  <c r="N147" i="133"/>
  <c r="N148" i="133"/>
  <c r="N149" i="133"/>
  <c r="N150" i="133"/>
  <c r="N151" i="133"/>
  <c r="N152" i="133"/>
  <c r="N153" i="133"/>
  <c r="N154" i="133"/>
  <c r="N155" i="133"/>
  <c r="N156" i="133"/>
  <c r="N157" i="133"/>
  <c r="N158" i="133"/>
  <c r="N159" i="133"/>
  <c r="N160" i="133"/>
  <c r="N161" i="133"/>
  <c r="N162" i="133"/>
  <c r="N163" i="133"/>
  <c r="N164" i="133"/>
  <c r="N165" i="133"/>
  <c r="N166" i="133"/>
  <c r="N167" i="133"/>
  <c r="N168" i="133"/>
  <c r="N169" i="133"/>
  <c r="N170" i="133"/>
  <c r="N171" i="133"/>
  <c r="N172" i="133"/>
  <c r="N173" i="133"/>
  <c r="N174" i="133"/>
  <c r="N175" i="133"/>
  <c r="N176" i="133"/>
  <c r="N177" i="133"/>
  <c r="N178" i="133"/>
  <c r="N179" i="133"/>
  <c r="N180" i="133"/>
  <c r="N181" i="133"/>
  <c r="N182" i="133"/>
  <c r="N183" i="133"/>
  <c r="N184" i="133"/>
  <c r="N185" i="133"/>
  <c r="N186" i="133"/>
  <c r="N187" i="133"/>
  <c r="N188" i="133"/>
  <c r="N189" i="133"/>
  <c r="N190" i="133"/>
  <c r="N191" i="133"/>
  <c r="N192" i="133"/>
  <c r="N193" i="133"/>
  <c r="N194" i="133"/>
  <c r="N195" i="133"/>
  <c r="N196" i="133"/>
  <c r="N197" i="133"/>
  <c r="N198" i="133"/>
  <c r="N199" i="133"/>
  <c r="N200" i="133"/>
  <c r="N201" i="133"/>
  <c r="N202" i="133"/>
  <c r="N203" i="133"/>
  <c r="N204" i="133"/>
  <c r="N205" i="133"/>
  <c r="N206" i="133"/>
  <c r="N207" i="133"/>
  <c r="N208" i="133"/>
  <c r="N209" i="133"/>
  <c r="N210" i="133"/>
  <c r="N211" i="133"/>
  <c r="N212" i="133"/>
  <c r="N213" i="133"/>
  <c r="N214" i="133"/>
  <c r="N215" i="133"/>
  <c r="N216" i="133"/>
  <c r="N217" i="133"/>
  <c r="N218" i="133"/>
  <c r="N219" i="133"/>
  <c r="N220" i="133"/>
  <c r="N221" i="133"/>
  <c r="N222" i="133"/>
  <c r="N223" i="133"/>
  <c r="N224" i="133"/>
  <c r="N225" i="133"/>
  <c r="N226" i="133"/>
  <c r="N227" i="133"/>
  <c r="N228" i="133"/>
  <c r="N229" i="133"/>
  <c r="N230" i="133"/>
  <c r="N231" i="133"/>
  <c r="N232" i="133"/>
  <c r="N233" i="133"/>
  <c r="N234" i="133"/>
  <c r="N235" i="133"/>
  <c r="N236" i="133"/>
  <c r="N237" i="133"/>
  <c r="N238" i="133"/>
  <c r="N239" i="133"/>
  <c r="N240" i="133"/>
  <c r="N241" i="133"/>
  <c r="N242" i="133"/>
  <c r="N243" i="133"/>
  <c r="N244" i="133"/>
  <c r="N245" i="133"/>
  <c r="N246" i="133"/>
  <c r="N247" i="133"/>
  <c r="N248" i="133"/>
  <c r="N249" i="133"/>
  <c r="N250" i="133"/>
  <c r="N251" i="133"/>
  <c r="N252" i="133"/>
  <c r="N253" i="133"/>
  <c r="N254" i="133"/>
  <c r="N255" i="133"/>
  <c r="N256" i="133"/>
  <c r="N257" i="133"/>
  <c r="N258" i="133"/>
  <c r="N259" i="133"/>
  <c r="N260" i="133"/>
  <c r="N261" i="133"/>
  <c r="N262" i="133"/>
  <c r="N263" i="133"/>
  <c r="N264" i="133"/>
  <c r="N265" i="133"/>
  <c r="N266" i="133"/>
  <c r="N267" i="133"/>
  <c r="N268" i="133"/>
  <c r="N269" i="133"/>
  <c r="N270" i="133"/>
  <c r="N271" i="133"/>
  <c r="N272" i="133"/>
  <c r="N273" i="133"/>
  <c r="N274" i="133"/>
  <c r="N275" i="133"/>
  <c r="N276" i="133"/>
  <c r="N277" i="133"/>
  <c r="N278" i="133"/>
  <c r="N279" i="133"/>
  <c r="N280" i="133"/>
  <c r="N281" i="133"/>
  <c r="N282" i="133"/>
  <c r="N283" i="133"/>
  <c r="N284" i="133"/>
  <c r="N285" i="133"/>
  <c r="N286" i="133"/>
  <c r="N287" i="133"/>
  <c r="N288" i="133"/>
  <c r="N289" i="133"/>
  <c r="N290" i="133"/>
  <c r="N291" i="133"/>
  <c r="N292" i="133"/>
  <c r="N293" i="133"/>
  <c r="N294" i="133"/>
  <c r="N295" i="133"/>
  <c r="N296" i="133"/>
  <c r="N297" i="133"/>
  <c r="N298" i="133"/>
  <c r="N299" i="133"/>
  <c r="N300" i="133"/>
  <c r="N301" i="133"/>
  <c r="N302" i="133"/>
  <c r="N303" i="133"/>
  <c r="N304" i="133"/>
  <c r="N305" i="133"/>
  <c r="N306" i="133"/>
  <c r="N307" i="133"/>
  <c r="N308" i="133"/>
  <c r="N309" i="133"/>
  <c r="N310" i="133"/>
  <c r="N311" i="133"/>
  <c r="N312" i="133"/>
  <c r="N313" i="133"/>
  <c r="N314" i="133"/>
  <c r="N315" i="133"/>
  <c r="N316" i="133"/>
  <c r="N317" i="133"/>
  <c r="N318" i="133"/>
  <c r="N319" i="133"/>
  <c r="N320" i="133"/>
  <c r="N321" i="133"/>
  <c r="N322" i="133"/>
  <c r="N323" i="133"/>
  <c r="N324" i="133"/>
  <c r="N325" i="133"/>
  <c r="N326" i="133"/>
  <c r="N327" i="133"/>
  <c r="N328" i="133"/>
  <c r="N329" i="133"/>
  <c r="N330" i="133"/>
  <c r="N331" i="133"/>
  <c r="N332" i="133"/>
  <c r="N333" i="133"/>
  <c r="N334" i="133"/>
  <c r="N335" i="133"/>
  <c r="N336" i="133"/>
  <c r="N337" i="133"/>
  <c r="N338" i="133"/>
  <c r="N339" i="133"/>
  <c r="N340" i="133"/>
  <c r="N341" i="133"/>
  <c r="N342" i="133"/>
  <c r="N343" i="133"/>
  <c r="N344" i="133"/>
  <c r="N345" i="133"/>
  <c r="N346" i="133"/>
  <c r="N347" i="133"/>
  <c r="N348" i="133"/>
  <c r="N349" i="133"/>
  <c r="N350" i="133"/>
  <c r="N351" i="133"/>
  <c r="N352" i="133"/>
  <c r="N353" i="133"/>
  <c r="N354" i="133"/>
  <c r="N355" i="133"/>
  <c r="N356" i="133"/>
  <c r="N357" i="133"/>
  <c r="N358" i="133"/>
  <c r="N359" i="133"/>
  <c r="N360" i="133"/>
  <c r="N361" i="133"/>
  <c r="N362" i="133"/>
  <c r="N363" i="133"/>
  <c r="N364" i="133"/>
  <c r="N365" i="133"/>
  <c r="N366" i="133"/>
  <c r="N367" i="133"/>
  <c r="N368" i="133"/>
  <c r="N369" i="133"/>
  <c r="N370" i="133"/>
  <c r="N371" i="133"/>
  <c r="N372" i="133"/>
  <c r="N373" i="133"/>
  <c r="N374" i="133"/>
  <c r="N375" i="133"/>
  <c r="N376" i="133"/>
  <c r="N377" i="133"/>
  <c r="N378" i="133"/>
  <c r="N379" i="133"/>
  <c r="N380" i="133"/>
  <c r="N381" i="133"/>
  <c r="N382" i="133"/>
  <c r="N383" i="133"/>
  <c r="N384" i="133"/>
  <c r="N385" i="133"/>
  <c r="N386" i="133"/>
  <c r="N387" i="133"/>
  <c r="N388" i="133"/>
  <c r="N389" i="133"/>
  <c r="N390" i="133"/>
  <c r="N391" i="133"/>
  <c r="N392" i="133"/>
  <c r="N393" i="133"/>
  <c r="N394" i="133"/>
  <c r="N395" i="133"/>
  <c r="N396" i="133"/>
  <c r="N397" i="133"/>
  <c r="N398" i="133"/>
  <c r="N399" i="133"/>
  <c r="N400" i="133"/>
  <c r="N401" i="133"/>
  <c r="N402" i="133"/>
  <c r="N403" i="133"/>
  <c r="N404" i="133"/>
  <c r="N405" i="133"/>
  <c r="N406" i="133"/>
  <c r="N407" i="133"/>
  <c r="N408" i="133"/>
  <c r="N409" i="133"/>
  <c r="N410" i="133"/>
  <c r="N411" i="133"/>
  <c r="N412" i="133"/>
  <c r="N413" i="133"/>
  <c r="N414" i="133"/>
  <c r="N415" i="133"/>
  <c r="N416" i="133"/>
  <c r="N417" i="133"/>
  <c r="N418" i="133"/>
  <c r="N419" i="133"/>
  <c r="N420" i="133"/>
  <c r="N421" i="133"/>
  <c r="N422" i="133"/>
  <c r="N423" i="133"/>
  <c r="N424" i="133"/>
  <c r="N425" i="133"/>
  <c r="N426" i="133"/>
  <c r="N427" i="133"/>
  <c r="N428" i="133"/>
  <c r="N429" i="133"/>
  <c r="N430" i="133"/>
  <c r="N431" i="133"/>
  <c r="N432" i="133"/>
  <c r="N433" i="133"/>
  <c r="N434" i="133"/>
  <c r="N435" i="133"/>
  <c r="N436" i="133"/>
  <c r="N437" i="133"/>
  <c r="N438" i="133"/>
  <c r="N439" i="133"/>
  <c r="N440" i="133"/>
  <c r="N441" i="133"/>
  <c r="N442" i="133"/>
  <c r="N443" i="133"/>
  <c r="N444" i="133"/>
  <c r="N445" i="133"/>
  <c r="N446" i="133"/>
  <c r="N447" i="133"/>
  <c r="N448" i="133"/>
  <c r="N449" i="133"/>
  <c r="N450" i="133"/>
  <c r="N451" i="133"/>
  <c r="N452" i="133"/>
  <c r="N453" i="133"/>
  <c r="N454" i="133"/>
  <c r="N455" i="133"/>
  <c r="N456" i="133"/>
  <c r="N457" i="133"/>
  <c r="N458" i="133"/>
  <c r="N459" i="133"/>
  <c r="N460" i="133"/>
  <c r="N461" i="133"/>
  <c r="N462" i="133"/>
  <c r="N463" i="133"/>
  <c r="N464" i="133"/>
  <c r="N465" i="133"/>
  <c r="N466" i="133"/>
  <c r="N467" i="133"/>
  <c r="N468" i="133"/>
  <c r="N469" i="133"/>
  <c r="N470" i="133"/>
  <c r="N471" i="133"/>
  <c r="N472" i="133"/>
  <c r="N473" i="133"/>
  <c r="N474" i="133"/>
  <c r="N475" i="133"/>
  <c r="N476" i="133"/>
  <c r="N477" i="133"/>
  <c r="N478" i="133"/>
  <c r="N479" i="133"/>
  <c r="N480" i="133"/>
  <c r="N481" i="133"/>
  <c r="N482" i="133"/>
  <c r="N483" i="133"/>
  <c r="N484" i="133"/>
  <c r="N485" i="133"/>
  <c r="N486" i="133"/>
  <c r="N487" i="133"/>
  <c r="N488" i="133"/>
  <c r="N489" i="133"/>
  <c r="N490" i="133"/>
  <c r="N491" i="133"/>
  <c r="N492" i="133"/>
  <c r="N493" i="133"/>
  <c r="N494" i="133"/>
  <c r="N495" i="133"/>
  <c r="N496" i="133"/>
  <c r="N497" i="133"/>
  <c r="N498" i="133"/>
  <c r="N499" i="133"/>
  <c r="N500" i="133"/>
  <c r="N501" i="133"/>
  <c r="N502" i="133"/>
  <c r="N503" i="133"/>
  <c r="N504" i="133"/>
  <c r="N505" i="133"/>
  <c r="N506" i="133"/>
  <c r="N507" i="133"/>
  <c r="N508" i="133"/>
  <c r="N509" i="133"/>
  <c r="N510" i="133"/>
  <c r="N511" i="133"/>
  <c r="N512" i="133"/>
  <c r="N513" i="133"/>
  <c r="N514" i="133"/>
  <c r="N515" i="133"/>
  <c r="N516" i="133"/>
  <c r="N517" i="133"/>
  <c r="N518" i="133"/>
  <c r="N519" i="133"/>
  <c r="N520" i="133"/>
  <c r="N521" i="133"/>
  <c r="N522" i="133"/>
  <c r="N523" i="133"/>
  <c r="N524" i="133"/>
  <c r="N525" i="133"/>
  <c r="N526" i="133"/>
  <c r="N527" i="133"/>
  <c r="N528" i="133"/>
  <c r="N529" i="133"/>
  <c r="N530" i="133"/>
  <c r="N531" i="133"/>
  <c r="N532" i="133"/>
  <c r="N533" i="133"/>
  <c r="N534" i="133"/>
  <c r="N535" i="133"/>
  <c r="N536" i="133"/>
  <c r="N537" i="133"/>
  <c r="N538" i="133"/>
  <c r="N539" i="133"/>
  <c r="N540" i="133"/>
  <c r="N541" i="133"/>
  <c r="N542" i="133"/>
  <c r="N543" i="133"/>
  <c r="N544" i="133"/>
  <c r="N545" i="133"/>
  <c r="N546" i="133"/>
  <c r="N547" i="133"/>
  <c r="N548" i="133"/>
  <c r="N549" i="133"/>
  <c r="N550" i="133"/>
  <c r="N551" i="133"/>
  <c r="N552" i="133"/>
  <c r="N553" i="133"/>
  <c r="N554" i="133"/>
  <c r="N555" i="133"/>
  <c r="N556" i="133"/>
  <c r="N557" i="133"/>
  <c r="N558" i="133"/>
  <c r="N559" i="133"/>
  <c r="N560" i="133"/>
  <c r="N561" i="133"/>
  <c r="N562" i="133"/>
  <c r="N563" i="133"/>
  <c r="N564" i="133"/>
  <c r="N565" i="133"/>
  <c r="N566" i="133"/>
  <c r="N567" i="133"/>
  <c r="N568" i="133"/>
  <c r="N569" i="133"/>
  <c r="N570" i="133"/>
  <c r="N571" i="133"/>
  <c r="N572" i="133"/>
  <c r="N573" i="133"/>
  <c r="N574" i="133"/>
  <c r="N575" i="133"/>
  <c r="N576" i="133"/>
  <c r="N577" i="133"/>
  <c r="N578" i="133"/>
  <c r="N579" i="133"/>
  <c r="N580" i="133"/>
  <c r="N581" i="133"/>
  <c r="N582" i="133"/>
  <c r="N583" i="133"/>
  <c r="N584" i="133"/>
  <c r="N585" i="133"/>
  <c r="N586" i="133"/>
  <c r="N587" i="133"/>
  <c r="N588" i="133"/>
  <c r="N589" i="133"/>
  <c r="N590" i="133"/>
  <c r="N591" i="133"/>
  <c r="N592" i="133"/>
  <c r="N593" i="133"/>
  <c r="N594" i="133"/>
  <c r="N595" i="133"/>
  <c r="N596" i="133"/>
  <c r="N597" i="133"/>
  <c r="N598" i="133"/>
  <c r="N599" i="133"/>
  <c r="N600" i="133"/>
  <c r="N601" i="133"/>
  <c r="N602" i="133"/>
  <c r="N603" i="133"/>
  <c r="N604" i="133"/>
  <c r="N605" i="133"/>
  <c r="N606" i="133"/>
  <c r="N607" i="133"/>
  <c r="N608" i="133"/>
  <c r="N609" i="133"/>
  <c r="N610" i="133"/>
  <c r="N611" i="133"/>
  <c r="N612" i="133"/>
  <c r="N613" i="133"/>
  <c r="N614" i="133"/>
  <c r="N615" i="133"/>
  <c r="N616" i="133"/>
  <c r="N617" i="133"/>
  <c r="N618" i="133"/>
  <c r="N619" i="133"/>
  <c r="N620" i="133"/>
  <c r="N621" i="133"/>
  <c r="N622" i="133"/>
  <c r="N623" i="133"/>
  <c r="N624" i="133"/>
  <c r="N625" i="133"/>
  <c r="N626" i="133"/>
  <c r="N627" i="133"/>
  <c r="N628" i="133"/>
  <c r="N629" i="133"/>
  <c r="N630" i="133"/>
  <c r="N631" i="133"/>
  <c r="N632" i="133"/>
  <c r="N633" i="133"/>
  <c r="N634" i="133"/>
  <c r="N635" i="133"/>
  <c r="N636" i="133"/>
  <c r="N637" i="133"/>
  <c r="N638" i="133"/>
  <c r="N639" i="133"/>
  <c r="N640" i="133"/>
  <c r="N641" i="133"/>
  <c r="N642" i="133"/>
  <c r="N643" i="133"/>
  <c r="N644" i="133"/>
  <c r="N645" i="133"/>
  <c r="N646" i="133"/>
  <c r="N647" i="133"/>
  <c r="N648" i="133"/>
  <c r="N649" i="133"/>
  <c r="N650" i="133"/>
  <c r="N651" i="133"/>
  <c r="N652" i="133"/>
  <c r="N653" i="133"/>
  <c r="N654" i="133"/>
  <c r="N655" i="133"/>
  <c r="N656" i="133"/>
  <c r="N657" i="133"/>
  <c r="N658" i="133"/>
  <c r="N659" i="133"/>
  <c r="N660" i="133"/>
  <c r="N661" i="133"/>
  <c r="N662" i="133"/>
  <c r="N663" i="133"/>
  <c r="N664" i="133"/>
  <c r="N665" i="133"/>
  <c r="N666" i="133"/>
  <c r="N667" i="133"/>
  <c r="N668" i="133"/>
  <c r="N669" i="133"/>
  <c r="N670" i="133"/>
  <c r="N671" i="133"/>
  <c r="N672" i="133"/>
  <c r="N673" i="133"/>
  <c r="N674" i="133"/>
  <c r="N675" i="133"/>
  <c r="N676" i="133"/>
  <c r="N677" i="133"/>
  <c r="N678" i="133"/>
  <c r="N679" i="133"/>
  <c r="N680" i="133"/>
  <c r="N681" i="133"/>
  <c r="N682" i="133"/>
  <c r="N683" i="133"/>
  <c r="N684" i="133"/>
  <c r="N685" i="133"/>
  <c r="N686" i="133"/>
  <c r="N687" i="133"/>
  <c r="N688" i="133"/>
  <c r="N689" i="133"/>
  <c r="N690" i="133"/>
  <c r="N691" i="133"/>
  <c r="N692" i="133"/>
  <c r="N693" i="133"/>
  <c r="N694" i="133"/>
  <c r="N695" i="133"/>
  <c r="N696" i="133"/>
  <c r="N697" i="133"/>
  <c r="N698" i="133"/>
  <c r="N699" i="133"/>
  <c r="N700" i="133"/>
  <c r="N701" i="133"/>
  <c r="N702" i="133"/>
  <c r="N703" i="133"/>
  <c r="N704" i="133"/>
  <c r="N705" i="133"/>
  <c r="N706" i="133"/>
  <c r="N707" i="133"/>
  <c r="N708" i="133"/>
  <c r="N709" i="133"/>
  <c r="N710" i="133"/>
  <c r="N711" i="133"/>
  <c r="N712" i="133"/>
  <c r="N713" i="133"/>
  <c r="N714" i="133"/>
  <c r="N715" i="133"/>
  <c r="N716" i="133"/>
  <c r="N717" i="133"/>
  <c r="N718" i="133"/>
  <c r="N719" i="133"/>
  <c r="N720" i="133"/>
  <c r="N721" i="133"/>
  <c r="N722" i="133"/>
  <c r="N723" i="133"/>
  <c r="N724" i="133"/>
  <c r="N725" i="133"/>
  <c r="N726" i="133"/>
  <c r="N727" i="133"/>
  <c r="N728" i="133"/>
  <c r="N729" i="133"/>
  <c r="N730" i="133"/>
  <c r="N731" i="133"/>
  <c r="N732" i="133"/>
  <c r="N733" i="133"/>
  <c r="N734" i="133"/>
  <c r="N735" i="133"/>
  <c r="N736" i="133"/>
  <c r="N737" i="133"/>
  <c r="N738" i="133"/>
  <c r="N739" i="133"/>
  <c r="N740" i="133"/>
  <c r="N741" i="133"/>
  <c r="N742" i="133"/>
  <c r="N743" i="133"/>
  <c r="N744" i="133"/>
  <c r="N745" i="133"/>
  <c r="N746" i="133"/>
  <c r="N747" i="133"/>
  <c r="N748" i="133"/>
  <c r="N749" i="133"/>
  <c r="N750" i="133"/>
  <c r="N751" i="133"/>
  <c r="N752" i="133"/>
  <c r="N753" i="133"/>
  <c r="N754" i="133"/>
  <c r="N755" i="133"/>
  <c r="N756" i="133"/>
  <c r="N757" i="133"/>
  <c r="N758" i="133"/>
  <c r="N759" i="133"/>
  <c r="N760" i="133"/>
  <c r="N761" i="133"/>
  <c r="N762" i="133"/>
  <c r="N763" i="133"/>
  <c r="N764" i="133"/>
  <c r="N765" i="133"/>
  <c r="N766" i="133"/>
  <c r="N767" i="133"/>
  <c r="N768" i="133"/>
  <c r="N769" i="133"/>
  <c r="N770" i="133"/>
  <c r="N771" i="133"/>
  <c r="N772" i="133"/>
  <c r="N773" i="133"/>
  <c r="N774" i="133"/>
  <c r="N775" i="133"/>
  <c r="N776" i="133"/>
  <c r="N777" i="133"/>
  <c r="N778" i="133"/>
  <c r="N779" i="133"/>
  <c r="N780" i="133"/>
  <c r="N781" i="133"/>
  <c r="N782" i="133"/>
  <c r="N783" i="133"/>
  <c r="N784" i="133"/>
  <c r="N785" i="133"/>
  <c r="N786" i="133"/>
  <c r="N787" i="133"/>
  <c r="N788" i="133"/>
  <c r="N789" i="133"/>
  <c r="N790" i="133"/>
  <c r="N791" i="133"/>
  <c r="N792" i="133"/>
  <c r="N793" i="133"/>
  <c r="N794" i="133"/>
  <c r="N795" i="133"/>
  <c r="N796" i="133"/>
  <c r="N797" i="133"/>
  <c r="N798" i="133"/>
  <c r="N799" i="133"/>
  <c r="N800" i="133"/>
  <c r="N801" i="133"/>
  <c r="N802" i="133"/>
  <c r="N803" i="133"/>
  <c r="N804" i="133"/>
  <c r="N805" i="133"/>
  <c r="N806" i="133"/>
  <c r="N807" i="133"/>
  <c r="N808" i="133"/>
  <c r="N809" i="133"/>
  <c r="N810" i="133"/>
  <c r="N811" i="133"/>
  <c r="N812" i="133"/>
  <c r="N813" i="133"/>
  <c r="N814" i="133"/>
  <c r="N815" i="133"/>
  <c r="N816" i="133"/>
  <c r="N817" i="133"/>
  <c r="N818" i="133"/>
  <c r="N819" i="133"/>
  <c r="N820" i="133"/>
  <c r="N821" i="133"/>
  <c r="N822" i="133"/>
  <c r="N823" i="133"/>
  <c r="N824" i="133"/>
  <c r="N825" i="133"/>
  <c r="N826" i="133"/>
  <c r="N827" i="133"/>
  <c r="N828" i="133"/>
  <c r="N829" i="133"/>
  <c r="N830" i="133"/>
  <c r="N831" i="133"/>
  <c r="N832" i="133"/>
  <c r="N833" i="133"/>
  <c r="N834" i="133"/>
  <c r="N835" i="133"/>
  <c r="N836" i="133"/>
  <c r="N837" i="133"/>
  <c r="N838" i="133"/>
  <c r="N839" i="133"/>
  <c r="N840" i="133"/>
  <c r="N841" i="133"/>
  <c r="N842" i="133"/>
  <c r="N843" i="133"/>
  <c r="N844" i="133"/>
  <c r="N845" i="133"/>
  <c r="N846" i="133"/>
  <c r="N847" i="133"/>
  <c r="N848" i="133"/>
  <c r="N849" i="133"/>
  <c r="N850" i="133"/>
  <c r="N851" i="133"/>
  <c r="N852" i="133"/>
  <c r="N853" i="133"/>
  <c r="N854" i="133"/>
  <c r="N855" i="133"/>
  <c r="N856" i="133"/>
  <c r="N857" i="133"/>
  <c r="N858" i="133"/>
  <c r="N859" i="133"/>
  <c r="N860" i="133"/>
  <c r="N861" i="133"/>
  <c r="N862" i="133"/>
  <c r="N863" i="133"/>
  <c r="N864" i="133"/>
  <c r="N865" i="133"/>
  <c r="N866" i="133"/>
  <c r="N867" i="133"/>
  <c r="N868" i="133"/>
  <c r="N869" i="133"/>
  <c r="N870" i="133"/>
  <c r="N871" i="133"/>
  <c r="N872" i="133"/>
  <c r="N873" i="133"/>
  <c r="N874" i="133"/>
  <c r="N875" i="133"/>
  <c r="N876" i="133"/>
  <c r="N877" i="133"/>
  <c r="N878" i="133"/>
  <c r="N879" i="133"/>
  <c r="N880" i="133"/>
  <c r="N881" i="133"/>
  <c r="N882" i="133"/>
  <c r="N883" i="133"/>
  <c r="N884" i="133"/>
  <c r="N885" i="133"/>
  <c r="N886" i="133"/>
  <c r="N887" i="133"/>
  <c r="N888" i="133"/>
  <c r="N889" i="133"/>
  <c r="N890" i="133"/>
  <c r="N891" i="133"/>
  <c r="N892" i="133"/>
  <c r="N893" i="133"/>
  <c r="N894" i="133"/>
  <c r="N895" i="133"/>
  <c r="N896" i="133"/>
  <c r="N897" i="133"/>
  <c r="N898" i="133"/>
  <c r="N899" i="133"/>
  <c r="N900" i="133"/>
  <c r="N901" i="133"/>
  <c r="N902" i="133"/>
  <c r="N903" i="133"/>
  <c r="N904" i="133"/>
  <c r="N905" i="133"/>
  <c r="N906" i="133"/>
  <c r="N907" i="133"/>
  <c r="N908" i="133"/>
  <c r="N909" i="133"/>
  <c r="N910" i="133"/>
  <c r="N911" i="133"/>
  <c r="N912" i="133"/>
  <c r="N913" i="133"/>
  <c r="N914" i="133"/>
  <c r="N915" i="133"/>
  <c r="N916" i="133"/>
  <c r="N917" i="133"/>
  <c r="N918" i="133"/>
  <c r="N919" i="133"/>
  <c r="N920" i="133"/>
  <c r="N921" i="133"/>
  <c r="N922" i="133"/>
  <c r="N923" i="133"/>
  <c r="N924" i="133"/>
  <c r="N925" i="133"/>
  <c r="N926" i="133"/>
  <c r="N927" i="133"/>
  <c r="N928" i="133"/>
  <c r="N929" i="133"/>
  <c r="N930" i="133"/>
  <c r="N931" i="133"/>
  <c r="N932" i="133"/>
  <c r="N933" i="133"/>
  <c r="N934" i="133"/>
  <c r="N935" i="133"/>
  <c r="N936" i="133"/>
  <c r="N937" i="133"/>
  <c r="N938" i="133"/>
  <c r="N939" i="133"/>
  <c r="N940" i="133"/>
  <c r="N941" i="133"/>
  <c r="N942" i="133"/>
  <c r="N943" i="133"/>
  <c r="N944" i="133"/>
  <c r="N945" i="133"/>
  <c r="N946" i="133"/>
  <c r="N947" i="133"/>
  <c r="N948" i="133"/>
  <c r="N949" i="133"/>
  <c r="N950" i="133"/>
  <c r="N951" i="133"/>
  <c r="N952" i="133"/>
  <c r="N953" i="133"/>
  <c r="N954" i="133"/>
  <c r="N955" i="133"/>
  <c r="N956" i="133"/>
  <c r="N957" i="133"/>
  <c r="N958" i="133"/>
  <c r="N959" i="133"/>
  <c r="N960" i="133"/>
  <c r="N961" i="133"/>
  <c r="N962" i="133"/>
  <c r="N963" i="133"/>
  <c r="N964" i="133"/>
  <c r="N965" i="133"/>
  <c r="N966" i="133"/>
  <c r="N967" i="133"/>
  <c r="N968" i="133"/>
  <c r="N969" i="133"/>
  <c r="N970" i="133"/>
  <c r="N971" i="133"/>
  <c r="N972" i="133"/>
  <c r="N973" i="133"/>
  <c r="N974" i="133"/>
  <c r="N975" i="133"/>
  <c r="N976" i="133"/>
  <c r="N977" i="133"/>
  <c r="N978" i="133"/>
  <c r="N979" i="133"/>
  <c r="N980" i="133"/>
  <c r="N981" i="133"/>
  <c r="N982" i="133"/>
  <c r="N983" i="133"/>
  <c r="N984" i="133"/>
  <c r="N985" i="133"/>
  <c r="N986" i="133"/>
  <c r="N987" i="133"/>
  <c r="N988" i="133"/>
  <c r="N989" i="133"/>
  <c r="N990" i="133"/>
  <c r="N991" i="133"/>
  <c r="N992" i="133"/>
  <c r="N993" i="133"/>
  <c r="N994" i="133"/>
  <c r="N995" i="133"/>
  <c r="N996" i="133"/>
  <c r="N997" i="133"/>
  <c r="N998" i="133"/>
  <c r="N999" i="133"/>
  <c r="N1000" i="133"/>
  <c r="N1001" i="133"/>
  <c r="N1002" i="133"/>
  <c r="N1003" i="133"/>
  <c r="N1004" i="133"/>
  <c r="N1005" i="133"/>
  <c r="N1006" i="133"/>
  <c r="N1007" i="133"/>
  <c r="N1008" i="133"/>
  <c r="N1009" i="133"/>
  <c r="N1010" i="133"/>
  <c r="N1011" i="133"/>
  <c r="N1012" i="133"/>
  <c r="N1013" i="133"/>
  <c r="N1014" i="133"/>
  <c r="N1015" i="133"/>
  <c r="N1016" i="133"/>
  <c r="N1017" i="133"/>
  <c r="N1018" i="133"/>
  <c r="N1019" i="133"/>
  <c r="N1020" i="133"/>
  <c r="N1021" i="133"/>
  <c r="N1022" i="133"/>
  <c r="N1023" i="133"/>
  <c r="N1024" i="133"/>
  <c r="N1025" i="133"/>
  <c r="N1026" i="133"/>
  <c r="N1027" i="133"/>
  <c r="N1028" i="133"/>
  <c r="N1029" i="133"/>
  <c r="N1030" i="133"/>
  <c r="N1031" i="133"/>
  <c r="N1032" i="133"/>
  <c r="N1033" i="133"/>
  <c r="N1034" i="133"/>
  <c r="N1035" i="133"/>
  <c r="N1036" i="133"/>
  <c r="N1037" i="133"/>
  <c r="N1038" i="133"/>
  <c r="N1039" i="133"/>
  <c r="N1040" i="133"/>
  <c r="N1041" i="133"/>
  <c r="N1042" i="133"/>
  <c r="N1043" i="133"/>
  <c r="N1044" i="133"/>
  <c r="N1045" i="133"/>
  <c r="N1046" i="133"/>
  <c r="N1047" i="133"/>
  <c r="N1048" i="133"/>
  <c r="N1049" i="133"/>
  <c r="N1050" i="133"/>
  <c r="N1051" i="133"/>
  <c r="N1052" i="133"/>
  <c r="N1053" i="133"/>
  <c r="N1054" i="133"/>
  <c r="N1055" i="133"/>
  <c r="N1056" i="133"/>
  <c r="N1057" i="133"/>
  <c r="N1058" i="133"/>
  <c r="N1059" i="133"/>
  <c r="N1060" i="133"/>
  <c r="N1061" i="133"/>
  <c r="N1062" i="133"/>
  <c r="N1063" i="133"/>
  <c r="N1064" i="133"/>
  <c r="N1065" i="133"/>
  <c r="N1066" i="133"/>
  <c r="N1067" i="133"/>
  <c r="N1068" i="133"/>
  <c r="N1069" i="133"/>
  <c r="N1070" i="133"/>
  <c r="N1071" i="133"/>
  <c r="N1072" i="133"/>
  <c r="N1073" i="133"/>
  <c r="N1074" i="133"/>
  <c r="N1075" i="133"/>
  <c r="N1076" i="133"/>
  <c r="N1077" i="133"/>
  <c r="N1078" i="133"/>
  <c r="N1079" i="133"/>
  <c r="N1080" i="133"/>
  <c r="N1081" i="133"/>
  <c r="N1082" i="133"/>
  <c r="N1083" i="133"/>
  <c r="N1084" i="133"/>
  <c r="N1085" i="133"/>
  <c r="N1086" i="133"/>
  <c r="N1087" i="133"/>
  <c r="N1088" i="133"/>
  <c r="N1089" i="133"/>
  <c r="N1090" i="133"/>
  <c r="N1091" i="133"/>
  <c r="N1092" i="133"/>
  <c r="N1093" i="133"/>
  <c r="N1094" i="133"/>
  <c r="N1095" i="133"/>
  <c r="N1096" i="133"/>
  <c r="N1097" i="133"/>
  <c r="N1098" i="133"/>
  <c r="N1099" i="133"/>
  <c r="N1100" i="133"/>
  <c r="N1101" i="133"/>
  <c r="N1102" i="133"/>
  <c r="N1103" i="133"/>
  <c r="N1104" i="133"/>
  <c r="N1105" i="133"/>
  <c r="N1106" i="133"/>
  <c r="N1107" i="133"/>
  <c r="N1108" i="133"/>
  <c r="N1109" i="133"/>
  <c r="N1110" i="133"/>
  <c r="N1111" i="133"/>
  <c r="N1112" i="133"/>
  <c r="N1113" i="133"/>
  <c r="N1114" i="133"/>
  <c r="N1115" i="133"/>
  <c r="N1116" i="133"/>
  <c r="N1117" i="133"/>
  <c r="N1118" i="133"/>
  <c r="N1119" i="133"/>
  <c r="N1120" i="133"/>
  <c r="N1121" i="133"/>
  <c r="N1122" i="133"/>
  <c r="N1123" i="133"/>
  <c r="N1124" i="133"/>
  <c r="N1125" i="133"/>
  <c r="N1126" i="133"/>
  <c r="N1127" i="133"/>
  <c r="N1128" i="133"/>
  <c r="N1129" i="133"/>
  <c r="N1130" i="133"/>
  <c r="N1131" i="133"/>
  <c r="N1132" i="133"/>
  <c r="N1133" i="133"/>
  <c r="N1134" i="133"/>
  <c r="N1135" i="133"/>
  <c r="N1136" i="133"/>
  <c r="N1137" i="133"/>
  <c r="N1138" i="133"/>
  <c r="N1139" i="133"/>
  <c r="N1140" i="133"/>
  <c r="N1141" i="133"/>
  <c r="N1142" i="133"/>
  <c r="N1143" i="133"/>
  <c r="N1144" i="133"/>
  <c r="N1145" i="133"/>
  <c r="N1146" i="133"/>
  <c r="N1147" i="133"/>
  <c r="N1148" i="133"/>
  <c r="N1149" i="133"/>
  <c r="N1150" i="133"/>
  <c r="N1151" i="133"/>
  <c r="N1152" i="133"/>
  <c r="N1153" i="133"/>
  <c r="N1154" i="133"/>
  <c r="N1155" i="133"/>
  <c r="N1156" i="133"/>
  <c r="N1157" i="133"/>
  <c r="N1158" i="133"/>
  <c r="N1159" i="133"/>
  <c r="N1160" i="133"/>
  <c r="N1161" i="133"/>
  <c r="N1162" i="133"/>
  <c r="N1163" i="133"/>
  <c r="N1164" i="133"/>
  <c r="N1165" i="133"/>
  <c r="N1166" i="133"/>
  <c r="N1167" i="133"/>
  <c r="N1168" i="133"/>
  <c r="N1169" i="133"/>
  <c r="N1170" i="133"/>
  <c r="N1171" i="133"/>
  <c r="N1172" i="133"/>
  <c r="N1173" i="133"/>
  <c r="N1174" i="133"/>
  <c r="N1175" i="133"/>
  <c r="N1176" i="133"/>
  <c r="N1177" i="133"/>
  <c r="N1178" i="133"/>
  <c r="N1179" i="133"/>
  <c r="N1180" i="133"/>
  <c r="N1181" i="133"/>
  <c r="N1182" i="133"/>
  <c r="N1183" i="133"/>
  <c r="N1184" i="133"/>
  <c r="N1185" i="133"/>
  <c r="N1186" i="133"/>
  <c r="N1187" i="133"/>
  <c r="N1188" i="133"/>
  <c r="N1189" i="133"/>
  <c r="N1190" i="133"/>
  <c r="N1191" i="133"/>
  <c r="N1192" i="133"/>
  <c r="N1193" i="133"/>
  <c r="N1194" i="133"/>
  <c r="N1195" i="133"/>
  <c r="N1196" i="133"/>
  <c r="N1197" i="133"/>
  <c r="N1198" i="133"/>
  <c r="N1199" i="133"/>
  <c r="N1200" i="133"/>
  <c r="N1201" i="133"/>
  <c r="N1202" i="133"/>
  <c r="N1203" i="133"/>
  <c r="N1204" i="133"/>
  <c r="N1205" i="133"/>
  <c r="N1206" i="133"/>
  <c r="N1207" i="133"/>
  <c r="N1208" i="133"/>
  <c r="N1209" i="133"/>
  <c r="N1210" i="133"/>
  <c r="N1211" i="133"/>
  <c r="N1212" i="133"/>
  <c r="N1213" i="133"/>
  <c r="N1214" i="133"/>
  <c r="N1215" i="133"/>
  <c r="N1216" i="133"/>
  <c r="N1217" i="133"/>
  <c r="N1218" i="133"/>
  <c r="N1219" i="133"/>
  <c r="N1220" i="133"/>
  <c r="N1221" i="133"/>
  <c r="N1222" i="133"/>
  <c r="N1223" i="133"/>
  <c r="N1224" i="133"/>
  <c r="N1225" i="133"/>
  <c r="N1226" i="133"/>
  <c r="N1227" i="133"/>
  <c r="N1228" i="133"/>
  <c r="N1229" i="133"/>
  <c r="N1230" i="133"/>
  <c r="N1231" i="133"/>
  <c r="N1232" i="133"/>
  <c r="N1233" i="133"/>
  <c r="N1234" i="133"/>
  <c r="N1235" i="133"/>
  <c r="N1236" i="133"/>
  <c r="N1237" i="133"/>
  <c r="N1238" i="133"/>
  <c r="N1239" i="133"/>
  <c r="N1240" i="133"/>
  <c r="N1241" i="133"/>
  <c r="N1242" i="133"/>
  <c r="N1243" i="133"/>
  <c r="N1244" i="133"/>
  <c r="N1245" i="133"/>
  <c r="N1246" i="133"/>
  <c r="N1247" i="133"/>
  <c r="N1248" i="133"/>
  <c r="N1249" i="133"/>
  <c r="N1250" i="133"/>
  <c r="N1251" i="133"/>
  <c r="N1252" i="133"/>
  <c r="N1253" i="133"/>
  <c r="N1254" i="133"/>
  <c r="N1255" i="133"/>
  <c r="N1256" i="133"/>
  <c r="N1257" i="133"/>
  <c r="N1258" i="133"/>
  <c r="N1259" i="133"/>
  <c r="N1260" i="133"/>
  <c r="N1261" i="133"/>
  <c r="N1262" i="133"/>
  <c r="N1263" i="133"/>
  <c r="N1264" i="133"/>
  <c r="N1265" i="133"/>
  <c r="N1266" i="133"/>
  <c r="N1267" i="133"/>
  <c r="N1268" i="133"/>
  <c r="N1269" i="133"/>
  <c r="N1270" i="133"/>
  <c r="N1271" i="133"/>
  <c r="N1272" i="133"/>
  <c r="N1273" i="133"/>
  <c r="N1274" i="133"/>
  <c r="N1275" i="133"/>
  <c r="N1276" i="133"/>
  <c r="N1277" i="133"/>
  <c r="N1278" i="133"/>
  <c r="N1279" i="133"/>
  <c r="N1280" i="133"/>
  <c r="N1281" i="133"/>
  <c r="N1282" i="133"/>
  <c r="N1283" i="133"/>
  <c r="N1284" i="133"/>
  <c r="N1285" i="133"/>
  <c r="N1286" i="133"/>
  <c r="N1287" i="133"/>
  <c r="N1288" i="133"/>
  <c r="N1289" i="133"/>
  <c r="N1290" i="133"/>
  <c r="N1291" i="133"/>
  <c r="N1292" i="133"/>
  <c r="N1293" i="133"/>
  <c r="N1294" i="133"/>
  <c r="N1295" i="133"/>
  <c r="N1296" i="133"/>
  <c r="N1297" i="133"/>
  <c r="N1298" i="133"/>
  <c r="N1299" i="133"/>
  <c r="N1300" i="133"/>
  <c r="N1301" i="133"/>
  <c r="N1302" i="133"/>
  <c r="N1303" i="133"/>
  <c r="N1304" i="133"/>
  <c r="N1305" i="133"/>
  <c r="N1306" i="133"/>
  <c r="N1307" i="133"/>
  <c r="N1308" i="133"/>
  <c r="N1309" i="133"/>
  <c r="N1310" i="133"/>
  <c r="N1311" i="133"/>
  <c r="N1312" i="133"/>
  <c r="N1313" i="133"/>
  <c r="N1314" i="133"/>
  <c r="N1315" i="133"/>
  <c r="N1316" i="133"/>
  <c r="N1317" i="133"/>
  <c r="N1318" i="133"/>
  <c r="N1319" i="133"/>
  <c r="N1320" i="133"/>
  <c r="N1321" i="133"/>
  <c r="N1322" i="133"/>
  <c r="N1323" i="133"/>
  <c r="N1324" i="133"/>
  <c r="N1325" i="133"/>
  <c r="N1326" i="133"/>
  <c r="N1327" i="133"/>
  <c r="N1328" i="133"/>
  <c r="N1329" i="133"/>
  <c r="N1330" i="133"/>
  <c r="N1331" i="133"/>
  <c r="N1332" i="133"/>
  <c r="N1333" i="133"/>
  <c r="N1334" i="133"/>
  <c r="N1335" i="133"/>
  <c r="N1336" i="133"/>
  <c r="N1337" i="133"/>
  <c r="N1338" i="133"/>
  <c r="N1339" i="133"/>
  <c r="N1340" i="133"/>
  <c r="N1341" i="133"/>
  <c r="N1342" i="133"/>
  <c r="N1343" i="133"/>
  <c r="N1344" i="133"/>
  <c r="N1345" i="133"/>
  <c r="N1346" i="133"/>
  <c r="N1347" i="133"/>
  <c r="N1348" i="133"/>
  <c r="N1349" i="133"/>
  <c r="N1350" i="133"/>
  <c r="N1351" i="133"/>
  <c r="N1352" i="133"/>
  <c r="N1353" i="133"/>
  <c r="N1354" i="133"/>
  <c r="N1355" i="133"/>
  <c r="N1356" i="133"/>
  <c r="N1357" i="133"/>
  <c r="N1358" i="133"/>
  <c r="N1359" i="133"/>
  <c r="N1360" i="133"/>
  <c r="N1361" i="133"/>
  <c r="N1362" i="133"/>
  <c r="N1363" i="133"/>
  <c r="N1364" i="133"/>
  <c r="N1365" i="133"/>
  <c r="N1366" i="133"/>
  <c r="N1367" i="133"/>
  <c r="N1368" i="133"/>
  <c r="N1369" i="133"/>
  <c r="N1370" i="133"/>
  <c r="N1371" i="133"/>
  <c r="N1372" i="133"/>
  <c r="N1373" i="133"/>
  <c r="N1374" i="133"/>
  <c r="N1375" i="133"/>
  <c r="N1376" i="133"/>
  <c r="N1377" i="133"/>
  <c r="N1378" i="133"/>
  <c r="N1379" i="133"/>
  <c r="N1380" i="133"/>
  <c r="N1381" i="133"/>
  <c r="N1382" i="133"/>
  <c r="N1383" i="133"/>
  <c r="N1384" i="133"/>
  <c r="N1385" i="133"/>
  <c r="N1386" i="133"/>
  <c r="N1387" i="133"/>
  <c r="N1388" i="133"/>
  <c r="N1389" i="133"/>
  <c r="N1390" i="133"/>
  <c r="N1391" i="133"/>
  <c r="N1392" i="133"/>
  <c r="N1393" i="133"/>
  <c r="N1394" i="133"/>
  <c r="N1395" i="133"/>
  <c r="N1396" i="133"/>
  <c r="N1397" i="133"/>
  <c r="N1398" i="133"/>
  <c r="N1399" i="133"/>
  <c r="N1400" i="133"/>
  <c r="N1401" i="133"/>
  <c r="N1402" i="133"/>
  <c r="N1403" i="133"/>
  <c r="N1404" i="133"/>
  <c r="N1405" i="133"/>
  <c r="N1406" i="133"/>
  <c r="N1407" i="133"/>
  <c r="N1408" i="133"/>
  <c r="N1409" i="133"/>
  <c r="N1410" i="133"/>
  <c r="N1411" i="133"/>
  <c r="N1412" i="133"/>
  <c r="N1413" i="133"/>
  <c r="N1414" i="133"/>
  <c r="N1415" i="133"/>
  <c r="N1416" i="133"/>
  <c r="N1417" i="133"/>
  <c r="N1418" i="133"/>
  <c r="N1419" i="133"/>
  <c r="N1420" i="133"/>
  <c r="N1421" i="133"/>
  <c r="N1422" i="133"/>
  <c r="N1423" i="133"/>
  <c r="N1424" i="133"/>
  <c r="N1425" i="133"/>
  <c r="N1426" i="133"/>
  <c r="N1427" i="133"/>
  <c r="N1428" i="133"/>
  <c r="N1429" i="133"/>
  <c r="N1430" i="133"/>
  <c r="N1431" i="133"/>
  <c r="N1432" i="133"/>
  <c r="N1433" i="133"/>
  <c r="N1434" i="133"/>
  <c r="N1435" i="133"/>
  <c r="N1436" i="133"/>
  <c r="N1437" i="133"/>
  <c r="N1438" i="133"/>
  <c r="N1439" i="133"/>
  <c r="N1440" i="133"/>
  <c r="N1441" i="133"/>
  <c r="N1442" i="133"/>
  <c r="N1443" i="133"/>
  <c r="N1444" i="133"/>
  <c r="N1445" i="133"/>
  <c r="N1446" i="133"/>
  <c r="N1447" i="133"/>
  <c r="N1448" i="133"/>
  <c r="N1449" i="133"/>
  <c r="N1450" i="133"/>
  <c r="N1451" i="133"/>
  <c r="N1452" i="133"/>
  <c r="N1453" i="133"/>
  <c r="N1454" i="133"/>
  <c r="N1455" i="133"/>
  <c r="N1456" i="133"/>
  <c r="N1457" i="133"/>
  <c r="N1458" i="133"/>
  <c r="N1459" i="133"/>
  <c r="N1460" i="133"/>
  <c r="N1461" i="133"/>
  <c r="N1462" i="133"/>
  <c r="N1463" i="133"/>
  <c r="N1464" i="133"/>
  <c r="N1465" i="133"/>
  <c r="N1466" i="133"/>
  <c r="N1467" i="133"/>
  <c r="N1468" i="133"/>
  <c r="N1469" i="133"/>
  <c r="N1470" i="133"/>
  <c r="N1471" i="133"/>
  <c r="N1472" i="133"/>
  <c r="N1473" i="133"/>
  <c r="N1474" i="133"/>
  <c r="N1475" i="133"/>
  <c r="N1476" i="133"/>
  <c r="N1477" i="133"/>
  <c r="N1478" i="133"/>
  <c r="N1479" i="133"/>
  <c r="N1480" i="133"/>
  <c r="N1481" i="133"/>
  <c r="N1482" i="133"/>
  <c r="N1483" i="133"/>
  <c r="N1484" i="133"/>
  <c r="N1485" i="133"/>
  <c r="N1486" i="133"/>
  <c r="N1487" i="133"/>
  <c r="N1488" i="133"/>
  <c r="N1489" i="133"/>
  <c r="N1490" i="133"/>
  <c r="N1491" i="133"/>
  <c r="N1492" i="133"/>
  <c r="N1493" i="133"/>
  <c r="N1494" i="133"/>
  <c r="N1495" i="133"/>
  <c r="N1496" i="133"/>
  <c r="N1497" i="133"/>
  <c r="N1498" i="133"/>
  <c r="N1499" i="133"/>
  <c r="N1500" i="133"/>
  <c r="N1501" i="133"/>
  <c r="N1502" i="133"/>
  <c r="N1503" i="133"/>
  <c r="N1504" i="133"/>
  <c r="N1505" i="133"/>
  <c r="N1506" i="133"/>
  <c r="N1507" i="133"/>
  <c r="N1508" i="133"/>
  <c r="N1509" i="133"/>
  <c r="N1510" i="133"/>
  <c r="N1511" i="133"/>
  <c r="N1512" i="133"/>
  <c r="N1513" i="133"/>
  <c r="N1514" i="133"/>
  <c r="N1515" i="133"/>
  <c r="N1516" i="133"/>
  <c r="N1517" i="133"/>
  <c r="N1518" i="133"/>
  <c r="N1519" i="133"/>
  <c r="N1520" i="133"/>
  <c r="N1521" i="133"/>
  <c r="N1522" i="133"/>
  <c r="N1523" i="133"/>
  <c r="N1524" i="133"/>
  <c r="N1525" i="133"/>
  <c r="N1526" i="133"/>
  <c r="N1527" i="133"/>
  <c r="N1528" i="133"/>
  <c r="N1529" i="133"/>
  <c r="N1530" i="133"/>
  <c r="N1531" i="133"/>
  <c r="N1532" i="133"/>
  <c r="N1533" i="133"/>
  <c r="N1534" i="133"/>
  <c r="N1535" i="133"/>
  <c r="N1536" i="133"/>
  <c r="N1537" i="133"/>
  <c r="N1538" i="133"/>
  <c r="N1539" i="133"/>
  <c r="N1540" i="133"/>
  <c r="N1541" i="133"/>
  <c r="N1542" i="133"/>
  <c r="N1543" i="133"/>
  <c r="N1544" i="133"/>
  <c r="N1545" i="133"/>
  <c r="N1546" i="133"/>
  <c r="N1547" i="133"/>
  <c r="N1548" i="133"/>
  <c r="N1549" i="133"/>
  <c r="N1550" i="133"/>
  <c r="N1551" i="133"/>
  <c r="N1552" i="133"/>
  <c r="N1553" i="133"/>
  <c r="N1554" i="133"/>
  <c r="N1555" i="133"/>
  <c r="N1556" i="133"/>
  <c r="N1557" i="133"/>
  <c r="N1558" i="133"/>
  <c r="N1559" i="133"/>
  <c r="N1560" i="133"/>
  <c r="N1561" i="133"/>
  <c r="N1562" i="133"/>
  <c r="N1563" i="133"/>
  <c r="N1564" i="133"/>
  <c r="N1565" i="133"/>
  <c r="N1566" i="133"/>
  <c r="N1567" i="133"/>
  <c r="N1568" i="133"/>
  <c r="N1569" i="133"/>
  <c r="N1570" i="133"/>
  <c r="N1571" i="133"/>
  <c r="N1572" i="133"/>
  <c r="N1573" i="133"/>
  <c r="N1574" i="133"/>
  <c r="N1575" i="133"/>
  <c r="N1576" i="133"/>
  <c r="N1577" i="133"/>
  <c r="N1578" i="133"/>
  <c r="N1579" i="133"/>
  <c r="N1580" i="133"/>
  <c r="N1581" i="133"/>
  <c r="N1582" i="133"/>
  <c r="N1583" i="133"/>
  <c r="N1584" i="133"/>
  <c r="N1585" i="133"/>
  <c r="N1586" i="133"/>
  <c r="N1587" i="133"/>
  <c r="N1588" i="133"/>
  <c r="N1589" i="133"/>
  <c r="N1590" i="133"/>
  <c r="N1591" i="133"/>
  <c r="N1592" i="133"/>
  <c r="N1593" i="133"/>
  <c r="N1594" i="133"/>
  <c r="N1595" i="133"/>
  <c r="N1596" i="133"/>
  <c r="N1597" i="133"/>
  <c r="N1598" i="133"/>
  <c r="N1599" i="133"/>
  <c r="N1600" i="133"/>
  <c r="N1601" i="133"/>
  <c r="N1602" i="133"/>
  <c r="N1603" i="133"/>
  <c r="N1604" i="133"/>
  <c r="N1605" i="133"/>
  <c r="N1606" i="133"/>
  <c r="N1607" i="133"/>
  <c r="N1608" i="133"/>
  <c r="N1609" i="133"/>
  <c r="N1610" i="133"/>
  <c r="N1611" i="133"/>
  <c r="N1612" i="133"/>
  <c r="N1613" i="133"/>
  <c r="N1614" i="133"/>
  <c r="N1615" i="133"/>
  <c r="N1616" i="133"/>
  <c r="N1617" i="133"/>
  <c r="N1618" i="133"/>
  <c r="N1619" i="133"/>
  <c r="N1620" i="133"/>
  <c r="N1621" i="133"/>
  <c r="N1622" i="133"/>
  <c r="N1623" i="133"/>
  <c r="N1624" i="133"/>
  <c r="N1625" i="133"/>
  <c r="N1626" i="133"/>
  <c r="N1627" i="133"/>
  <c r="N1628" i="133"/>
  <c r="N1629" i="133"/>
  <c r="N1630" i="133"/>
  <c r="N1631" i="133"/>
  <c r="N1632" i="133"/>
  <c r="N1633" i="133"/>
  <c r="N1634" i="133"/>
  <c r="N1635" i="133"/>
  <c r="N1636" i="133"/>
  <c r="N1637" i="133"/>
  <c r="N1638" i="133"/>
  <c r="N1639" i="133"/>
  <c r="N1640" i="133"/>
  <c r="N1641" i="133"/>
  <c r="N1642" i="133"/>
  <c r="N1643" i="133"/>
  <c r="N1644" i="133"/>
  <c r="N1645" i="133"/>
  <c r="N1646" i="133"/>
  <c r="N1647" i="133"/>
  <c r="N1648" i="133"/>
  <c r="N1649" i="133"/>
  <c r="N1650" i="133"/>
  <c r="N1651" i="133"/>
  <c r="N1652" i="133"/>
  <c r="N1653" i="133"/>
  <c r="N1654" i="133"/>
  <c r="N1655" i="133"/>
  <c r="N1656" i="133"/>
  <c r="N1657" i="133"/>
  <c r="N1658" i="133"/>
  <c r="N1659" i="133"/>
  <c r="N1660" i="133"/>
  <c r="N1661" i="133"/>
  <c r="N1662" i="133"/>
  <c r="N1663" i="133"/>
  <c r="N1664" i="133"/>
  <c r="N1665" i="133"/>
  <c r="N1666" i="133"/>
  <c r="N1667" i="133"/>
  <c r="N1668" i="133"/>
  <c r="N1669" i="133"/>
  <c r="N1670" i="133"/>
  <c r="N1671" i="133"/>
  <c r="N1672" i="133"/>
  <c r="N1673" i="133"/>
  <c r="N1674" i="133"/>
  <c r="N1675" i="133"/>
  <c r="N1676" i="133"/>
  <c r="N1677" i="133"/>
  <c r="N1678" i="133"/>
  <c r="N1679" i="133"/>
  <c r="N1680" i="133"/>
  <c r="N1681" i="133"/>
  <c r="N1682" i="133"/>
  <c r="N1683" i="133"/>
  <c r="N1684" i="133"/>
  <c r="N1685" i="133"/>
  <c r="N1686" i="133"/>
  <c r="N1687" i="133"/>
  <c r="N1688" i="133"/>
  <c r="N1689" i="133"/>
  <c r="N1690" i="133"/>
  <c r="N1691" i="133"/>
  <c r="N1692" i="133"/>
  <c r="N1693" i="133"/>
  <c r="N1694" i="133"/>
  <c r="N1695" i="133"/>
  <c r="N1696" i="133"/>
  <c r="N1697" i="133"/>
  <c r="N1698" i="133"/>
  <c r="N1699" i="133"/>
  <c r="N1700" i="133"/>
  <c r="N1701" i="133"/>
  <c r="N1702" i="133"/>
  <c r="N1703" i="133"/>
  <c r="N1704" i="133"/>
  <c r="N1705" i="133"/>
  <c r="N1706" i="133"/>
  <c r="N1707" i="133"/>
  <c r="N1708" i="133"/>
  <c r="N1709" i="133"/>
  <c r="N1710" i="133"/>
  <c r="N1711" i="133"/>
  <c r="N1712" i="133"/>
  <c r="N1713" i="133"/>
  <c r="N1714" i="133"/>
  <c r="N1715" i="133"/>
  <c r="N1716" i="133"/>
  <c r="N1717" i="133"/>
  <c r="N1718" i="133"/>
  <c r="N1719" i="133"/>
  <c r="N1720" i="133"/>
  <c r="N1721" i="133"/>
  <c r="N1722" i="133"/>
  <c r="N1723" i="133"/>
  <c r="N1724" i="133"/>
  <c r="N1725" i="133"/>
  <c r="N1726" i="133"/>
  <c r="N1727" i="133"/>
  <c r="N1728" i="133"/>
  <c r="N1729" i="133"/>
  <c r="N1730" i="133"/>
  <c r="N1731" i="133"/>
  <c r="N1732" i="133"/>
  <c r="N1733" i="133"/>
  <c r="N1734" i="133"/>
  <c r="N1735" i="133"/>
  <c r="N1736" i="133"/>
  <c r="N1737" i="133"/>
  <c r="N1738" i="133"/>
  <c r="N1739" i="133"/>
  <c r="N1740" i="133"/>
  <c r="N1741" i="133"/>
  <c r="N1742" i="133"/>
  <c r="N1743" i="133"/>
  <c r="N1744" i="133"/>
  <c r="N1745" i="133"/>
  <c r="N1746" i="133"/>
  <c r="N1747" i="133"/>
  <c r="N1748" i="133"/>
  <c r="N1749" i="133"/>
  <c r="N1750" i="133"/>
  <c r="N1751" i="133"/>
  <c r="N1752" i="133"/>
  <c r="N1753" i="133"/>
  <c r="N1754" i="133"/>
  <c r="N1755" i="133"/>
  <c r="N1756" i="133"/>
  <c r="N1757" i="133"/>
  <c r="N1758" i="133"/>
  <c r="N1759" i="133"/>
  <c r="N1760" i="133"/>
  <c r="N1761" i="133"/>
  <c r="N1762" i="133"/>
  <c r="N1763" i="133"/>
  <c r="N1764" i="133"/>
  <c r="N1765" i="133"/>
  <c r="N1766" i="133"/>
  <c r="N1767" i="133"/>
  <c r="N1768" i="133"/>
  <c r="N1769" i="133"/>
  <c r="N1770" i="133"/>
  <c r="N1771" i="133"/>
  <c r="N1772" i="133"/>
  <c r="N1773" i="133"/>
  <c r="N1774" i="133"/>
  <c r="N1775" i="133"/>
  <c r="N1776" i="133"/>
  <c r="N1777" i="133"/>
  <c r="N1778" i="133"/>
  <c r="N1779" i="133"/>
  <c r="N1780" i="133"/>
  <c r="N1781" i="133"/>
  <c r="N1782" i="133"/>
  <c r="N1783" i="133"/>
  <c r="N1784" i="133"/>
  <c r="N1785" i="133"/>
  <c r="N1786" i="133"/>
  <c r="N1787" i="133"/>
  <c r="N1788" i="133"/>
  <c r="N1789" i="133"/>
  <c r="N1790" i="133"/>
  <c r="N1791" i="133"/>
  <c r="N1792" i="133"/>
  <c r="N1793" i="133"/>
  <c r="N1794" i="133"/>
  <c r="N1795" i="133"/>
  <c r="N1796" i="133"/>
  <c r="N1797" i="133"/>
  <c r="N1798" i="133"/>
  <c r="N1799" i="133"/>
  <c r="N1800" i="133"/>
  <c r="N1801" i="133"/>
  <c r="N1802" i="133"/>
  <c r="N1803" i="133"/>
  <c r="N1804" i="133"/>
  <c r="N1805" i="133"/>
  <c r="N1806" i="133"/>
  <c r="N1807" i="133"/>
  <c r="N1808" i="133"/>
  <c r="N1809" i="133"/>
  <c r="N1810" i="133"/>
  <c r="N1811" i="133"/>
  <c r="N1812" i="133"/>
  <c r="N1813" i="133"/>
  <c r="N1814" i="133"/>
  <c r="N1815" i="133"/>
  <c r="N1816" i="133"/>
  <c r="N1817" i="133"/>
  <c r="N1818" i="133"/>
  <c r="N1819" i="133"/>
  <c r="N1820" i="133"/>
  <c r="N1821" i="133"/>
  <c r="N1822" i="133"/>
  <c r="N1823" i="133"/>
  <c r="N1824" i="133"/>
  <c r="N1825" i="133"/>
  <c r="N1826" i="133"/>
  <c r="N1827" i="133"/>
  <c r="N1828" i="133"/>
  <c r="N1829" i="133"/>
  <c r="N1830" i="133"/>
  <c r="N1831" i="133"/>
  <c r="N1832" i="133"/>
  <c r="N1833" i="133"/>
  <c r="N1834" i="133"/>
  <c r="N1835" i="133"/>
  <c r="N1836" i="133"/>
  <c r="N1837" i="133"/>
  <c r="N1838" i="133"/>
  <c r="N1839" i="133"/>
  <c r="N1840" i="133"/>
  <c r="N1841" i="133"/>
  <c r="N1842" i="133"/>
  <c r="N1843" i="133"/>
  <c r="N1844" i="133"/>
  <c r="N1845" i="133"/>
  <c r="N1846" i="133"/>
  <c r="N1847" i="133"/>
  <c r="N1848" i="133"/>
  <c r="N1849" i="133"/>
  <c r="N1850" i="133"/>
  <c r="N1851" i="133"/>
  <c r="N1852" i="133"/>
  <c r="N1853" i="133"/>
  <c r="N1854" i="133"/>
  <c r="N1855" i="133"/>
  <c r="N1856" i="133"/>
  <c r="N1857" i="133"/>
  <c r="N1858" i="133"/>
  <c r="N1859" i="133"/>
  <c r="N1860" i="133"/>
  <c r="N1861" i="133"/>
  <c r="N1862" i="133"/>
  <c r="N1863" i="133"/>
  <c r="N1864" i="133"/>
  <c r="N1865" i="133"/>
  <c r="N1866" i="133"/>
  <c r="N1867" i="133"/>
  <c r="N1868" i="133"/>
  <c r="N1869" i="133"/>
  <c r="N1870" i="133"/>
  <c r="N1871" i="133"/>
  <c r="N1872" i="133"/>
  <c r="N1873" i="133"/>
  <c r="N1874" i="133"/>
  <c r="N1875" i="133"/>
  <c r="N1876" i="133"/>
  <c r="N1877" i="133"/>
  <c r="N1878" i="133"/>
  <c r="N1879" i="133"/>
  <c r="N1880" i="133"/>
  <c r="N1881" i="133"/>
  <c r="N1882" i="133"/>
  <c r="N1883" i="133"/>
  <c r="N1884" i="133"/>
  <c r="N1885" i="133"/>
  <c r="N1886" i="133"/>
  <c r="N1887" i="133"/>
  <c r="N1888" i="133"/>
  <c r="N1889" i="133"/>
  <c r="N1890" i="133"/>
  <c r="N1891" i="133"/>
  <c r="N1892" i="133"/>
  <c r="N1893" i="133"/>
  <c r="N1894" i="133"/>
  <c r="N1895" i="133"/>
  <c r="N1896" i="133"/>
  <c r="N1897" i="133"/>
  <c r="N1898" i="133"/>
  <c r="N1899" i="133"/>
  <c r="N1900" i="133"/>
  <c r="N1901" i="133"/>
  <c r="N1902" i="133"/>
  <c r="N1903" i="133"/>
  <c r="N1904" i="133"/>
  <c r="N1905" i="133"/>
  <c r="N1906" i="133"/>
  <c r="N1907" i="133"/>
  <c r="N1908" i="133"/>
  <c r="N1909" i="133"/>
  <c r="N1910" i="133"/>
  <c r="N1911" i="133"/>
  <c r="N1912" i="133"/>
  <c r="N1913" i="133"/>
  <c r="N1914" i="133"/>
  <c r="N1915" i="133"/>
  <c r="N1916" i="133"/>
  <c r="N1917" i="133"/>
  <c r="N1918" i="133"/>
  <c r="N1919" i="133"/>
  <c r="N1920" i="133"/>
  <c r="N1921" i="133"/>
  <c r="N1922" i="133"/>
  <c r="N1923" i="133"/>
  <c r="N1924" i="133"/>
  <c r="N1925" i="133"/>
  <c r="N1926" i="133"/>
  <c r="N1927" i="133"/>
  <c r="N1928" i="133"/>
  <c r="N1929" i="133"/>
  <c r="N1930" i="133"/>
  <c r="N1931" i="133"/>
  <c r="N1932" i="133"/>
  <c r="N1933" i="133"/>
  <c r="N1934" i="133"/>
  <c r="N1935" i="133"/>
  <c r="N1936" i="133"/>
  <c r="N1937" i="133"/>
  <c r="N1938" i="133"/>
  <c r="N1939" i="133"/>
  <c r="N1940" i="133"/>
  <c r="N1941" i="133"/>
  <c r="N1942" i="133"/>
  <c r="N1943" i="133"/>
  <c r="N1944" i="133"/>
  <c r="N1945" i="133"/>
  <c r="N1946" i="133"/>
  <c r="N1947" i="133"/>
  <c r="N1948" i="133"/>
  <c r="N1949" i="133"/>
  <c r="N1950" i="133"/>
  <c r="N1951" i="133"/>
  <c r="N1952" i="133"/>
  <c r="N1953" i="133"/>
  <c r="N1954" i="133"/>
  <c r="N1955" i="133"/>
  <c r="N1956" i="133"/>
  <c r="N1957" i="133"/>
  <c r="N1958" i="133"/>
  <c r="N1959" i="133"/>
  <c r="N1960" i="133"/>
  <c r="N1961" i="133"/>
  <c r="N1962" i="133"/>
  <c r="N1963" i="133"/>
  <c r="N1964" i="133"/>
  <c r="N1965" i="133"/>
  <c r="N1966" i="133"/>
  <c r="N1967" i="133"/>
  <c r="N1968" i="133"/>
  <c r="N1969" i="133"/>
  <c r="N1970" i="133"/>
  <c r="N1971" i="133"/>
  <c r="N1972" i="133"/>
  <c r="N1973" i="133"/>
  <c r="N1974" i="133"/>
  <c r="N1975" i="133"/>
  <c r="N1976" i="133"/>
  <c r="N1977" i="133"/>
  <c r="N1978" i="133"/>
  <c r="N1979" i="133"/>
  <c r="N1980" i="133"/>
  <c r="N1981" i="133"/>
  <c r="N1982" i="133"/>
  <c r="N1983" i="133"/>
  <c r="N1984" i="133"/>
  <c r="N1985" i="133"/>
  <c r="N1986" i="133"/>
  <c r="N1987" i="133"/>
  <c r="N1988" i="133"/>
  <c r="N1989" i="133"/>
  <c r="N1990" i="133"/>
  <c r="N1991" i="133"/>
  <c r="N1992" i="133"/>
  <c r="N1993" i="133"/>
  <c r="N1994" i="133"/>
  <c r="N1995" i="133"/>
  <c r="N1996" i="133"/>
  <c r="N1997" i="133"/>
  <c r="N1998" i="133"/>
  <c r="N1999" i="133"/>
  <c r="N2000" i="133"/>
  <c r="N2001" i="133"/>
  <c r="N2002" i="133"/>
  <c r="N2003" i="133"/>
  <c r="N2004" i="133"/>
  <c r="N2005" i="133"/>
  <c r="N2006" i="133"/>
  <c r="N2007" i="133"/>
  <c r="N2008" i="133"/>
  <c r="N2009" i="133"/>
  <c r="N2010" i="133"/>
  <c r="N2011" i="133"/>
  <c r="N2012" i="133"/>
  <c r="N2013" i="133"/>
  <c r="N2014" i="133"/>
  <c r="N2015" i="133"/>
  <c r="N2016" i="133"/>
  <c r="N2017" i="133"/>
  <c r="N2018" i="133"/>
  <c r="N2019" i="133"/>
  <c r="N2020" i="133"/>
  <c r="N2021" i="133"/>
  <c r="N2022" i="133"/>
  <c r="N2023" i="133"/>
  <c r="N2024" i="133"/>
  <c r="N2025" i="133"/>
  <c r="N2026" i="133"/>
  <c r="N2027" i="133"/>
  <c r="N2028" i="133"/>
  <c r="N2029" i="133"/>
  <c r="N2030" i="133"/>
  <c r="N2031" i="133"/>
  <c r="N2032" i="133"/>
  <c r="N2033" i="133"/>
  <c r="N2034" i="133"/>
  <c r="N2035" i="133"/>
  <c r="N2036" i="133"/>
  <c r="N2037" i="133"/>
  <c r="N2038" i="133"/>
  <c r="N2039" i="133"/>
  <c r="N2040" i="133"/>
  <c r="N2041" i="133"/>
  <c r="N2042" i="133"/>
  <c r="N2043" i="133"/>
  <c r="N2044" i="133"/>
  <c r="N2045" i="133"/>
  <c r="N2046" i="133"/>
  <c r="N2047" i="133"/>
  <c r="N2048" i="133"/>
  <c r="N2049" i="133"/>
  <c r="N2050" i="133"/>
  <c r="N2051" i="133"/>
  <c r="N2052" i="133"/>
  <c r="N2053" i="133"/>
  <c r="N2054" i="133"/>
  <c r="N2055" i="133"/>
  <c r="N2056" i="133"/>
  <c r="N2057" i="133"/>
  <c r="N2058" i="133"/>
  <c r="N2059" i="133"/>
  <c r="N2060" i="133"/>
  <c r="N2061" i="133"/>
  <c r="N2062" i="133"/>
  <c r="N2063" i="133"/>
  <c r="N2064" i="133"/>
  <c r="N2065" i="133"/>
  <c r="N2066" i="133"/>
  <c r="N2067" i="133"/>
  <c r="N2068" i="133"/>
  <c r="N2069" i="133"/>
  <c r="N2070" i="133"/>
  <c r="N2071" i="133"/>
  <c r="N2072" i="133"/>
  <c r="N2073" i="133"/>
  <c r="N2074" i="133"/>
  <c r="N2075" i="133"/>
  <c r="N2076" i="133"/>
  <c r="N2077" i="133"/>
  <c r="N2078" i="133"/>
  <c r="N2079" i="133"/>
  <c r="N2080" i="133"/>
  <c r="N2081" i="133"/>
  <c r="N2082" i="133"/>
  <c r="N2083" i="133"/>
  <c r="N2084" i="133"/>
  <c r="N2085" i="133"/>
  <c r="N2086" i="133"/>
  <c r="N2087" i="133"/>
  <c r="N2088" i="133"/>
  <c r="N2089" i="133"/>
  <c r="N2090" i="133"/>
  <c r="N2091" i="133"/>
  <c r="N2092" i="133"/>
  <c r="N2093" i="133"/>
  <c r="N2094" i="133"/>
  <c r="N2095" i="133"/>
  <c r="N2096" i="133"/>
  <c r="N2097" i="133"/>
  <c r="N2098" i="133"/>
  <c r="N2099" i="133"/>
  <c r="N2100" i="133"/>
  <c r="N2101" i="133"/>
  <c r="N2102" i="133"/>
  <c r="N2103" i="133"/>
  <c r="N2104" i="133"/>
  <c r="N2105" i="133"/>
  <c r="N2106" i="133"/>
  <c r="N2107" i="133"/>
  <c r="N2108" i="133"/>
  <c r="N2109" i="133"/>
  <c r="N2110" i="133"/>
  <c r="N2111" i="133"/>
  <c r="N2112" i="133"/>
  <c r="N2113" i="133"/>
  <c r="N2114" i="133"/>
  <c r="N2115" i="133"/>
  <c r="N2116" i="133"/>
  <c r="N2117" i="133"/>
  <c r="N2118" i="133"/>
  <c r="N2119" i="133"/>
  <c r="N2120" i="133"/>
  <c r="N2121" i="133"/>
  <c r="N2122" i="133"/>
  <c r="N2123" i="133"/>
  <c r="N2124" i="133"/>
  <c r="N2125" i="133"/>
  <c r="N2126" i="133"/>
  <c r="N2127" i="133"/>
  <c r="N2128" i="133"/>
  <c r="N2129" i="133"/>
  <c r="N2130" i="133"/>
  <c r="N2131" i="133"/>
  <c r="N2132" i="133"/>
  <c r="N2133" i="133"/>
  <c r="N2134" i="133"/>
  <c r="N2135" i="133"/>
  <c r="N2136" i="133"/>
  <c r="N2137" i="133"/>
  <c r="N2138" i="133"/>
  <c r="N2139" i="133"/>
  <c r="N2140" i="133"/>
  <c r="N2141" i="133"/>
  <c r="N2142" i="133"/>
  <c r="N2143" i="133"/>
  <c r="N2144" i="133"/>
  <c r="N2145" i="133"/>
  <c r="N2146" i="133"/>
  <c r="N2147" i="133"/>
  <c r="N2148" i="133"/>
  <c r="N2149" i="133"/>
  <c r="N2150" i="133"/>
  <c r="N2151" i="133"/>
  <c r="N2152" i="133"/>
  <c r="N2153" i="133"/>
  <c r="N2154" i="133"/>
  <c r="N2155" i="133"/>
  <c r="N2156" i="133"/>
  <c r="N2157" i="133"/>
  <c r="N2158" i="133"/>
  <c r="N2159" i="133"/>
  <c r="N2160" i="133"/>
  <c r="N2161" i="133"/>
  <c r="N2162" i="133"/>
  <c r="N2163" i="133"/>
  <c r="N2164" i="133"/>
  <c r="N2165" i="133"/>
  <c r="N2166" i="133"/>
  <c r="N2167" i="133"/>
  <c r="N2168" i="133"/>
  <c r="N2169" i="133"/>
  <c r="N2170" i="133"/>
  <c r="N2171" i="133"/>
  <c r="N2172" i="133"/>
  <c r="N2173" i="133"/>
  <c r="N2174" i="133"/>
  <c r="N2175" i="133"/>
  <c r="N2176" i="133"/>
  <c r="N2177" i="133"/>
  <c r="N2178" i="133"/>
  <c r="N2179" i="133"/>
  <c r="N2180" i="133"/>
  <c r="N2181" i="133"/>
  <c r="N2182" i="133"/>
  <c r="N2183" i="133"/>
  <c r="N2184" i="133"/>
  <c r="N2185" i="133"/>
  <c r="N2186" i="133"/>
  <c r="N2187" i="133"/>
  <c r="N2188" i="133"/>
  <c r="N2189" i="133"/>
  <c r="N2190" i="133"/>
  <c r="N2191" i="133"/>
  <c r="N2192" i="133"/>
  <c r="N2193" i="133"/>
  <c r="N2194" i="133"/>
  <c r="N2195" i="133"/>
  <c r="N2196" i="133"/>
  <c r="N2197" i="133"/>
  <c r="N2198" i="133"/>
  <c r="N2199" i="133"/>
  <c r="N2200" i="133"/>
  <c r="N2201" i="133"/>
  <c r="N2202" i="133"/>
  <c r="N2203" i="133"/>
  <c r="N2204" i="133"/>
  <c r="N2205" i="133"/>
  <c r="N2206" i="133"/>
  <c r="N2207" i="133"/>
  <c r="N2208" i="133"/>
  <c r="N2209" i="133"/>
  <c r="N2210" i="133"/>
  <c r="N2211" i="133"/>
  <c r="N2212" i="133"/>
  <c r="N2213" i="133"/>
  <c r="N2214" i="133"/>
  <c r="N2215" i="133"/>
  <c r="N2216" i="133"/>
  <c r="N2217" i="133"/>
  <c r="N2218" i="133"/>
  <c r="N2219" i="133"/>
  <c r="N2220" i="133"/>
  <c r="N2221" i="133"/>
  <c r="N2222" i="133"/>
  <c r="N2223" i="133"/>
  <c r="N2224" i="133"/>
  <c r="N2225" i="133"/>
  <c r="N2226" i="133"/>
  <c r="N2227" i="133"/>
  <c r="N2228" i="133"/>
  <c r="N2229" i="133"/>
  <c r="N2230" i="133"/>
  <c r="N2231" i="133"/>
  <c r="N2232" i="133"/>
  <c r="N2233" i="133"/>
  <c r="N2234" i="133"/>
  <c r="N2235" i="133"/>
  <c r="N2236" i="133"/>
  <c r="N2237" i="133"/>
  <c r="N2238" i="133"/>
  <c r="N2239" i="133"/>
  <c r="N2240" i="133"/>
  <c r="N2241" i="133"/>
  <c r="N2242" i="133"/>
  <c r="N2243" i="133"/>
  <c r="N2244" i="133"/>
  <c r="N2245" i="133"/>
  <c r="N2246" i="133"/>
  <c r="N2247" i="133"/>
  <c r="N2248" i="133"/>
  <c r="N2249" i="133"/>
  <c r="N2250" i="133"/>
  <c r="N2251" i="133"/>
  <c r="N2252" i="133"/>
  <c r="N2253" i="133"/>
  <c r="N2254" i="133"/>
  <c r="N2255" i="133"/>
  <c r="N2256" i="133"/>
  <c r="N2257" i="133"/>
  <c r="N2258" i="133"/>
  <c r="N2259" i="133"/>
  <c r="N2260" i="133"/>
  <c r="N2261" i="133"/>
  <c r="N2262" i="133"/>
  <c r="N2263" i="133"/>
  <c r="N2264" i="133"/>
  <c r="N2265" i="133"/>
  <c r="N2266" i="133"/>
  <c r="N2267" i="133"/>
  <c r="N2268" i="133"/>
  <c r="N2269" i="133"/>
  <c r="N2270" i="133"/>
  <c r="N2271" i="133"/>
  <c r="N2272" i="133"/>
  <c r="N2273" i="133"/>
  <c r="N2274" i="133"/>
  <c r="N2275" i="133"/>
  <c r="N2276" i="133"/>
  <c r="N2277" i="133"/>
  <c r="N2278" i="133"/>
  <c r="N2279" i="133"/>
  <c r="N2280" i="133"/>
  <c r="N2281" i="133"/>
  <c r="N2282" i="133"/>
  <c r="N2283" i="133"/>
  <c r="N2284" i="133"/>
  <c r="N2285" i="133"/>
  <c r="N2286" i="133"/>
  <c r="N2287" i="133"/>
  <c r="N2288" i="133"/>
  <c r="N2289" i="133"/>
  <c r="N2290" i="133"/>
  <c r="N2291" i="133"/>
  <c r="N2292" i="133"/>
  <c r="N2293" i="133"/>
  <c r="N2294" i="133"/>
  <c r="N2295" i="133"/>
  <c r="N2296" i="133"/>
  <c r="N2297" i="133"/>
  <c r="N2298" i="133"/>
  <c r="N2299" i="133"/>
  <c r="N2300" i="133"/>
  <c r="N2301" i="133"/>
  <c r="N2302" i="133"/>
  <c r="N2303" i="133"/>
  <c r="N2304" i="133"/>
  <c r="N2305" i="133"/>
  <c r="N2306" i="133"/>
  <c r="N2307" i="133"/>
  <c r="N2308" i="133"/>
  <c r="N2309" i="133"/>
  <c r="N2310" i="133"/>
  <c r="N2311" i="133"/>
  <c r="N2312" i="133"/>
  <c r="N2313" i="133"/>
  <c r="N2314" i="133"/>
  <c r="N2315" i="133"/>
  <c r="N2316" i="133"/>
  <c r="N2317" i="133"/>
  <c r="N2318" i="133"/>
  <c r="N2319" i="133"/>
  <c r="N2320" i="133"/>
  <c r="N2321" i="133"/>
  <c r="N2322" i="133"/>
  <c r="N2323" i="133"/>
  <c r="N2324" i="133"/>
  <c r="N2325" i="133"/>
  <c r="N2326" i="133"/>
  <c r="N2327" i="133"/>
  <c r="N2328" i="133"/>
  <c r="N2329" i="133"/>
  <c r="N2330" i="133"/>
  <c r="N2331" i="133"/>
  <c r="N2332" i="133"/>
  <c r="N2333" i="133"/>
  <c r="N2334" i="133"/>
  <c r="N2335" i="133"/>
  <c r="N2336" i="133"/>
  <c r="N2337" i="133"/>
  <c r="N2338" i="133"/>
  <c r="N2339" i="133"/>
  <c r="N2340" i="133"/>
  <c r="N2341" i="133"/>
  <c r="N2342" i="133"/>
  <c r="N2343" i="133"/>
  <c r="N2344" i="133"/>
  <c r="N2345" i="133"/>
  <c r="N2346" i="133"/>
  <c r="N2347" i="133"/>
  <c r="N2348" i="133"/>
  <c r="N2349" i="133"/>
  <c r="N2350" i="133"/>
  <c r="N2351" i="133"/>
  <c r="N2352" i="133"/>
  <c r="N2353" i="133"/>
  <c r="N2354" i="133"/>
  <c r="N2355" i="133"/>
  <c r="N2356" i="133"/>
  <c r="N2357" i="133"/>
  <c r="N2358" i="133"/>
  <c r="N2359" i="133"/>
  <c r="N2360" i="133"/>
  <c r="N2361" i="133"/>
  <c r="N2362" i="133"/>
  <c r="N2363" i="133"/>
  <c r="N2364" i="133"/>
  <c r="N2365" i="133"/>
  <c r="N2366" i="133"/>
  <c r="N2367" i="133"/>
  <c r="N2368" i="133"/>
  <c r="N2369" i="133"/>
  <c r="N2370" i="133"/>
  <c r="N2371" i="133"/>
  <c r="N2372" i="133"/>
  <c r="N2373" i="133"/>
  <c r="N2374" i="133"/>
  <c r="N2375" i="133"/>
  <c r="N2376" i="133"/>
  <c r="N2377" i="133"/>
  <c r="N2378" i="133"/>
  <c r="N2379" i="133"/>
  <c r="N2380" i="133"/>
  <c r="N2381" i="133"/>
  <c r="N2382" i="133"/>
  <c r="N2383" i="133"/>
  <c r="N2384" i="133"/>
  <c r="N2385" i="133"/>
  <c r="N2386" i="133"/>
  <c r="N2387" i="133"/>
  <c r="N2388" i="133"/>
  <c r="N2389" i="133"/>
  <c r="N2390" i="133"/>
  <c r="N2391" i="133"/>
  <c r="N2392" i="133"/>
  <c r="N2393" i="133"/>
  <c r="N2394" i="133"/>
  <c r="N2395" i="133"/>
  <c r="N2396" i="133"/>
  <c r="N2397" i="133"/>
  <c r="N2398" i="133"/>
  <c r="N2399" i="133"/>
  <c r="N2400" i="133"/>
  <c r="N2401" i="133"/>
  <c r="N2402" i="133"/>
  <c r="N2403" i="133"/>
  <c r="N2404" i="133"/>
  <c r="N2405" i="133"/>
  <c r="N2406" i="133"/>
  <c r="N2407" i="133"/>
  <c r="N2408" i="133"/>
  <c r="N2409" i="133"/>
  <c r="N2410" i="133"/>
  <c r="N2411" i="133"/>
  <c r="N2412" i="133"/>
  <c r="N2413" i="133"/>
  <c r="N2414" i="133"/>
  <c r="N2415" i="133"/>
  <c r="N2416" i="133"/>
  <c r="N2417" i="133"/>
  <c r="N2418" i="133"/>
  <c r="N2419" i="133"/>
  <c r="N2420" i="133"/>
  <c r="N2421" i="133"/>
  <c r="N2422" i="133"/>
  <c r="N2423" i="133"/>
  <c r="N2424" i="133"/>
  <c r="N2425" i="133"/>
  <c r="N2426" i="133"/>
  <c r="N2427" i="133"/>
  <c r="N2428" i="133"/>
  <c r="N2429" i="133"/>
  <c r="N2430" i="133"/>
  <c r="N2431" i="133"/>
  <c r="N2432" i="133"/>
  <c r="N2433" i="133"/>
  <c r="N2434" i="133"/>
  <c r="N2435" i="133"/>
  <c r="N2436" i="133"/>
  <c r="N2437" i="133"/>
  <c r="N2438" i="133"/>
  <c r="N2439" i="133"/>
  <c r="N2440" i="133"/>
  <c r="N2441" i="133"/>
  <c r="N2442" i="133"/>
  <c r="N2443" i="133"/>
  <c r="N2444" i="133"/>
  <c r="N2445" i="133"/>
  <c r="N2446" i="133"/>
  <c r="N2447" i="133"/>
  <c r="N2448" i="133"/>
  <c r="N2449" i="133"/>
  <c r="N2450" i="133"/>
  <c r="N2451" i="133"/>
  <c r="N2452" i="133"/>
  <c r="N2453" i="133"/>
  <c r="N2454" i="133"/>
  <c r="N2455" i="133"/>
  <c r="N2456" i="133"/>
  <c r="N2457" i="133"/>
  <c r="N2458" i="133"/>
  <c r="N2459" i="133"/>
  <c r="N2460" i="133"/>
  <c r="N2461" i="133"/>
  <c r="N2462" i="133"/>
  <c r="N2463" i="133"/>
  <c r="N2464" i="133"/>
  <c r="N2465" i="133"/>
  <c r="N2466" i="133"/>
  <c r="N2467" i="133"/>
  <c r="N2468" i="133"/>
  <c r="N2469" i="133"/>
  <c r="N2470" i="133"/>
  <c r="N2471" i="133"/>
  <c r="N2472" i="133"/>
  <c r="N2473" i="133"/>
  <c r="N2474" i="133"/>
  <c r="N2475" i="133"/>
  <c r="N2476" i="133"/>
  <c r="N2477" i="133"/>
  <c r="N2478" i="133"/>
  <c r="N2479" i="133"/>
  <c r="N2480" i="133"/>
  <c r="N2481" i="133"/>
  <c r="N2482" i="133"/>
  <c r="N2483" i="133"/>
  <c r="N2484" i="133"/>
  <c r="N2485" i="133"/>
  <c r="N2486" i="133"/>
  <c r="N2487" i="133"/>
  <c r="N2488" i="133"/>
  <c r="N2489" i="133"/>
  <c r="N2490" i="133"/>
  <c r="N2491" i="133"/>
  <c r="N2492" i="133"/>
  <c r="N2493" i="133"/>
  <c r="N2494" i="133"/>
  <c r="N2495" i="133"/>
  <c r="N2496" i="133"/>
  <c r="N2497" i="133"/>
  <c r="N2498" i="133"/>
  <c r="N2499" i="133"/>
  <c r="N2500" i="133"/>
  <c r="N2501" i="133"/>
  <c r="N2502" i="133"/>
  <c r="N2503" i="133"/>
  <c r="N2504" i="133"/>
  <c r="N2505" i="133"/>
  <c r="N2506" i="133"/>
  <c r="N2507" i="133"/>
  <c r="N2508" i="133"/>
  <c r="N2509" i="133"/>
  <c r="N2510" i="133"/>
  <c r="N2511" i="133"/>
  <c r="N2512" i="133"/>
  <c r="N2513" i="133"/>
  <c r="N2514" i="133"/>
  <c r="N2515" i="133"/>
  <c r="N2516" i="133"/>
  <c r="N2517" i="133"/>
  <c r="N2518" i="133"/>
  <c r="N2519" i="133"/>
  <c r="N2520" i="133"/>
  <c r="N2521" i="133"/>
  <c r="N2522" i="133"/>
  <c r="N2523" i="133"/>
  <c r="N2524" i="133"/>
  <c r="N2525" i="133"/>
  <c r="N2526" i="133"/>
  <c r="N2527" i="133"/>
  <c r="N2528" i="133"/>
  <c r="N2529" i="133"/>
  <c r="N2530" i="133"/>
  <c r="N2531" i="133"/>
  <c r="N2532" i="133"/>
  <c r="N2533" i="133"/>
  <c r="N2534" i="133"/>
  <c r="N2535" i="133"/>
  <c r="N2536" i="133"/>
  <c r="N2537" i="133"/>
  <c r="N2538" i="133"/>
  <c r="N2539" i="133"/>
  <c r="N2540" i="133"/>
  <c r="N2541" i="133"/>
  <c r="N2542" i="133"/>
  <c r="N2543" i="133"/>
  <c r="N2544" i="133"/>
  <c r="N2545" i="133"/>
  <c r="N2546" i="133"/>
  <c r="N2547" i="133"/>
  <c r="N2548" i="133"/>
  <c r="N2549" i="133"/>
  <c r="N2550" i="133"/>
  <c r="N2551" i="133"/>
  <c r="N2552" i="133"/>
  <c r="N2553" i="133"/>
  <c r="N2554" i="133"/>
  <c r="N2555" i="133"/>
  <c r="N2556" i="133"/>
  <c r="N2557" i="133"/>
  <c r="N2558" i="133"/>
  <c r="N2559" i="133"/>
  <c r="N2560" i="133"/>
  <c r="N2561" i="133"/>
  <c r="N2562" i="133"/>
  <c r="N2563" i="133"/>
  <c r="N2564" i="133"/>
  <c r="N2565" i="133"/>
  <c r="N2566" i="133"/>
  <c r="N2567" i="133"/>
  <c r="N2568" i="133"/>
  <c r="N2569" i="133"/>
  <c r="N2570" i="133"/>
  <c r="N2571" i="133"/>
  <c r="N2572" i="133"/>
  <c r="N2573" i="133"/>
  <c r="N2574" i="133"/>
  <c r="N2575" i="133"/>
  <c r="N2576" i="133"/>
  <c r="N2577" i="133"/>
  <c r="N2578" i="133"/>
  <c r="N2579" i="133"/>
  <c r="N2580" i="133"/>
  <c r="N2581" i="133"/>
  <c r="N2582" i="133"/>
  <c r="N2583" i="133"/>
  <c r="N2584" i="133"/>
  <c r="N2585" i="133"/>
  <c r="N2586" i="133"/>
  <c r="N2587" i="133"/>
  <c r="N2588" i="133"/>
  <c r="N2589" i="133"/>
  <c r="N2590" i="133"/>
  <c r="N2591" i="133"/>
  <c r="N2592" i="133"/>
  <c r="N2593" i="133"/>
  <c r="N2594" i="133"/>
  <c r="N2595" i="133"/>
  <c r="N2596" i="133"/>
  <c r="N2597" i="133"/>
  <c r="N2598" i="133"/>
  <c r="N2599" i="133"/>
  <c r="N2600" i="133"/>
  <c r="N2601" i="133"/>
  <c r="N2602" i="133"/>
  <c r="N2603" i="133"/>
  <c r="N2604" i="133"/>
  <c r="N2605" i="133"/>
  <c r="N2606" i="133"/>
  <c r="N2607" i="133"/>
  <c r="N2608" i="133"/>
  <c r="N2609" i="133"/>
  <c r="N2610" i="133"/>
  <c r="N2611" i="133"/>
  <c r="N2612" i="133"/>
  <c r="N2613" i="133"/>
  <c r="N2614" i="133"/>
  <c r="N2615" i="133"/>
  <c r="N2616" i="133"/>
  <c r="N2617" i="133"/>
  <c r="N2618" i="133"/>
  <c r="N2619" i="133"/>
  <c r="N2620" i="133"/>
  <c r="N2621" i="133"/>
  <c r="N2622" i="133"/>
  <c r="N2623" i="133"/>
  <c r="N2624" i="133"/>
  <c r="N2625" i="133"/>
  <c r="N2626" i="133"/>
  <c r="N2627" i="133"/>
  <c r="N2628" i="133"/>
  <c r="N2629" i="133"/>
  <c r="N2630" i="133"/>
  <c r="N2631" i="133"/>
  <c r="N2632" i="133"/>
  <c r="N2633" i="133"/>
  <c r="N2634" i="133"/>
  <c r="N2635" i="133"/>
  <c r="N2636" i="133"/>
  <c r="N2637" i="133"/>
  <c r="N2638" i="133"/>
  <c r="N2639" i="133"/>
  <c r="N2640" i="133"/>
  <c r="N2641" i="133"/>
  <c r="N2642" i="133"/>
  <c r="N2643" i="133"/>
  <c r="N2644" i="133"/>
  <c r="N2645" i="133"/>
  <c r="N2646" i="133"/>
  <c r="N2647" i="133"/>
  <c r="N2648" i="133"/>
  <c r="N2649" i="133"/>
  <c r="N2650" i="133"/>
  <c r="N2651" i="133"/>
  <c r="N2652" i="133"/>
  <c r="N2653" i="133"/>
  <c r="N2654" i="133"/>
  <c r="N2655" i="133"/>
  <c r="N2656" i="133"/>
  <c r="N2657" i="133"/>
  <c r="N2658" i="133"/>
  <c r="N2659" i="133"/>
  <c r="N2660" i="133"/>
  <c r="N2661" i="133"/>
  <c r="N2662" i="133"/>
  <c r="N2663" i="133"/>
  <c r="N2664" i="133"/>
  <c r="N2665" i="133"/>
  <c r="N2666" i="133"/>
  <c r="N2667" i="133"/>
  <c r="N2668" i="133"/>
  <c r="N2669" i="133"/>
  <c r="N2670" i="133"/>
  <c r="N2671" i="133"/>
  <c r="N2672" i="133"/>
  <c r="N2673" i="133"/>
  <c r="N2674" i="133"/>
  <c r="N2675" i="133"/>
  <c r="N2676" i="133"/>
  <c r="N2677" i="133"/>
  <c r="N2678" i="133"/>
  <c r="N2679" i="133"/>
  <c r="N2680" i="133"/>
  <c r="N2681" i="133"/>
  <c r="N2682" i="133"/>
  <c r="N2683" i="133"/>
  <c r="N2684" i="133"/>
  <c r="N2685" i="133"/>
  <c r="N2686" i="133"/>
  <c r="N2687" i="133"/>
  <c r="N2688" i="133"/>
  <c r="N2689" i="133"/>
  <c r="N2690" i="133"/>
  <c r="N2691" i="133"/>
  <c r="N2692" i="133"/>
  <c r="N2693" i="133"/>
  <c r="N2694" i="133"/>
  <c r="N2695" i="133"/>
  <c r="N2696" i="133"/>
  <c r="N2697" i="133"/>
  <c r="N2698" i="133"/>
  <c r="N2699" i="133"/>
  <c r="N2700" i="133"/>
  <c r="N2701" i="133"/>
  <c r="N2702" i="133"/>
  <c r="N2703" i="133"/>
  <c r="N2704" i="133"/>
  <c r="N2705" i="133"/>
  <c r="N2706" i="133"/>
  <c r="N2707" i="133"/>
  <c r="N2708" i="133"/>
  <c r="N2709" i="133"/>
  <c r="N2710" i="133"/>
  <c r="N2711" i="133"/>
  <c r="N2712" i="133"/>
  <c r="N2713" i="133"/>
  <c r="N2714" i="133"/>
  <c r="N2715" i="133"/>
  <c r="N2716" i="133"/>
  <c r="N2717" i="133"/>
  <c r="N2718" i="133"/>
  <c r="N2719" i="133"/>
  <c r="N2720" i="133"/>
  <c r="N2721" i="133"/>
  <c r="N2722" i="133"/>
  <c r="N2723" i="133"/>
  <c r="N2724" i="133"/>
  <c r="N2725" i="133"/>
  <c r="N2726" i="133"/>
  <c r="N2727" i="133"/>
  <c r="N2728" i="133"/>
  <c r="N2729" i="133"/>
  <c r="N2730" i="133"/>
  <c r="N2731" i="133"/>
  <c r="N2732" i="133"/>
  <c r="N2733" i="133"/>
  <c r="N2734" i="133"/>
  <c r="N2735" i="133"/>
  <c r="N2736" i="133"/>
  <c r="N2737" i="133"/>
  <c r="N2738" i="133"/>
  <c r="N2739" i="133"/>
  <c r="N2740" i="133"/>
  <c r="N2741" i="133"/>
  <c r="N2742" i="133"/>
  <c r="N2743" i="133"/>
  <c r="N2744" i="133"/>
  <c r="N2745" i="133"/>
  <c r="N2746" i="133"/>
  <c r="N2747" i="133"/>
  <c r="N2748" i="133"/>
  <c r="N2749" i="133"/>
  <c r="N2750" i="133"/>
  <c r="N2751" i="133"/>
  <c r="N2752" i="133"/>
  <c r="N2753" i="133"/>
  <c r="N2754" i="133"/>
  <c r="N2755" i="133"/>
  <c r="N2756" i="133"/>
  <c r="N2757" i="133"/>
  <c r="N2758" i="133"/>
  <c r="N2759" i="133"/>
  <c r="N2760" i="133"/>
  <c r="N2761" i="133"/>
  <c r="N2762" i="133"/>
  <c r="N2763" i="133"/>
  <c r="N2764" i="133"/>
  <c r="N2765" i="133"/>
  <c r="N2766" i="133"/>
  <c r="N2767" i="133"/>
  <c r="N2768" i="133"/>
  <c r="N2769" i="133"/>
  <c r="N2770" i="133"/>
  <c r="N2771" i="133"/>
  <c r="N2772" i="133"/>
  <c r="N2773" i="133"/>
  <c r="N2774" i="133"/>
  <c r="N2775" i="133"/>
  <c r="N2776" i="133"/>
  <c r="N2777" i="133"/>
  <c r="N2778" i="133"/>
  <c r="N2779" i="133"/>
  <c r="N2780" i="133"/>
  <c r="N2781" i="133"/>
  <c r="N2782" i="133"/>
  <c r="N2783" i="133"/>
  <c r="N2784" i="133"/>
  <c r="N2785" i="133"/>
  <c r="N2786" i="133"/>
  <c r="N2787" i="133"/>
  <c r="N2788" i="133"/>
  <c r="N2789" i="133"/>
  <c r="N2790" i="133"/>
  <c r="N2791" i="133"/>
  <c r="N2792" i="133"/>
  <c r="N2793" i="133"/>
  <c r="N2794" i="133"/>
  <c r="N2795" i="133"/>
  <c r="N2796" i="133"/>
  <c r="N2797" i="133"/>
  <c r="N2798" i="133"/>
  <c r="N2799" i="133"/>
  <c r="N2800" i="133"/>
  <c r="N2801" i="133"/>
  <c r="N2802" i="133"/>
  <c r="N2803" i="133"/>
  <c r="N2804" i="133"/>
  <c r="N2805" i="133"/>
  <c r="N2806" i="133"/>
  <c r="N2807" i="133"/>
  <c r="N2808" i="133"/>
  <c r="N2809" i="133"/>
  <c r="N2810" i="133"/>
  <c r="N2811" i="133"/>
  <c r="N2812" i="133"/>
  <c r="N2813" i="133"/>
  <c r="N2814" i="133"/>
  <c r="N2815" i="133"/>
  <c r="N2816" i="133"/>
  <c r="N2817" i="133"/>
  <c r="N2818" i="133"/>
  <c r="N2819" i="133"/>
  <c r="N2820" i="133"/>
  <c r="N2821" i="133"/>
  <c r="N2822" i="133"/>
  <c r="N2823" i="133"/>
  <c r="N2824" i="133"/>
  <c r="N2825" i="133"/>
  <c r="N2826" i="133"/>
  <c r="N2827" i="133"/>
  <c r="N2828" i="133"/>
  <c r="N2829" i="133"/>
  <c r="N2830" i="133"/>
  <c r="N2831" i="133"/>
  <c r="N2832" i="133"/>
  <c r="N2833" i="133"/>
  <c r="N2834" i="133"/>
  <c r="N2835" i="133"/>
  <c r="N2836" i="133"/>
  <c r="N2837" i="133"/>
  <c r="N2838" i="133"/>
  <c r="N2839" i="133"/>
  <c r="N2840" i="133"/>
  <c r="N2841" i="133"/>
  <c r="N2842" i="133"/>
  <c r="N2843" i="133"/>
  <c r="N2844" i="133"/>
  <c r="N2845" i="133"/>
  <c r="N2846" i="133"/>
  <c r="N2847" i="133"/>
  <c r="N2848" i="133"/>
  <c r="N2849" i="133"/>
  <c r="N2850" i="133"/>
  <c r="N2851" i="133"/>
  <c r="N2852" i="133"/>
  <c r="N2853" i="133"/>
  <c r="N2854" i="133"/>
  <c r="N2855" i="133"/>
  <c r="N2856" i="133"/>
  <c r="N2857" i="133"/>
  <c r="N2858" i="133"/>
  <c r="N2859" i="133"/>
  <c r="N2860" i="133"/>
  <c r="N2861" i="133"/>
  <c r="N2862" i="133"/>
  <c r="N2863" i="133"/>
  <c r="N2864" i="133"/>
  <c r="N2865" i="133"/>
  <c r="N2866" i="133"/>
  <c r="N2867" i="133"/>
  <c r="N2868" i="133"/>
  <c r="N2869" i="133"/>
  <c r="N2870" i="133"/>
  <c r="N2871" i="133"/>
  <c r="N2872" i="133"/>
  <c r="N2873" i="133"/>
  <c r="N2874" i="133"/>
  <c r="N2875" i="133"/>
  <c r="N2876" i="133"/>
  <c r="N2877" i="133"/>
  <c r="N2878" i="133"/>
  <c r="N2879" i="133"/>
  <c r="N2880" i="133"/>
  <c r="N2881" i="133"/>
  <c r="N2882" i="133"/>
  <c r="N2883" i="133"/>
  <c r="N2884" i="133"/>
  <c r="N2885" i="133"/>
  <c r="N2886" i="133"/>
  <c r="N2887" i="133"/>
  <c r="N2888" i="133"/>
  <c r="N2889" i="133"/>
  <c r="N2890" i="133"/>
  <c r="N2891" i="133"/>
  <c r="N2892" i="133"/>
  <c r="N2893" i="133"/>
  <c r="N2894" i="133"/>
  <c r="N2895" i="133"/>
  <c r="N2896" i="133"/>
  <c r="N2897" i="133"/>
  <c r="N2898" i="133"/>
  <c r="N2899" i="133"/>
  <c r="N2900" i="133"/>
  <c r="N2901" i="133"/>
  <c r="N2902" i="133"/>
  <c r="N2903" i="133"/>
  <c r="N2904" i="133"/>
  <c r="N2905" i="133"/>
  <c r="N2906" i="133"/>
  <c r="N2" i="133"/>
  <c r="L2888" i="133"/>
  <c r="L2906" i="133"/>
  <c r="L2905" i="133"/>
  <c r="L2904" i="133"/>
  <c r="L2903" i="133"/>
  <c r="L2902" i="133"/>
  <c r="L2901" i="133"/>
  <c r="L2900" i="133"/>
  <c r="L2899" i="133"/>
  <c r="L2898" i="133"/>
  <c r="L2897" i="133"/>
  <c r="L2896" i="133"/>
  <c r="L2895" i="133"/>
  <c r="L2894" i="133"/>
  <c r="L2893" i="133"/>
  <c r="L2892" i="133"/>
  <c r="L2891" i="133"/>
  <c r="L2890" i="133"/>
  <c r="L2889" i="133"/>
  <c r="L2887" i="133"/>
  <c r="L2886" i="133"/>
  <c r="L2885" i="133"/>
  <c r="L2884" i="133"/>
  <c r="L2883" i="133"/>
  <c r="L2882" i="133"/>
  <c r="L2881" i="133"/>
  <c r="L2880" i="133"/>
  <c r="L2879" i="133"/>
  <c r="L2878" i="133"/>
  <c r="L2877" i="133"/>
  <c r="L2876" i="133"/>
  <c r="L2875" i="133"/>
  <c r="L2874" i="133"/>
  <c r="L2873" i="133"/>
  <c r="L2872" i="133"/>
  <c r="L2871" i="133"/>
  <c r="L2870" i="133"/>
  <c r="L2869" i="133"/>
  <c r="L2868" i="133"/>
  <c r="L2867" i="133"/>
  <c r="L2866" i="133"/>
  <c r="L2865" i="133"/>
  <c r="L2864" i="133"/>
  <c r="L2863" i="133"/>
  <c r="L2862" i="133"/>
  <c r="L2861" i="133"/>
  <c r="L2860" i="133"/>
  <c r="L2859" i="133"/>
  <c r="L2858" i="133"/>
  <c r="L2857" i="133"/>
  <c r="L2856" i="133"/>
  <c r="L2855" i="133"/>
  <c r="L2854" i="133"/>
  <c r="L2853" i="133"/>
  <c r="L2852" i="133"/>
  <c r="L2851" i="133"/>
  <c r="L2850" i="133"/>
  <c r="L2849" i="133"/>
  <c r="L2848" i="133"/>
  <c r="L2847" i="133"/>
  <c r="L2846" i="133"/>
  <c r="L2845" i="133"/>
  <c r="L2844" i="133"/>
  <c r="L2843" i="133"/>
  <c r="L2842" i="133"/>
  <c r="L2841" i="133"/>
  <c r="L2840" i="133"/>
  <c r="L2839" i="133"/>
  <c r="L2838" i="133"/>
  <c r="L2837" i="133"/>
  <c r="L2836" i="133"/>
  <c r="L2835" i="133"/>
  <c r="L2834" i="133"/>
  <c r="L2833" i="133"/>
  <c r="L2832" i="133"/>
  <c r="L2831" i="133"/>
  <c r="L2830" i="133"/>
  <c r="L2829" i="133"/>
  <c r="L2828" i="133"/>
  <c r="L2827" i="133"/>
  <c r="L2826" i="133"/>
  <c r="L2825" i="133"/>
  <c r="L2824" i="133"/>
  <c r="L2823" i="133"/>
  <c r="L2822" i="133"/>
  <c r="L2821" i="133"/>
  <c r="L2820" i="133"/>
  <c r="L2819" i="133"/>
  <c r="L2818" i="133"/>
  <c r="L2817" i="133"/>
  <c r="L2816" i="133"/>
  <c r="L2815" i="133"/>
  <c r="L2814" i="133"/>
  <c r="L2813" i="133"/>
  <c r="L2812" i="133"/>
  <c r="L2811" i="133"/>
  <c r="L2810" i="133"/>
  <c r="L2809" i="133"/>
  <c r="L2808" i="133"/>
  <c r="L2807" i="133"/>
  <c r="L2806" i="133"/>
  <c r="L2805" i="133"/>
  <c r="L2804" i="133"/>
  <c r="L2803" i="133"/>
  <c r="L2802" i="133"/>
  <c r="L2801" i="133"/>
  <c r="L2800" i="133"/>
  <c r="L2799" i="133"/>
  <c r="L2798" i="133"/>
  <c r="L2797" i="133"/>
  <c r="L2796" i="133"/>
  <c r="L2795" i="133"/>
  <c r="L2794" i="133"/>
  <c r="L2793" i="133"/>
  <c r="L2792" i="133"/>
  <c r="L2791" i="133"/>
  <c r="L2790" i="133"/>
  <c r="L2789" i="133"/>
  <c r="L2788" i="133"/>
  <c r="L2787" i="133"/>
  <c r="L2786" i="133"/>
  <c r="L2785" i="133"/>
  <c r="L2784" i="133"/>
  <c r="L2783" i="133"/>
  <c r="L2782" i="133"/>
  <c r="L2781" i="133"/>
  <c r="L2780" i="133"/>
  <c r="L2779" i="133"/>
  <c r="L2778" i="133"/>
  <c r="L2777" i="133"/>
  <c r="L2776" i="133"/>
  <c r="L2775" i="133"/>
  <c r="L2774" i="133"/>
  <c r="L2773" i="133"/>
  <c r="L2772" i="133"/>
  <c r="L2771" i="133"/>
  <c r="L2770" i="133"/>
  <c r="L2769" i="133"/>
  <c r="L2768" i="133"/>
  <c r="L2767" i="133"/>
  <c r="L2766" i="133"/>
  <c r="L2765" i="133"/>
  <c r="L2764" i="133"/>
  <c r="L2763" i="133"/>
  <c r="L2762" i="133"/>
  <c r="L2761" i="133"/>
  <c r="L2760" i="133"/>
  <c r="L2759" i="133"/>
  <c r="L2758" i="133"/>
  <c r="L2757" i="133"/>
  <c r="L2756" i="133"/>
  <c r="L2755" i="133"/>
  <c r="L2754" i="133"/>
  <c r="L2753" i="133"/>
  <c r="L2752" i="133"/>
  <c r="L2751" i="133"/>
  <c r="L2750" i="133"/>
  <c r="L2749" i="133"/>
  <c r="L2748" i="133"/>
  <c r="L2747" i="133"/>
  <c r="L2746" i="133"/>
  <c r="L2745" i="133"/>
  <c r="L2744" i="133"/>
  <c r="L2743" i="133"/>
  <c r="L2742" i="133"/>
  <c r="L2741" i="133"/>
  <c r="L2740" i="133"/>
  <c r="L2739" i="133"/>
  <c r="L2738" i="133"/>
  <c r="L2737" i="133"/>
  <c r="L2736" i="133"/>
  <c r="L2735" i="133"/>
  <c r="L2734" i="133"/>
  <c r="L2733" i="133"/>
  <c r="L2732" i="133"/>
  <c r="L2731" i="133"/>
  <c r="L2730" i="133"/>
  <c r="L2729" i="133"/>
  <c r="L2728" i="133"/>
  <c r="L2727" i="133"/>
  <c r="L2726" i="133"/>
  <c r="L2725" i="133"/>
  <c r="L2724" i="133"/>
  <c r="L2723" i="133"/>
  <c r="L2722" i="133"/>
  <c r="L2721" i="133"/>
  <c r="L2720" i="133"/>
  <c r="L2719" i="133"/>
  <c r="L2718" i="133"/>
  <c r="L2717" i="133"/>
  <c r="L2716" i="133"/>
  <c r="L2715" i="133"/>
  <c r="L2714" i="133"/>
  <c r="L2713" i="133"/>
  <c r="L2712" i="133"/>
  <c r="L2711" i="133"/>
  <c r="L2710" i="133"/>
  <c r="L2709" i="133"/>
  <c r="L2708" i="133"/>
  <c r="L2707" i="133"/>
  <c r="L2706" i="133"/>
  <c r="L2705" i="133"/>
  <c r="L2704" i="133"/>
  <c r="L2703" i="133"/>
  <c r="L2702" i="133"/>
  <c r="L2701" i="133"/>
  <c r="L2700" i="133"/>
  <c r="L2699" i="133"/>
  <c r="L2698" i="133"/>
  <c r="L2697" i="133"/>
  <c r="L2696" i="133"/>
  <c r="L2695" i="133"/>
  <c r="L2694" i="133"/>
  <c r="L2693" i="133"/>
  <c r="L2692" i="133"/>
  <c r="L2691" i="133"/>
  <c r="L2690" i="133"/>
  <c r="L2689" i="133"/>
  <c r="L2688" i="133"/>
  <c r="L2687" i="133"/>
  <c r="L2686" i="133"/>
  <c r="L2685" i="133"/>
  <c r="L2684" i="133"/>
  <c r="L2683" i="133"/>
  <c r="L2682" i="133"/>
  <c r="L2681" i="133"/>
  <c r="L2680" i="133"/>
  <c r="L2679" i="133"/>
  <c r="L2678" i="133"/>
  <c r="L2677" i="133"/>
  <c r="L2676" i="133"/>
  <c r="L2675" i="133"/>
  <c r="L2674" i="133"/>
  <c r="L2673" i="133"/>
  <c r="L2672" i="133"/>
  <c r="L2671" i="133"/>
  <c r="L2670" i="133"/>
  <c r="L2669" i="133"/>
  <c r="L2668" i="133"/>
  <c r="L2667" i="133"/>
  <c r="L2666" i="133"/>
  <c r="L2665" i="133"/>
  <c r="L2664" i="133"/>
  <c r="L2663" i="133"/>
  <c r="L2662" i="133"/>
  <c r="L2661" i="133"/>
  <c r="L2660" i="133"/>
  <c r="L2659" i="133"/>
  <c r="L2658" i="133"/>
  <c r="L2657" i="133"/>
  <c r="L2656" i="133"/>
  <c r="L2655" i="133"/>
  <c r="L2654" i="133"/>
  <c r="L2653" i="133"/>
  <c r="L2652" i="133"/>
  <c r="L2651" i="133"/>
  <c r="L2650" i="133"/>
  <c r="L2649" i="133"/>
  <c r="L2648" i="133"/>
  <c r="L2647" i="133"/>
  <c r="L2646" i="133"/>
  <c r="L2645" i="133"/>
  <c r="L2644" i="133"/>
  <c r="L2643" i="133"/>
  <c r="L2642" i="133"/>
  <c r="L2641" i="133"/>
  <c r="L2640" i="133"/>
  <c r="L2639" i="133"/>
  <c r="L2638" i="133"/>
  <c r="L2637" i="133"/>
  <c r="L2636" i="133"/>
  <c r="L2635" i="133"/>
  <c r="L2634" i="133"/>
  <c r="L2633" i="133"/>
  <c r="L2632" i="133"/>
  <c r="L2631" i="133"/>
  <c r="L2630" i="133"/>
  <c r="L2629" i="133"/>
  <c r="L2628" i="133"/>
  <c r="L2627" i="133"/>
  <c r="L2626" i="133"/>
  <c r="L2625" i="133"/>
  <c r="L2624" i="133"/>
  <c r="L2623" i="133"/>
  <c r="L2622" i="133"/>
  <c r="L2621" i="133"/>
  <c r="L2620" i="133"/>
  <c r="L2619" i="133"/>
  <c r="L2618" i="133"/>
  <c r="L2617" i="133"/>
  <c r="L2616" i="133"/>
  <c r="L2615" i="133"/>
  <c r="L2614" i="133"/>
  <c r="L2613" i="133"/>
  <c r="L2612" i="133"/>
  <c r="L2611" i="133"/>
  <c r="L2610" i="133"/>
  <c r="L2609" i="133"/>
  <c r="L2608" i="133"/>
  <c r="L2607" i="133"/>
  <c r="L2606" i="133"/>
  <c r="L2605" i="133"/>
  <c r="L2604" i="133"/>
  <c r="L2603" i="133"/>
  <c r="L2602" i="133"/>
  <c r="L2601" i="133"/>
  <c r="L2600" i="133"/>
  <c r="L2599" i="133"/>
  <c r="L2598" i="133"/>
  <c r="L2597" i="133"/>
  <c r="L2596" i="133"/>
  <c r="L2595" i="133"/>
  <c r="L2594" i="133"/>
  <c r="L2593" i="133"/>
  <c r="L2592" i="133"/>
  <c r="L2591" i="133"/>
  <c r="L2590" i="133"/>
  <c r="L2589" i="133"/>
  <c r="L2588" i="133"/>
  <c r="L2587" i="133"/>
  <c r="L2586" i="133"/>
  <c r="L2585" i="133"/>
  <c r="L2584" i="133"/>
  <c r="L2583" i="133"/>
  <c r="L2582" i="133"/>
  <c r="L2581" i="133"/>
  <c r="L2580" i="133"/>
  <c r="L2579" i="133"/>
  <c r="L2578" i="133"/>
  <c r="L2577" i="133"/>
  <c r="L2576" i="133"/>
  <c r="L2575" i="133"/>
  <c r="L2574" i="133"/>
  <c r="L2573" i="133"/>
  <c r="L2572" i="133"/>
  <c r="L2571" i="133"/>
  <c r="L2570" i="133"/>
  <c r="L2569" i="133"/>
  <c r="L2568" i="133"/>
  <c r="L2567" i="133"/>
  <c r="L2566" i="133"/>
  <c r="L2565" i="133"/>
  <c r="L2564" i="133"/>
  <c r="L2563" i="133"/>
  <c r="L2562" i="133"/>
  <c r="L2561" i="133"/>
  <c r="L2560" i="133"/>
  <c r="L2559" i="133"/>
  <c r="L2558" i="133"/>
  <c r="L2557" i="133"/>
  <c r="L2556" i="133"/>
  <c r="L2555" i="133"/>
  <c r="L2554" i="133"/>
  <c r="L2553" i="133"/>
  <c r="L2552" i="133"/>
  <c r="L2551" i="133"/>
  <c r="L2550" i="133"/>
  <c r="L2549" i="133"/>
  <c r="L2548" i="133"/>
  <c r="L2547" i="133"/>
  <c r="L2546" i="133"/>
  <c r="L2545" i="133"/>
  <c r="L2544" i="133"/>
  <c r="L2543" i="133"/>
  <c r="L2542" i="133"/>
  <c r="L2541" i="133"/>
  <c r="L2540" i="133"/>
  <c r="L2539" i="133"/>
  <c r="L2538" i="133"/>
  <c r="L2537" i="133"/>
  <c r="L2536" i="133"/>
  <c r="L2535" i="133"/>
  <c r="L2534" i="133"/>
  <c r="L2533" i="133"/>
  <c r="L2532" i="133"/>
  <c r="L2531" i="133"/>
  <c r="L2530" i="133"/>
  <c r="L2529" i="133"/>
  <c r="L2528" i="133"/>
  <c r="L2527" i="133"/>
  <c r="L2526" i="133"/>
  <c r="L2525" i="133"/>
  <c r="L2524" i="133"/>
  <c r="L2523" i="133"/>
  <c r="L2522" i="133"/>
  <c r="L2521" i="133"/>
  <c r="L2520" i="133"/>
  <c r="L2519" i="133"/>
  <c r="L2518" i="133"/>
  <c r="L2517" i="133"/>
  <c r="L2516" i="133"/>
  <c r="L2515" i="133"/>
  <c r="L2514" i="133"/>
  <c r="L2513" i="133"/>
  <c r="L2512" i="133"/>
  <c r="L2511" i="133"/>
  <c r="L2510" i="133"/>
  <c r="L2509" i="133"/>
  <c r="L2508" i="133"/>
  <c r="L2507" i="133"/>
  <c r="L2506" i="133"/>
  <c r="L2505" i="133"/>
  <c r="L2504" i="133"/>
  <c r="L2503" i="133"/>
  <c r="L2502" i="133"/>
  <c r="L2501" i="133"/>
  <c r="L2500" i="133"/>
  <c r="L2499" i="133"/>
  <c r="L2498" i="133"/>
  <c r="L2497" i="133"/>
  <c r="L2496" i="133"/>
  <c r="L2495" i="133"/>
  <c r="L2494" i="133"/>
  <c r="L2493" i="133"/>
  <c r="L2492" i="133"/>
  <c r="L2491" i="133"/>
  <c r="L2490" i="133"/>
  <c r="L2489" i="133"/>
  <c r="L2488" i="133"/>
  <c r="L2487" i="133"/>
  <c r="L2486" i="133"/>
  <c r="L2485" i="133"/>
  <c r="L2484" i="133"/>
  <c r="L2483" i="133"/>
  <c r="L2482" i="133"/>
  <c r="L2481" i="133"/>
  <c r="L2480" i="133"/>
  <c r="L2479" i="133"/>
  <c r="L2478" i="133"/>
  <c r="L2477" i="133"/>
  <c r="L2476" i="133"/>
  <c r="L2475" i="133"/>
  <c r="L2474" i="133"/>
  <c r="L2473" i="133"/>
  <c r="L2472" i="133"/>
  <c r="L2471" i="133"/>
  <c r="L2470" i="133"/>
  <c r="L2469" i="133"/>
  <c r="L2468" i="133"/>
  <c r="L2467" i="133"/>
  <c r="L2466" i="133"/>
  <c r="L2465" i="133"/>
  <c r="L2464" i="133"/>
  <c r="L2463" i="133"/>
  <c r="L2462" i="133"/>
  <c r="L2461" i="133"/>
  <c r="L2460" i="133"/>
  <c r="L2459" i="133"/>
  <c r="L2458" i="133"/>
  <c r="L2457" i="133"/>
  <c r="L2456" i="133"/>
  <c r="L2455" i="133"/>
  <c r="L2454" i="133"/>
  <c r="L2453" i="133"/>
  <c r="L2452" i="133"/>
  <c r="L2451" i="133"/>
  <c r="L2450" i="133"/>
  <c r="L2449" i="133"/>
  <c r="L2448" i="133"/>
  <c r="L2447" i="133"/>
  <c r="L2446" i="133"/>
  <c r="L2445" i="133"/>
  <c r="L2444" i="133"/>
  <c r="L2443" i="133"/>
  <c r="L2442" i="133"/>
  <c r="L2441" i="133"/>
  <c r="L2440" i="133"/>
  <c r="L2439" i="133"/>
  <c r="L2438" i="133"/>
  <c r="L2437" i="133"/>
  <c r="L2436" i="133"/>
  <c r="L2435" i="133"/>
  <c r="L2434" i="133"/>
  <c r="L2433" i="133"/>
  <c r="L2432" i="133"/>
  <c r="L2431" i="133"/>
  <c r="L2430" i="133"/>
  <c r="L2429" i="133"/>
  <c r="L2428" i="133"/>
  <c r="L2427" i="133"/>
  <c r="L2426" i="133"/>
  <c r="L2425" i="133"/>
  <c r="L2424" i="133"/>
  <c r="L2423" i="133"/>
  <c r="L2422" i="133"/>
  <c r="L2421" i="133"/>
  <c r="L2420" i="133"/>
  <c r="L2419" i="133"/>
  <c r="L2418" i="133"/>
  <c r="L2417" i="133"/>
  <c r="L2416" i="133"/>
  <c r="L2415" i="133"/>
  <c r="L2414" i="133"/>
  <c r="L2413" i="133"/>
  <c r="L2412" i="133"/>
  <c r="L2411" i="133"/>
  <c r="L2410" i="133"/>
  <c r="L2409" i="133"/>
  <c r="L2408" i="133"/>
  <c r="L2407" i="133"/>
  <c r="L2406" i="133"/>
  <c r="L2405" i="133"/>
  <c r="L2404" i="133"/>
  <c r="L2403" i="133"/>
  <c r="L2402" i="133"/>
  <c r="L2401" i="133"/>
  <c r="L2400" i="133"/>
  <c r="L2399" i="133"/>
  <c r="L2398" i="133"/>
  <c r="L2397" i="133"/>
  <c r="L2396" i="133"/>
  <c r="L2395" i="133"/>
  <c r="L2394" i="133"/>
  <c r="L2393" i="133"/>
  <c r="L2392" i="133"/>
  <c r="L2391" i="133"/>
  <c r="L2390" i="133"/>
  <c r="L2389" i="133"/>
  <c r="L2388" i="133"/>
  <c r="L2387" i="133"/>
  <c r="L2386" i="133"/>
  <c r="L2385" i="133"/>
  <c r="L2384" i="133"/>
  <c r="L2383" i="133"/>
  <c r="L2382" i="133"/>
  <c r="L2381" i="133"/>
  <c r="L2380" i="133"/>
  <c r="L2379" i="133"/>
  <c r="L2378" i="133"/>
  <c r="L2377" i="133"/>
  <c r="L2376" i="133"/>
  <c r="L2375" i="133"/>
  <c r="L2374" i="133"/>
  <c r="L2373" i="133"/>
  <c r="L2372" i="133"/>
  <c r="L2371" i="133"/>
  <c r="L2370" i="133"/>
  <c r="L2369" i="133"/>
  <c r="L2368" i="133"/>
  <c r="L2367" i="133"/>
  <c r="L2366" i="133"/>
  <c r="L2365" i="133"/>
  <c r="L2364" i="133"/>
  <c r="L2363" i="133"/>
  <c r="L2362" i="133"/>
  <c r="L2361" i="133"/>
  <c r="L2360" i="133"/>
  <c r="L2359" i="133"/>
  <c r="L2358" i="133"/>
  <c r="L2357" i="133"/>
  <c r="L2356" i="133"/>
  <c r="L2355" i="133"/>
  <c r="L2354" i="133"/>
  <c r="L2353" i="133"/>
  <c r="L2352" i="133"/>
  <c r="L2351" i="133"/>
  <c r="L2350" i="133"/>
  <c r="L2349" i="133"/>
  <c r="L2348" i="133"/>
  <c r="L2347" i="133"/>
  <c r="L2346" i="133"/>
  <c r="L2345" i="133"/>
  <c r="L2344" i="133"/>
  <c r="L2343" i="133"/>
  <c r="L2342" i="133"/>
  <c r="L2341" i="133"/>
  <c r="L2340" i="133"/>
  <c r="L2339" i="133"/>
  <c r="L2338" i="133"/>
  <c r="L2337" i="133"/>
  <c r="L2336" i="133"/>
  <c r="L2335" i="133"/>
  <c r="L2334" i="133"/>
  <c r="L2333" i="133"/>
  <c r="L2332" i="133"/>
  <c r="L2331" i="133"/>
  <c r="L2330" i="133"/>
  <c r="L2329" i="133"/>
  <c r="L2328" i="133"/>
  <c r="L2327" i="133"/>
  <c r="L2326" i="133"/>
  <c r="L2325" i="133"/>
  <c r="L2324" i="133"/>
  <c r="L2323" i="133"/>
  <c r="L2322" i="133"/>
  <c r="L2321" i="133"/>
  <c r="L2320" i="133"/>
  <c r="L2319" i="133"/>
  <c r="L2318" i="133"/>
  <c r="L2317" i="133"/>
  <c r="L2316" i="133"/>
  <c r="L2315" i="133"/>
  <c r="L2314" i="133"/>
  <c r="L2313" i="133"/>
  <c r="L2312" i="133"/>
  <c r="L2311" i="133"/>
  <c r="L2310" i="133"/>
  <c r="L2309" i="133"/>
  <c r="L2308" i="133"/>
  <c r="L2307" i="133"/>
  <c r="L2306" i="133"/>
  <c r="L2305" i="133"/>
  <c r="L2304" i="133"/>
  <c r="L2303" i="133"/>
  <c r="L2302" i="133"/>
  <c r="L2301" i="133"/>
  <c r="L2300" i="133"/>
  <c r="L2299" i="133"/>
  <c r="L2298" i="133"/>
  <c r="L2297" i="133"/>
  <c r="L2296" i="133"/>
  <c r="L2295" i="133"/>
  <c r="L2294" i="133"/>
  <c r="L2293" i="133"/>
  <c r="L2292" i="133"/>
  <c r="L2291" i="133"/>
  <c r="L2290" i="133"/>
  <c r="L2289" i="133"/>
  <c r="L2288" i="133"/>
  <c r="L2287" i="133"/>
  <c r="L2286" i="133"/>
  <c r="L2285" i="133"/>
  <c r="L2284" i="133"/>
  <c r="L2283" i="133"/>
  <c r="L2282" i="133"/>
  <c r="L2281" i="133"/>
  <c r="L2280" i="133"/>
  <c r="L2279" i="133"/>
  <c r="L2278" i="133"/>
  <c r="L2277" i="133"/>
  <c r="L2276" i="133"/>
  <c r="L2275" i="133"/>
  <c r="L2274" i="133"/>
  <c r="L2273" i="133"/>
  <c r="L2272" i="133"/>
  <c r="L2271" i="133"/>
  <c r="L2270" i="133"/>
  <c r="L2269" i="133"/>
  <c r="L2268" i="133"/>
  <c r="L2267" i="133"/>
  <c r="L2266" i="133"/>
  <c r="L2265" i="133"/>
  <c r="L2264" i="133"/>
  <c r="L2263" i="133"/>
  <c r="L2262" i="133"/>
  <c r="L2261" i="133"/>
  <c r="L2260" i="133"/>
  <c r="L2259" i="133"/>
  <c r="L2258" i="133"/>
  <c r="L2257" i="133"/>
  <c r="L2256" i="133"/>
  <c r="L2255" i="133"/>
  <c r="L2254" i="133"/>
  <c r="L2253" i="133"/>
  <c r="L2252" i="133"/>
  <c r="L2251" i="133"/>
  <c r="L2250" i="133"/>
  <c r="L2249" i="133"/>
  <c r="L2248" i="133"/>
  <c r="L2247" i="133"/>
  <c r="L2246" i="133"/>
  <c r="L2245" i="133"/>
  <c r="L2244" i="133"/>
  <c r="L2243" i="133"/>
  <c r="L2242" i="133"/>
  <c r="L2241" i="133"/>
  <c r="L2240" i="133"/>
  <c r="L2239" i="133"/>
  <c r="L2238" i="133"/>
  <c r="L2237" i="133"/>
  <c r="L2236" i="133"/>
  <c r="L2235" i="133"/>
  <c r="L2234" i="133"/>
  <c r="L2233" i="133"/>
  <c r="L2232" i="133"/>
  <c r="L2231" i="133"/>
  <c r="L2230" i="133"/>
  <c r="L2229" i="133"/>
  <c r="L2228" i="133"/>
  <c r="L2227" i="133"/>
  <c r="L2226" i="133"/>
  <c r="L2225" i="133"/>
  <c r="L2224" i="133"/>
  <c r="L2223" i="133"/>
  <c r="L2222" i="133"/>
  <c r="L2221" i="133"/>
  <c r="L2220" i="133"/>
  <c r="L2219" i="133"/>
  <c r="L2218" i="133"/>
  <c r="L2217" i="133"/>
  <c r="L2216" i="133"/>
  <c r="L2215" i="133"/>
  <c r="L2214" i="133"/>
  <c r="L2213" i="133"/>
  <c r="L2212" i="133"/>
  <c r="L2211" i="133"/>
  <c r="L2210" i="133"/>
  <c r="L2209" i="133"/>
  <c r="L2208" i="133"/>
  <c r="L2207" i="133"/>
  <c r="L2206" i="133"/>
  <c r="L2205" i="133"/>
  <c r="L2204" i="133"/>
  <c r="L2203" i="133"/>
  <c r="L2202" i="133"/>
  <c r="L2201" i="133"/>
  <c r="L2200" i="133"/>
  <c r="L2199" i="133"/>
  <c r="L2198" i="133"/>
  <c r="L2197" i="133"/>
  <c r="L2196" i="133"/>
  <c r="L2195" i="133"/>
  <c r="L2194" i="133"/>
  <c r="L2193" i="133"/>
  <c r="L2192" i="133"/>
  <c r="L2191" i="133"/>
  <c r="L2190" i="133"/>
  <c r="L2189" i="133"/>
  <c r="L2188" i="133"/>
  <c r="L2187" i="133"/>
  <c r="L2186" i="133"/>
  <c r="L2185" i="133"/>
  <c r="L2184" i="133"/>
  <c r="L2183" i="133"/>
  <c r="L2182" i="133"/>
  <c r="L2181" i="133"/>
  <c r="L2180" i="133"/>
  <c r="L2179" i="133"/>
  <c r="L2178" i="133"/>
  <c r="L2177" i="133"/>
  <c r="L2176" i="133"/>
  <c r="L2175" i="133"/>
  <c r="L2174" i="133"/>
  <c r="L2173" i="133"/>
  <c r="L2172" i="133"/>
  <c r="L2171" i="133"/>
  <c r="L2170" i="133"/>
  <c r="L2169" i="133"/>
  <c r="L2168" i="133"/>
  <c r="L2167" i="133"/>
  <c r="L2166" i="133"/>
  <c r="L2165" i="133"/>
  <c r="L2164" i="133"/>
  <c r="L2163" i="133"/>
  <c r="L2162" i="133"/>
  <c r="L2161" i="133"/>
  <c r="L2160" i="133"/>
  <c r="L2159" i="133"/>
  <c r="L2158" i="133"/>
  <c r="L2157" i="133"/>
  <c r="L2156" i="133"/>
  <c r="L2155" i="133"/>
  <c r="L2154" i="133"/>
  <c r="L2153" i="133"/>
  <c r="L2152" i="133"/>
  <c r="L2151" i="133"/>
  <c r="L2150" i="133"/>
  <c r="L2149" i="133"/>
  <c r="L2148" i="133"/>
  <c r="L2147" i="133"/>
  <c r="L2146" i="133"/>
  <c r="L2145" i="133"/>
  <c r="L2144" i="133"/>
  <c r="L2143" i="133"/>
  <c r="L2142" i="133"/>
  <c r="L2141" i="133"/>
  <c r="L2140" i="133"/>
  <c r="L2139" i="133"/>
  <c r="L2138" i="133"/>
  <c r="L2137" i="133"/>
  <c r="L2136" i="133"/>
  <c r="L2135" i="133"/>
  <c r="L2134" i="133"/>
  <c r="L2133" i="133"/>
  <c r="L2132" i="133"/>
  <c r="L2131" i="133"/>
  <c r="L2130" i="133"/>
  <c r="L2129" i="133"/>
  <c r="L2128" i="133"/>
  <c r="L2127" i="133"/>
  <c r="L2126" i="133"/>
  <c r="L2125" i="133"/>
  <c r="L2124" i="133"/>
  <c r="L2123" i="133"/>
  <c r="L2122" i="133"/>
  <c r="L2121" i="133"/>
  <c r="L2120" i="133"/>
  <c r="L2119" i="133"/>
  <c r="L2118" i="133"/>
  <c r="L2117" i="133"/>
  <c r="L2116" i="133"/>
  <c r="L2115" i="133"/>
  <c r="L2114" i="133"/>
  <c r="L2113" i="133"/>
  <c r="L2112" i="133"/>
  <c r="L2111" i="133"/>
  <c r="L2110" i="133"/>
  <c r="L2109" i="133"/>
  <c r="L2108" i="133"/>
  <c r="L2107" i="133"/>
  <c r="L2106" i="133"/>
  <c r="L2105" i="133"/>
  <c r="L2104" i="133"/>
  <c r="L2103" i="133"/>
  <c r="L2102" i="133"/>
  <c r="L2101" i="133"/>
  <c r="L2100" i="133"/>
  <c r="L2099" i="133"/>
  <c r="L2098" i="133"/>
  <c r="L2097" i="133"/>
  <c r="L2096" i="133"/>
  <c r="L2095" i="133"/>
  <c r="L2094" i="133"/>
  <c r="L2093" i="133"/>
  <c r="L2092" i="133"/>
  <c r="L2091" i="133"/>
  <c r="L2090" i="133"/>
  <c r="L2089" i="133"/>
  <c r="L2088" i="133"/>
  <c r="L2087" i="133"/>
  <c r="L2086" i="133"/>
  <c r="L2085" i="133"/>
  <c r="L2084" i="133"/>
  <c r="L2083" i="133"/>
  <c r="L2082" i="133"/>
  <c r="L2081" i="133"/>
  <c r="L2080" i="133"/>
  <c r="L2079" i="133"/>
  <c r="L2078" i="133"/>
  <c r="L2077" i="133"/>
  <c r="L2076" i="133"/>
  <c r="L2075" i="133"/>
  <c r="L2074" i="133"/>
  <c r="L2073" i="133"/>
  <c r="L2072" i="133"/>
  <c r="L2071" i="133"/>
  <c r="L2070" i="133"/>
  <c r="L2069" i="133"/>
  <c r="L2068" i="133"/>
  <c r="L2067" i="133"/>
  <c r="L2066" i="133"/>
  <c r="L2065" i="133"/>
  <c r="L2064" i="133"/>
  <c r="L2063" i="133"/>
  <c r="L2062" i="133"/>
  <c r="L2061" i="133"/>
  <c r="L2060" i="133"/>
  <c r="L2059" i="133"/>
  <c r="L2058" i="133"/>
  <c r="L2057" i="133"/>
  <c r="L2056" i="133"/>
  <c r="L2055" i="133"/>
  <c r="L2054" i="133"/>
  <c r="L2053" i="133"/>
  <c r="L2052" i="133"/>
  <c r="L2051" i="133"/>
  <c r="L2050" i="133"/>
  <c r="L2049" i="133"/>
  <c r="L2048" i="133"/>
  <c r="L2047" i="133"/>
  <c r="L2046" i="133"/>
  <c r="L2045" i="133"/>
  <c r="L2044" i="133"/>
  <c r="L2043" i="133"/>
  <c r="L2042" i="133"/>
  <c r="L2041" i="133"/>
  <c r="L2040" i="133"/>
  <c r="L2039" i="133"/>
  <c r="L2038" i="133"/>
  <c r="L2037" i="133"/>
  <c r="L2036" i="133"/>
  <c r="L2035" i="133"/>
  <c r="L2034" i="133"/>
  <c r="L2033" i="133"/>
  <c r="M2033" i="133" s="1"/>
  <c r="L2032" i="133"/>
  <c r="L2031" i="133"/>
  <c r="M2031" i="133" s="1"/>
  <c r="L2030" i="133"/>
  <c r="M2030" i="133" s="1"/>
  <c r="L2029" i="133"/>
  <c r="M2029" i="133" s="1"/>
  <c r="L2028" i="133"/>
  <c r="L2027" i="133"/>
  <c r="M2027" i="133" s="1"/>
  <c r="L2026" i="133"/>
  <c r="M2026" i="133" s="1"/>
  <c r="L2025" i="133"/>
  <c r="M2025" i="133" s="1"/>
  <c r="L2024" i="133"/>
  <c r="L2023" i="133"/>
  <c r="M2023" i="133" s="1"/>
  <c r="L2022" i="133"/>
  <c r="M2022" i="133" s="1"/>
  <c r="L2021" i="133"/>
  <c r="M2021" i="133" s="1"/>
  <c r="L2020" i="133"/>
  <c r="L2019" i="133"/>
  <c r="M2019" i="133" s="1"/>
  <c r="L2018" i="133"/>
  <c r="M2018" i="133" s="1"/>
  <c r="L2017" i="133"/>
  <c r="M2017" i="133" s="1"/>
  <c r="L2016" i="133"/>
  <c r="L2015" i="133"/>
  <c r="M2015" i="133" s="1"/>
  <c r="L2014" i="133"/>
  <c r="M2014" i="133" s="1"/>
  <c r="L2013" i="133"/>
  <c r="M2013" i="133" s="1"/>
  <c r="L2012" i="133"/>
  <c r="L2011" i="133"/>
  <c r="M2011" i="133" s="1"/>
  <c r="L2010" i="133"/>
  <c r="M2010" i="133" s="1"/>
  <c r="L2009" i="133"/>
  <c r="M2009" i="133" s="1"/>
  <c r="L2008" i="133"/>
  <c r="L2007" i="133"/>
  <c r="M2007" i="133" s="1"/>
  <c r="L2006" i="133"/>
  <c r="M2006" i="133" s="1"/>
  <c r="L2005" i="133"/>
  <c r="M2005" i="133" s="1"/>
  <c r="L2004" i="133"/>
  <c r="L2003" i="133"/>
  <c r="M2003" i="133" s="1"/>
  <c r="L2002" i="133"/>
  <c r="M2002" i="133" s="1"/>
  <c r="L2001" i="133"/>
  <c r="M2001" i="133" s="1"/>
  <c r="L2000" i="133"/>
  <c r="M2000" i="133" s="1"/>
  <c r="L1999" i="133"/>
  <c r="M1999" i="133" s="1"/>
  <c r="L1998" i="133"/>
  <c r="M1998" i="133" s="1"/>
  <c r="L1997" i="133"/>
  <c r="M1997" i="133" s="1"/>
  <c r="L1996" i="133"/>
  <c r="M1996" i="133" s="1"/>
  <c r="L1995" i="133"/>
  <c r="M1995" i="133" s="1"/>
  <c r="L1994" i="133"/>
  <c r="M1994" i="133" s="1"/>
  <c r="L1993" i="133"/>
  <c r="M1993" i="133" s="1"/>
  <c r="L1992" i="133"/>
  <c r="M1992" i="133" s="1"/>
  <c r="L1991" i="133"/>
  <c r="M1991" i="133" s="1"/>
  <c r="L1990" i="133"/>
  <c r="M1990" i="133" s="1"/>
  <c r="L1989" i="133"/>
  <c r="M1989" i="133" s="1"/>
  <c r="L1988" i="133"/>
  <c r="M1988" i="133" s="1"/>
  <c r="L1987" i="133"/>
  <c r="M1987" i="133" s="1"/>
  <c r="L1986" i="133"/>
  <c r="M1986" i="133" s="1"/>
  <c r="L1985" i="133"/>
  <c r="M1985" i="133" s="1"/>
  <c r="L1984" i="133"/>
  <c r="M1984" i="133" s="1"/>
  <c r="L1983" i="133"/>
  <c r="M1983" i="133" s="1"/>
  <c r="L1982" i="133"/>
  <c r="M1982" i="133" s="1"/>
  <c r="L1981" i="133"/>
  <c r="M1981" i="133" s="1"/>
  <c r="L1980" i="133"/>
  <c r="M1980" i="133" s="1"/>
  <c r="L1979" i="133"/>
  <c r="M1979" i="133" s="1"/>
  <c r="L1978" i="133"/>
  <c r="M1978" i="133" s="1"/>
  <c r="L1977" i="133"/>
  <c r="M1977" i="133" s="1"/>
  <c r="L1976" i="133"/>
  <c r="M1976" i="133" s="1"/>
  <c r="L1975" i="133"/>
  <c r="M1975" i="133" s="1"/>
  <c r="L1974" i="133"/>
  <c r="M1974" i="133" s="1"/>
  <c r="L1973" i="133"/>
  <c r="M1973" i="133" s="1"/>
  <c r="L1972" i="133"/>
  <c r="M1972" i="133" s="1"/>
  <c r="L1971" i="133"/>
  <c r="M1971" i="133" s="1"/>
  <c r="L1970" i="133"/>
  <c r="M1970" i="133" s="1"/>
  <c r="L1969" i="133"/>
  <c r="M1969" i="133" s="1"/>
  <c r="L1968" i="133"/>
  <c r="M1968" i="133" s="1"/>
  <c r="L1967" i="133"/>
  <c r="M1967" i="133" s="1"/>
  <c r="L1966" i="133"/>
  <c r="M1966" i="133" s="1"/>
  <c r="L1965" i="133"/>
  <c r="M1965" i="133" s="1"/>
  <c r="L1964" i="133"/>
  <c r="M1964" i="133" s="1"/>
  <c r="L1963" i="133"/>
  <c r="M1963" i="133" s="1"/>
  <c r="L1962" i="133"/>
  <c r="M1962" i="133" s="1"/>
  <c r="L1961" i="133"/>
  <c r="M1961" i="133" s="1"/>
  <c r="L1960" i="133"/>
  <c r="M1960" i="133" s="1"/>
  <c r="L1959" i="133"/>
  <c r="M1959" i="133" s="1"/>
  <c r="L1958" i="133"/>
  <c r="M1958" i="133" s="1"/>
  <c r="L1957" i="133"/>
  <c r="M1957" i="133" s="1"/>
  <c r="L1956" i="133"/>
  <c r="M1956" i="133" s="1"/>
  <c r="L1955" i="133"/>
  <c r="M1955" i="133" s="1"/>
  <c r="L1954" i="133"/>
  <c r="M1954" i="133" s="1"/>
  <c r="L1953" i="133"/>
  <c r="M1953" i="133" s="1"/>
  <c r="L1952" i="133"/>
  <c r="M1952" i="133" s="1"/>
  <c r="L1951" i="133"/>
  <c r="M1951" i="133" s="1"/>
  <c r="L1950" i="133"/>
  <c r="M1950" i="133" s="1"/>
  <c r="L1949" i="133"/>
  <c r="M1949" i="133" s="1"/>
  <c r="L1948" i="133"/>
  <c r="M1948" i="133" s="1"/>
  <c r="L1947" i="133"/>
  <c r="M1947" i="133" s="1"/>
  <c r="L1946" i="133"/>
  <c r="M1946" i="133" s="1"/>
  <c r="L1945" i="133"/>
  <c r="M1945" i="133" s="1"/>
  <c r="L1944" i="133"/>
  <c r="M1944" i="133" s="1"/>
  <c r="L1943" i="133"/>
  <c r="M1943" i="133" s="1"/>
  <c r="L1942" i="133"/>
  <c r="M1942" i="133" s="1"/>
  <c r="L1941" i="133"/>
  <c r="M1941" i="133" s="1"/>
  <c r="L1940" i="133"/>
  <c r="M1940" i="133" s="1"/>
  <c r="L1939" i="133"/>
  <c r="M1939" i="133" s="1"/>
  <c r="L1938" i="133"/>
  <c r="M1938" i="133" s="1"/>
  <c r="L1937" i="133"/>
  <c r="M1937" i="133" s="1"/>
  <c r="L1936" i="133"/>
  <c r="M1936" i="133" s="1"/>
  <c r="L1935" i="133"/>
  <c r="M1935" i="133" s="1"/>
  <c r="L1934" i="133"/>
  <c r="M1934" i="133" s="1"/>
  <c r="L1933" i="133"/>
  <c r="M1933" i="133" s="1"/>
  <c r="L1932" i="133"/>
  <c r="M1932" i="133" s="1"/>
  <c r="L1931" i="133"/>
  <c r="M1931" i="133" s="1"/>
  <c r="L1930" i="133"/>
  <c r="M1930" i="133" s="1"/>
  <c r="L1929" i="133"/>
  <c r="M1929" i="133" s="1"/>
  <c r="L1928" i="133"/>
  <c r="M1928" i="133" s="1"/>
  <c r="L1927" i="133"/>
  <c r="M1927" i="133" s="1"/>
  <c r="L1926" i="133"/>
  <c r="M1926" i="133" s="1"/>
  <c r="L1925" i="133"/>
  <c r="M1925" i="133" s="1"/>
  <c r="L1924" i="133"/>
  <c r="M1924" i="133" s="1"/>
  <c r="L1923" i="133"/>
  <c r="M1923" i="133" s="1"/>
  <c r="L1922" i="133"/>
  <c r="M1922" i="133" s="1"/>
  <c r="L1921" i="133"/>
  <c r="M1921" i="133" s="1"/>
  <c r="L1920" i="133"/>
  <c r="M1920" i="133" s="1"/>
  <c r="L1919" i="133"/>
  <c r="M1919" i="133" s="1"/>
  <c r="L1918" i="133"/>
  <c r="M1918" i="133" s="1"/>
  <c r="L1917" i="133"/>
  <c r="M1917" i="133" s="1"/>
  <c r="L1916" i="133"/>
  <c r="M1916" i="133" s="1"/>
  <c r="L1915" i="133"/>
  <c r="M1915" i="133" s="1"/>
  <c r="L1914" i="133"/>
  <c r="M1914" i="133" s="1"/>
  <c r="L1913" i="133"/>
  <c r="M1913" i="133" s="1"/>
  <c r="L1912" i="133"/>
  <c r="M1912" i="133" s="1"/>
  <c r="L1911" i="133"/>
  <c r="M1911" i="133" s="1"/>
  <c r="L1910" i="133"/>
  <c r="M1910" i="133" s="1"/>
  <c r="L1909" i="133"/>
  <c r="M1909" i="133" s="1"/>
  <c r="L1908" i="133"/>
  <c r="M1908" i="133" s="1"/>
  <c r="L1907" i="133"/>
  <c r="M1907" i="133" s="1"/>
  <c r="L1906" i="133"/>
  <c r="M1906" i="133" s="1"/>
  <c r="L1905" i="133"/>
  <c r="M1905" i="133" s="1"/>
  <c r="L1904" i="133"/>
  <c r="M1904" i="133" s="1"/>
  <c r="L1903" i="133"/>
  <c r="M1903" i="133" s="1"/>
  <c r="L1902" i="133"/>
  <c r="M1902" i="133" s="1"/>
  <c r="L1901" i="133"/>
  <c r="M1901" i="133" s="1"/>
  <c r="L1900" i="133"/>
  <c r="M1900" i="133" s="1"/>
  <c r="L1899" i="133"/>
  <c r="M1899" i="133" s="1"/>
  <c r="L1898" i="133"/>
  <c r="M1898" i="133" s="1"/>
  <c r="L1897" i="133"/>
  <c r="M1897" i="133" s="1"/>
  <c r="L1896" i="133"/>
  <c r="M1896" i="133" s="1"/>
  <c r="L1895" i="133"/>
  <c r="M1895" i="133" s="1"/>
  <c r="L1894" i="133"/>
  <c r="M1894" i="133" s="1"/>
  <c r="L1893" i="133"/>
  <c r="M1893" i="133" s="1"/>
  <c r="L1892" i="133"/>
  <c r="M1892" i="133" s="1"/>
  <c r="L1891" i="133"/>
  <c r="M1891" i="133" s="1"/>
  <c r="L1890" i="133"/>
  <c r="M1890" i="133" s="1"/>
  <c r="L1889" i="133"/>
  <c r="M1889" i="133" s="1"/>
  <c r="L1888" i="133"/>
  <c r="M1888" i="133" s="1"/>
  <c r="L1887" i="133"/>
  <c r="M1887" i="133" s="1"/>
  <c r="L1886" i="133"/>
  <c r="M1886" i="133" s="1"/>
  <c r="L1885" i="133"/>
  <c r="M1885" i="133" s="1"/>
  <c r="L1884" i="133"/>
  <c r="M1884" i="133" s="1"/>
  <c r="L1883" i="133"/>
  <c r="M1883" i="133" s="1"/>
  <c r="L1882" i="133"/>
  <c r="M1882" i="133" s="1"/>
  <c r="L1881" i="133"/>
  <c r="M1881" i="133" s="1"/>
  <c r="L1880" i="133"/>
  <c r="M1880" i="133" s="1"/>
  <c r="L1879" i="133"/>
  <c r="M1879" i="133" s="1"/>
  <c r="L1878" i="133"/>
  <c r="M1878" i="133" s="1"/>
  <c r="L1877" i="133"/>
  <c r="M1877" i="133" s="1"/>
  <c r="L1876" i="133"/>
  <c r="M1876" i="133" s="1"/>
  <c r="L1875" i="133"/>
  <c r="M1875" i="133" s="1"/>
  <c r="L1874" i="133"/>
  <c r="M1874" i="133" s="1"/>
  <c r="L1873" i="133"/>
  <c r="M1873" i="133" s="1"/>
  <c r="L1872" i="133"/>
  <c r="M1872" i="133" s="1"/>
  <c r="L1871" i="133"/>
  <c r="M1871" i="133" s="1"/>
  <c r="L1870" i="133"/>
  <c r="M1870" i="133" s="1"/>
  <c r="L1869" i="133"/>
  <c r="M1869" i="133" s="1"/>
  <c r="L1868" i="133"/>
  <c r="M1868" i="133" s="1"/>
  <c r="L1867" i="133"/>
  <c r="M1867" i="133" s="1"/>
  <c r="L1866" i="133"/>
  <c r="M1866" i="133" s="1"/>
  <c r="L1865" i="133"/>
  <c r="M1865" i="133" s="1"/>
  <c r="L1864" i="133"/>
  <c r="M1864" i="133" s="1"/>
  <c r="L1863" i="133"/>
  <c r="M1863" i="133" s="1"/>
  <c r="L1862" i="133"/>
  <c r="M1862" i="133" s="1"/>
  <c r="L1861" i="133"/>
  <c r="M1861" i="133" s="1"/>
  <c r="L1860" i="133"/>
  <c r="M1860" i="133" s="1"/>
  <c r="L1859" i="133"/>
  <c r="M1859" i="133" s="1"/>
  <c r="L1858" i="133"/>
  <c r="M1858" i="133" s="1"/>
  <c r="L1857" i="133"/>
  <c r="M1857" i="133" s="1"/>
  <c r="L1856" i="133"/>
  <c r="M1856" i="133" s="1"/>
  <c r="L1855" i="133"/>
  <c r="M1855" i="133" s="1"/>
  <c r="L1854" i="133"/>
  <c r="M1854" i="133" s="1"/>
  <c r="L1853" i="133"/>
  <c r="M1853" i="133" s="1"/>
  <c r="L1852" i="133"/>
  <c r="M1852" i="133" s="1"/>
  <c r="L1851" i="133"/>
  <c r="M1851" i="133" s="1"/>
  <c r="L1850" i="133"/>
  <c r="M1850" i="133" s="1"/>
  <c r="L1849" i="133"/>
  <c r="M1849" i="133" s="1"/>
  <c r="L1848" i="133"/>
  <c r="M1848" i="133" s="1"/>
  <c r="L1847" i="133"/>
  <c r="M1847" i="133" s="1"/>
  <c r="L1846" i="133"/>
  <c r="M1846" i="133" s="1"/>
  <c r="L1845" i="133"/>
  <c r="M1845" i="133" s="1"/>
  <c r="L1844" i="133"/>
  <c r="M1844" i="133" s="1"/>
  <c r="L1843" i="133"/>
  <c r="M1843" i="133" s="1"/>
  <c r="L1842" i="133"/>
  <c r="M1842" i="133" s="1"/>
  <c r="L1841" i="133"/>
  <c r="M1841" i="133" s="1"/>
  <c r="L1840" i="133"/>
  <c r="M1840" i="133" s="1"/>
  <c r="L1839" i="133"/>
  <c r="M1839" i="133" s="1"/>
  <c r="L1838" i="133"/>
  <c r="M1838" i="133" s="1"/>
  <c r="L1837" i="133"/>
  <c r="M1837" i="133" s="1"/>
  <c r="L1836" i="133"/>
  <c r="M1836" i="133" s="1"/>
  <c r="L1835" i="133"/>
  <c r="M1835" i="133" s="1"/>
  <c r="L1834" i="133"/>
  <c r="M1834" i="133" s="1"/>
  <c r="L1833" i="133"/>
  <c r="M1833" i="133" s="1"/>
  <c r="L1832" i="133"/>
  <c r="M1832" i="133" s="1"/>
  <c r="L1831" i="133"/>
  <c r="M1831" i="133" s="1"/>
  <c r="L1830" i="133"/>
  <c r="M1830" i="133" s="1"/>
  <c r="L1829" i="133"/>
  <c r="M1829" i="133" s="1"/>
  <c r="L1828" i="133"/>
  <c r="M1828" i="133" s="1"/>
  <c r="L1827" i="133"/>
  <c r="M1827" i="133" s="1"/>
  <c r="L1826" i="133"/>
  <c r="M1826" i="133" s="1"/>
  <c r="L1825" i="133"/>
  <c r="M1825" i="133" s="1"/>
  <c r="L1824" i="133"/>
  <c r="M1824" i="133" s="1"/>
  <c r="L1823" i="133"/>
  <c r="M1823" i="133" s="1"/>
  <c r="L1822" i="133"/>
  <c r="M1822" i="133" s="1"/>
  <c r="L1821" i="133"/>
  <c r="M1821" i="133" s="1"/>
  <c r="L1820" i="133"/>
  <c r="M1820" i="133" s="1"/>
  <c r="L1819" i="133"/>
  <c r="M1819" i="133" s="1"/>
  <c r="L1818" i="133"/>
  <c r="M1818" i="133" s="1"/>
  <c r="L1817" i="133"/>
  <c r="M1817" i="133" s="1"/>
  <c r="L1816" i="133"/>
  <c r="M1816" i="133" s="1"/>
  <c r="L1815" i="133"/>
  <c r="M1815" i="133" s="1"/>
  <c r="L1814" i="133"/>
  <c r="M1814" i="133" s="1"/>
  <c r="L1813" i="133"/>
  <c r="M1813" i="133" s="1"/>
  <c r="L1812" i="133"/>
  <c r="M1812" i="133" s="1"/>
  <c r="L1811" i="133"/>
  <c r="M1811" i="133" s="1"/>
  <c r="L1810" i="133"/>
  <c r="M1810" i="133" s="1"/>
  <c r="L1809" i="133"/>
  <c r="M1809" i="133" s="1"/>
  <c r="L1808" i="133"/>
  <c r="M1808" i="133" s="1"/>
  <c r="L1807" i="133"/>
  <c r="M1807" i="133" s="1"/>
  <c r="L1806" i="133"/>
  <c r="M1806" i="133" s="1"/>
  <c r="L1805" i="133"/>
  <c r="M1805" i="133" s="1"/>
  <c r="L1804" i="133"/>
  <c r="M1804" i="133" s="1"/>
  <c r="L1803" i="133"/>
  <c r="M1803" i="133" s="1"/>
  <c r="L1802" i="133"/>
  <c r="M1802" i="133" s="1"/>
  <c r="L1801" i="133"/>
  <c r="M1801" i="133" s="1"/>
  <c r="L1800" i="133"/>
  <c r="M1800" i="133" s="1"/>
  <c r="L1799" i="133"/>
  <c r="M1799" i="133" s="1"/>
  <c r="L1798" i="133"/>
  <c r="M1798" i="133" s="1"/>
  <c r="L1797" i="133"/>
  <c r="M1797" i="133" s="1"/>
  <c r="L1796" i="133"/>
  <c r="M1796" i="133" s="1"/>
  <c r="L1795" i="133"/>
  <c r="M1795" i="133" s="1"/>
  <c r="L1794" i="133"/>
  <c r="M1794" i="133" s="1"/>
  <c r="L1793" i="133"/>
  <c r="M1793" i="133" s="1"/>
  <c r="L1792" i="133"/>
  <c r="M1792" i="133" s="1"/>
  <c r="L1791" i="133"/>
  <c r="M1791" i="133" s="1"/>
  <c r="L1790" i="133"/>
  <c r="M1790" i="133" s="1"/>
  <c r="L1789" i="133"/>
  <c r="M1789" i="133" s="1"/>
  <c r="L1788" i="133"/>
  <c r="M1788" i="133" s="1"/>
  <c r="L1787" i="133"/>
  <c r="M1787" i="133" s="1"/>
  <c r="L1786" i="133"/>
  <c r="M1786" i="133" s="1"/>
  <c r="L1785" i="133"/>
  <c r="M1785" i="133" s="1"/>
  <c r="L1784" i="133"/>
  <c r="M1784" i="133" s="1"/>
  <c r="L1783" i="133"/>
  <c r="M1783" i="133" s="1"/>
  <c r="L1782" i="133"/>
  <c r="M1782" i="133" s="1"/>
  <c r="L1781" i="133"/>
  <c r="M1781" i="133" s="1"/>
  <c r="L1780" i="133"/>
  <c r="M1780" i="133" s="1"/>
  <c r="L1779" i="133"/>
  <c r="M1779" i="133" s="1"/>
  <c r="L1778" i="133"/>
  <c r="M1778" i="133" s="1"/>
  <c r="L1777" i="133"/>
  <c r="M1777" i="133" s="1"/>
  <c r="L1776" i="133"/>
  <c r="M1776" i="133" s="1"/>
  <c r="L1775" i="133"/>
  <c r="M1775" i="133" s="1"/>
  <c r="L1774" i="133"/>
  <c r="M1774" i="133" s="1"/>
  <c r="L1773" i="133"/>
  <c r="M1773" i="133" s="1"/>
  <c r="L1772" i="133"/>
  <c r="M1772" i="133" s="1"/>
  <c r="L1771" i="133"/>
  <c r="M1771" i="133" s="1"/>
  <c r="L1770" i="133"/>
  <c r="M1770" i="133" s="1"/>
  <c r="L1769" i="133"/>
  <c r="M1769" i="133" s="1"/>
  <c r="L1768" i="133"/>
  <c r="M1768" i="133" s="1"/>
  <c r="L1767" i="133"/>
  <c r="M1767" i="133" s="1"/>
  <c r="L1766" i="133"/>
  <c r="M1766" i="133" s="1"/>
  <c r="L1765" i="133"/>
  <c r="M1765" i="133" s="1"/>
  <c r="L1764" i="133"/>
  <c r="M1764" i="133" s="1"/>
  <c r="L1763" i="133"/>
  <c r="M1763" i="133" s="1"/>
  <c r="L1762" i="133"/>
  <c r="M1762" i="133" s="1"/>
  <c r="L1761" i="133"/>
  <c r="M1761" i="133" s="1"/>
  <c r="L1760" i="133"/>
  <c r="M1760" i="133" s="1"/>
  <c r="L1759" i="133"/>
  <c r="M1759" i="133" s="1"/>
  <c r="L1758" i="133"/>
  <c r="M1758" i="133" s="1"/>
  <c r="L1757" i="133"/>
  <c r="M1757" i="133" s="1"/>
  <c r="L1756" i="133"/>
  <c r="M1756" i="133" s="1"/>
  <c r="L1755" i="133"/>
  <c r="M1755" i="133" s="1"/>
  <c r="L1754" i="133"/>
  <c r="M1754" i="133" s="1"/>
  <c r="L1753" i="133"/>
  <c r="M1753" i="133" s="1"/>
  <c r="L1752" i="133"/>
  <c r="M1752" i="133" s="1"/>
  <c r="L1751" i="133"/>
  <c r="M1751" i="133" s="1"/>
  <c r="L1750" i="133"/>
  <c r="M1750" i="133" s="1"/>
  <c r="L1749" i="133"/>
  <c r="M1749" i="133" s="1"/>
  <c r="L1748" i="133"/>
  <c r="M1748" i="133" s="1"/>
  <c r="L1747" i="133"/>
  <c r="M1747" i="133" s="1"/>
  <c r="L1746" i="133"/>
  <c r="M1746" i="133" s="1"/>
  <c r="L1745" i="133"/>
  <c r="M1745" i="133" s="1"/>
  <c r="L1744" i="133"/>
  <c r="M1744" i="133" s="1"/>
  <c r="L1743" i="133"/>
  <c r="M1743" i="133" s="1"/>
  <c r="L1742" i="133"/>
  <c r="M1742" i="133" s="1"/>
  <c r="L1741" i="133"/>
  <c r="M1741" i="133" s="1"/>
  <c r="L1740" i="133"/>
  <c r="M1740" i="133" s="1"/>
  <c r="L1739" i="133"/>
  <c r="M1739" i="133" s="1"/>
  <c r="L1738" i="133"/>
  <c r="M1738" i="133" s="1"/>
  <c r="L1737" i="133"/>
  <c r="M1737" i="133" s="1"/>
  <c r="L1736" i="133"/>
  <c r="M1736" i="133" s="1"/>
  <c r="L1735" i="133"/>
  <c r="M1735" i="133" s="1"/>
  <c r="L1734" i="133"/>
  <c r="M1734" i="133" s="1"/>
  <c r="L1733" i="133"/>
  <c r="M1733" i="133" s="1"/>
  <c r="L1732" i="133"/>
  <c r="M1732" i="133" s="1"/>
  <c r="L1731" i="133"/>
  <c r="M1731" i="133" s="1"/>
  <c r="L1730" i="133"/>
  <c r="M1730" i="133" s="1"/>
  <c r="L1729" i="133"/>
  <c r="M1729" i="133" s="1"/>
  <c r="L1728" i="133"/>
  <c r="M1728" i="133" s="1"/>
  <c r="L1727" i="133"/>
  <c r="M1727" i="133" s="1"/>
  <c r="L1726" i="133"/>
  <c r="M1726" i="133" s="1"/>
  <c r="L1725" i="133"/>
  <c r="M1725" i="133" s="1"/>
  <c r="L1724" i="133"/>
  <c r="M1724" i="133" s="1"/>
  <c r="L1723" i="133"/>
  <c r="M1723" i="133" s="1"/>
  <c r="L1722" i="133"/>
  <c r="M1722" i="133" s="1"/>
  <c r="L1721" i="133"/>
  <c r="M1721" i="133" s="1"/>
  <c r="L1720" i="133"/>
  <c r="M1720" i="133" s="1"/>
  <c r="L1719" i="133"/>
  <c r="M1719" i="133" s="1"/>
  <c r="L1718" i="133"/>
  <c r="M1718" i="133" s="1"/>
  <c r="L1717" i="133"/>
  <c r="M1717" i="133" s="1"/>
  <c r="L1716" i="133"/>
  <c r="M1716" i="133" s="1"/>
  <c r="L1715" i="133"/>
  <c r="M1715" i="133" s="1"/>
  <c r="L1714" i="133"/>
  <c r="M1714" i="133" s="1"/>
  <c r="L1713" i="133"/>
  <c r="M1713" i="133" s="1"/>
  <c r="L1712" i="133"/>
  <c r="M1712" i="133" s="1"/>
  <c r="L1711" i="133"/>
  <c r="M1711" i="133" s="1"/>
  <c r="L1710" i="133"/>
  <c r="M1710" i="133" s="1"/>
  <c r="L1709" i="133"/>
  <c r="M1709" i="133" s="1"/>
  <c r="L1708" i="133"/>
  <c r="M1708" i="133" s="1"/>
  <c r="L1707" i="133"/>
  <c r="M1707" i="133" s="1"/>
  <c r="L1706" i="133"/>
  <c r="M1706" i="133" s="1"/>
  <c r="L1705" i="133"/>
  <c r="M1705" i="133" s="1"/>
  <c r="L1704" i="133"/>
  <c r="M1704" i="133" s="1"/>
  <c r="L1703" i="133"/>
  <c r="M1703" i="133" s="1"/>
  <c r="L1702" i="133"/>
  <c r="M1702" i="133" s="1"/>
  <c r="L1701" i="133"/>
  <c r="M1701" i="133" s="1"/>
  <c r="L1700" i="133"/>
  <c r="M1700" i="133" s="1"/>
  <c r="L1699" i="133"/>
  <c r="M1699" i="133" s="1"/>
  <c r="L1698" i="133"/>
  <c r="M1698" i="133" s="1"/>
  <c r="L1697" i="133"/>
  <c r="M1697" i="133" s="1"/>
  <c r="L1696" i="133"/>
  <c r="M1696" i="133" s="1"/>
  <c r="L1695" i="133"/>
  <c r="M1695" i="133" s="1"/>
  <c r="L1694" i="133"/>
  <c r="M1694" i="133" s="1"/>
  <c r="L1693" i="133"/>
  <c r="M1693" i="133" s="1"/>
  <c r="L1692" i="133"/>
  <c r="M1692" i="133" s="1"/>
  <c r="L1691" i="133"/>
  <c r="M1691" i="133" s="1"/>
  <c r="L1690" i="133"/>
  <c r="M1690" i="133" s="1"/>
  <c r="L1689" i="133"/>
  <c r="M1689" i="133" s="1"/>
  <c r="L1688" i="133"/>
  <c r="M1688" i="133" s="1"/>
  <c r="L1687" i="133"/>
  <c r="M1687" i="133" s="1"/>
  <c r="L1686" i="133"/>
  <c r="M1686" i="133" s="1"/>
  <c r="L1685" i="133"/>
  <c r="M1685" i="133" s="1"/>
  <c r="L1684" i="133"/>
  <c r="M1684" i="133" s="1"/>
  <c r="L1683" i="133"/>
  <c r="M1683" i="133" s="1"/>
  <c r="L1682" i="133"/>
  <c r="M1682" i="133" s="1"/>
  <c r="L1681" i="133"/>
  <c r="M1681" i="133" s="1"/>
  <c r="L1680" i="133"/>
  <c r="M1680" i="133" s="1"/>
  <c r="L1679" i="133"/>
  <c r="M1679" i="133" s="1"/>
  <c r="L1678" i="133"/>
  <c r="M1678" i="133" s="1"/>
  <c r="L1677" i="133"/>
  <c r="M1677" i="133" s="1"/>
  <c r="L1676" i="133"/>
  <c r="M1676" i="133" s="1"/>
  <c r="L1675" i="133"/>
  <c r="M1675" i="133" s="1"/>
  <c r="L1674" i="133"/>
  <c r="M1674" i="133" s="1"/>
  <c r="L1673" i="133"/>
  <c r="M1673" i="133" s="1"/>
  <c r="L1672" i="133"/>
  <c r="M1672" i="133" s="1"/>
  <c r="L1671" i="133"/>
  <c r="M1671" i="133" s="1"/>
  <c r="L1670" i="133"/>
  <c r="M1670" i="133" s="1"/>
  <c r="L1669" i="133"/>
  <c r="M1669" i="133" s="1"/>
  <c r="L1668" i="133"/>
  <c r="M1668" i="133" s="1"/>
  <c r="L1667" i="133"/>
  <c r="M1667" i="133" s="1"/>
  <c r="L1666" i="133"/>
  <c r="M1666" i="133" s="1"/>
  <c r="L1665" i="133"/>
  <c r="M1665" i="133" s="1"/>
  <c r="L1664" i="133"/>
  <c r="M1664" i="133" s="1"/>
  <c r="L1663" i="133"/>
  <c r="M1663" i="133" s="1"/>
  <c r="L1662" i="133"/>
  <c r="M1662" i="133" s="1"/>
  <c r="L1661" i="133"/>
  <c r="M1661" i="133" s="1"/>
  <c r="L1660" i="133"/>
  <c r="M1660" i="133" s="1"/>
  <c r="L1659" i="133"/>
  <c r="M1659" i="133" s="1"/>
  <c r="L1658" i="133"/>
  <c r="M1658" i="133" s="1"/>
  <c r="L1657" i="133"/>
  <c r="M1657" i="133" s="1"/>
  <c r="L1656" i="133"/>
  <c r="M1656" i="133" s="1"/>
  <c r="L1655" i="133"/>
  <c r="M1655" i="133" s="1"/>
  <c r="L1654" i="133"/>
  <c r="M1654" i="133" s="1"/>
  <c r="L1653" i="133"/>
  <c r="M1653" i="133" s="1"/>
  <c r="L1652" i="133"/>
  <c r="M1652" i="133" s="1"/>
  <c r="L1651" i="133"/>
  <c r="M1651" i="133" s="1"/>
  <c r="L1650" i="133"/>
  <c r="M1650" i="133" s="1"/>
  <c r="L1649" i="133"/>
  <c r="M1649" i="133" s="1"/>
  <c r="L1648" i="133"/>
  <c r="M1648" i="133" s="1"/>
  <c r="L1647" i="133"/>
  <c r="M1647" i="133" s="1"/>
  <c r="L1646" i="133"/>
  <c r="M1646" i="133" s="1"/>
  <c r="L1645" i="133"/>
  <c r="M1645" i="133" s="1"/>
  <c r="L1644" i="133"/>
  <c r="M1644" i="133" s="1"/>
  <c r="L1643" i="133"/>
  <c r="M1643" i="133" s="1"/>
  <c r="L1642" i="133"/>
  <c r="M1642" i="133" s="1"/>
  <c r="L1641" i="133"/>
  <c r="M1641" i="133" s="1"/>
  <c r="L1640" i="133"/>
  <c r="M1640" i="133" s="1"/>
  <c r="L1639" i="133"/>
  <c r="M1639" i="133" s="1"/>
  <c r="L1638" i="133"/>
  <c r="M1638" i="133" s="1"/>
  <c r="L1637" i="133"/>
  <c r="M1637" i="133" s="1"/>
  <c r="L1636" i="133"/>
  <c r="M1636" i="133" s="1"/>
  <c r="L1635" i="133"/>
  <c r="M1635" i="133" s="1"/>
  <c r="L1634" i="133"/>
  <c r="M1634" i="133" s="1"/>
  <c r="L1633" i="133"/>
  <c r="M1633" i="133" s="1"/>
  <c r="L1632" i="133"/>
  <c r="M1632" i="133" s="1"/>
  <c r="L1631" i="133"/>
  <c r="M1631" i="133" s="1"/>
  <c r="L1630" i="133"/>
  <c r="M1630" i="133" s="1"/>
  <c r="L1629" i="133"/>
  <c r="M1629" i="133" s="1"/>
  <c r="L1628" i="133"/>
  <c r="M1628" i="133" s="1"/>
  <c r="L1627" i="133"/>
  <c r="M1627" i="133" s="1"/>
  <c r="L1626" i="133"/>
  <c r="M1626" i="133" s="1"/>
  <c r="L1625" i="133"/>
  <c r="M1625" i="133" s="1"/>
  <c r="L1624" i="133"/>
  <c r="M1624" i="133" s="1"/>
  <c r="L1623" i="133"/>
  <c r="M1623" i="133" s="1"/>
  <c r="L1622" i="133"/>
  <c r="M1622" i="133" s="1"/>
  <c r="L1621" i="133"/>
  <c r="M1621" i="133" s="1"/>
  <c r="L1620" i="133"/>
  <c r="M1620" i="133" s="1"/>
  <c r="L1619" i="133"/>
  <c r="M1619" i="133" s="1"/>
  <c r="L1618" i="133"/>
  <c r="M1618" i="133" s="1"/>
  <c r="L1617" i="133"/>
  <c r="M1617" i="133" s="1"/>
  <c r="L1616" i="133"/>
  <c r="M1616" i="133" s="1"/>
  <c r="L1615" i="133"/>
  <c r="M1615" i="133" s="1"/>
  <c r="L1614" i="133"/>
  <c r="M1614" i="133" s="1"/>
  <c r="L1613" i="133"/>
  <c r="M1613" i="133" s="1"/>
  <c r="L1612" i="133"/>
  <c r="M1612" i="133" s="1"/>
  <c r="L1611" i="133"/>
  <c r="M1611" i="133" s="1"/>
  <c r="L1610" i="133"/>
  <c r="M1610" i="133" s="1"/>
  <c r="L1609" i="133"/>
  <c r="M1609" i="133" s="1"/>
  <c r="L1608" i="133"/>
  <c r="M1608" i="133" s="1"/>
  <c r="L1607" i="133"/>
  <c r="M1607" i="133" s="1"/>
  <c r="L1606" i="133"/>
  <c r="M1606" i="133" s="1"/>
  <c r="L1605" i="133"/>
  <c r="M1605" i="133" s="1"/>
  <c r="L1604" i="133"/>
  <c r="M1604" i="133" s="1"/>
  <c r="L1603" i="133"/>
  <c r="M1603" i="133" s="1"/>
  <c r="L1602" i="133"/>
  <c r="M1602" i="133" s="1"/>
  <c r="L1601" i="133"/>
  <c r="M1601" i="133" s="1"/>
  <c r="L1600" i="133"/>
  <c r="M1600" i="133" s="1"/>
  <c r="L1599" i="133"/>
  <c r="M1599" i="133" s="1"/>
  <c r="L1598" i="133"/>
  <c r="M1598" i="133" s="1"/>
  <c r="L1597" i="133"/>
  <c r="M1597" i="133" s="1"/>
  <c r="L1596" i="133"/>
  <c r="M1596" i="133" s="1"/>
  <c r="L1595" i="133"/>
  <c r="M1595" i="133" s="1"/>
  <c r="L1594" i="133"/>
  <c r="M1594" i="133" s="1"/>
  <c r="L1593" i="133"/>
  <c r="M1593" i="133" s="1"/>
  <c r="L1592" i="133"/>
  <c r="M1592" i="133" s="1"/>
  <c r="L1591" i="133"/>
  <c r="M1591" i="133" s="1"/>
  <c r="L1590" i="133"/>
  <c r="M1590" i="133" s="1"/>
  <c r="L1589" i="133"/>
  <c r="M1589" i="133" s="1"/>
  <c r="L1588" i="133"/>
  <c r="M1588" i="133" s="1"/>
  <c r="L1587" i="133"/>
  <c r="M1587" i="133" s="1"/>
  <c r="L1586" i="133"/>
  <c r="M1586" i="133" s="1"/>
  <c r="L1585" i="133"/>
  <c r="M1585" i="133" s="1"/>
  <c r="L1584" i="133"/>
  <c r="M1584" i="133" s="1"/>
  <c r="L1583" i="133"/>
  <c r="M1583" i="133" s="1"/>
  <c r="L1582" i="133"/>
  <c r="M1582" i="133" s="1"/>
  <c r="L1581" i="133"/>
  <c r="M1581" i="133" s="1"/>
  <c r="L1580" i="133"/>
  <c r="M1580" i="133" s="1"/>
  <c r="L1579" i="133"/>
  <c r="M1579" i="133" s="1"/>
  <c r="L1578" i="133"/>
  <c r="M1578" i="133" s="1"/>
  <c r="L1577" i="133"/>
  <c r="M1577" i="133" s="1"/>
  <c r="L1576" i="133"/>
  <c r="M1576" i="133" s="1"/>
  <c r="L1575" i="133"/>
  <c r="M1575" i="133" s="1"/>
  <c r="L1574" i="133"/>
  <c r="M1574" i="133" s="1"/>
  <c r="L1573" i="133"/>
  <c r="M1573" i="133" s="1"/>
  <c r="L1572" i="133"/>
  <c r="M1572" i="133" s="1"/>
  <c r="L1571" i="133"/>
  <c r="M1571" i="133" s="1"/>
  <c r="L1570" i="133"/>
  <c r="M1570" i="133" s="1"/>
  <c r="L1569" i="133"/>
  <c r="M1569" i="133" s="1"/>
  <c r="L1568" i="133"/>
  <c r="M1568" i="133" s="1"/>
  <c r="L1567" i="133"/>
  <c r="M1567" i="133" s="1"/>
  <c r="L1566" i="133"/>
  <c r="M1566" i="133" s="1"/>
  <c r="L1565" i="133"/>
  <c r="M1565" i="133" s="1"/>
  <c r="L1564" i="133"/>
  <c r="M1564" i="133" s="1"/>
  <c r="L1563" i="133"/>
  <c r="M1563" i="133" s="1"/>
  <c r="L1562" i="133"/>
  <c r="M1562" i="133" s="1"/>
  <c r="L1561" i="133"/>
  <c r="M1561" i="133" s="1"/>
  <c r="L1560" i="133"/>
  <c r="M1560" i="133" s="1"/>
  <c r="L1559" i="133"/>
  <c r="M1559" i="133" s="1"/>
  <c r="L1558" i="133"/>
  <c r="M1558" i="133" s="1"/>
  <c r="L1557" i="133"/>
  <c r="M1557" i="133" s="1"/>
  <c r="L1556" i="133"/>
  <c r="M1556" i="133" s="1"/>
  <c r="L1555" i="133"/>
  <c r="M1555" i="133" s="1"/>
  <c r="L1554" i="133"/>
  <c r="M1554" i="133" s="1"/>
  <c r="L1553" i="133"/>
  <c r="M1553" i="133" s="1"/>
  <c r="L1552" i="133"/>
  <c r="M1552" i="133" s="1"/>
  <c r="L1551" i="133"/>
  <c r="M1551" i="133" s="1"/>
  <c r="L1550" i="133"/>
  <c r="M1550" i="133" s="1"/>
  <c r="L1549" i="133"/>
  <c r="M1549" i="133" s="1"/>
  <c r="L1548" i="133"/>
  <c r="M1548" i="133" s="1"/>
  <c r="L1547" i="133"/>
  <c r="M1547" i="133" s="1"/>
  <c r="L1546" i="133"/>
  <c r="M1546" i="133" s="1"/>
  <c r="L1545" i="133"/>
  <c r="M1545" i="133" s="1"/>
  <c r="L1544" i="133"/>
  <c r="M1544" i="133" s="1"/>
  <c r="L1543" i="133"/>
  <c r="M1543" i="133" s="1"/>
  <c r="L1542" i="133"/>
  <c r="M1542" i="133" s="1"/>
  <c r="L1541" i="133"/>
  <c r="M1541" i="133" s="1"/>
  <c r="L1540" i="133"/>
  <c r="M1540" i="133" s="1"/>
  <c r="L1539" i="133"/>
  <c r="M1539" i="133" s="1"/>
  <c r="L1538" i="133"/>
  <c r="M1538" i="133" s="1"/>
  <c r="L1537" i="133"/>
  <c r="M1537" i="133" s="1"/>
  <c r="L1536" i="133"/>
  <c r="M1536" i="133" s="1"/>
  <c r="L1535" i="133"/>
  <c r="M1535" i="133" s="1"/>
  <c r="L1534" i="133"/>
  <c r="M1534" i="133" s="1"/>
  <c r="L1533" i="133"/>
  <c r="M1533" i="133" s="1"/>
  <c r="L1532" i="133"/>
  <c r="M1532" i="133" s="1"/>
  <c r="L1531" i="133"/>
  <c r="M1531" i="133" s="1"/>
  <c r="L1530" i="133"/>
  <c r="M1530" i="133" s="1"/>
  <c r="L1529" i="133"/>
  <c r="M1529" i="133" s="1"/>
  <c r="L1528" i="133"/>
  <c r="M1528" i="133" s="1"/>
  <c r="L1527" i="133"/>
  <c r="M1527" i="133" s="1"/>
  <c r="L1526" i="133"/>
  <c r="M1526" i="133" s="1"/>
  <c r="L1525" i="133"/>
  <c r="M1525" i="133" s="1"/>
  <c r="L1524" i="133"/>
  <c r="M1524" i="133" s="1"/>
  <c r="L1523" i="133"/>
  <c r="M1523" i="133" s="1"/>
  <c r="L1522" i="133"/>
  <c r="M1522" i="133" s="1"/>
  <c r="L1521" i="133"/>
  <c r="M1521" i="133" s="1"/>
  <c r="L1520" i="133"/>
  <c r="M1520" i="133" s="1"/>
  <c r="L1519" i="133"/>
  <c r="M1519" i="133" s="1"/>
  <c r="L1518" i="133"/>
  <c r="M1518" i="133" s="1"/>
  <c r="L1517" i="133"/>
  <c r="M1517" i="133" s="1"/>
  <c r="L1516" i="133"/>
  <c r="M1516" i="133" s="1"/>
  <c r="L1515" i="133"/>
  <c r="M1515" i="133" s="1"/>
  <c r="L1514" i="133"/>
  <c r="M1514" i="133" s="1"/>
  <c r="L1513" i="133"/>
  <c r="M1513" i="133" s="1"/>
  <c r="L1512" i="133"/>
  <c r="M1512" i="133" s="1"/>
  <c r="L1511" i="133"/>
  <c r="M1511" i="133" s="1"/>
  <c r="L1510" i="133"/>
  <c r="M1510" i="133" s="1"/>
  <c r="L1509" i="133"/>
  <c r="M1509" i="133" s="1"/>
  <c r="L1508" i="133"/>
  <c r="M1508" i="133" s="1"/>
  <c r="L1507" i="133"/>
  <c r="M1507" i="133" s="1"/>
  <c r="L1506" i="133"/>
  <c r="M1506" i="133" s="1"/>
  <c r="L1505" i="133"/>
  <c r="M1505" i="133" s="1"/>
  <c r="L1504" i="133"/>
  <c r="M1504" i="133" s="1"/>
  <c r="L1503" i="133"/>
  <c r="M1503" i="133" s="1"/>
  <c r="L1502" i="133"/>
  <c r="M1502" i="133" s="1"/>
  <c r="L1501" i="133"/>
  <c r="M1501" i="133" s="1"/>
  <c r="L1500" i="133"/>
  <c r="M1500" i="133" s="1"/>
  <c r="L1499" i="133"/>
  <c r="M1499" i="133" s="1"/>
  <c r="L1498" i="133"/>
  <c r="M1498" i="133" s="1"/>
  <c r="L1497" i="133"/>
  <c r="M1497" i="133" s="1"/>
  <c r="L1496" i="133"/>
  <c r="M1496" i="133" s="1"/>
  <c r="L1495" i="133"/>
  <c r="M1495" i="133" s="1"/>
  <c r="L1494" i="133"/>
  <c r="M1494" i="133" s="1"/>
  <c r="L1493" i="133"/>
  <c r="M1493" i="133" s="1"/>
  <c r="L1492" i="133"/>
  <c r="M1492" i="133" s="1"/>
  <c r="L1491" i="133"/>
  <c r="M1491" i="133" s="1"/>
  <c r="L1490" i="133"/>
  <c r="M1490" i="133" s="1"/>
  <c r="L1489" i="133"/>
  <c r="M1489" i="133" s="1"/>
  <c r="L1488" i="133"/>
  <c r="M1488" i="133" s="1"/>
  <c r="L1487" i="133"/>
  <c r="M1487" i="133" s="1"/>
  <c r="L1486" i="133"/>
  <c r="M1486" i="133" s="1"/>
  <c r="L1485" i="133"/>
  <c r="M1485" i="133" s="1"/>
  <c r="L1484" i="133"/>
  <c r="M1484" i="133" s="1"/>
  <c r="L1483" i="133"/>
  <c r="M1483" i="133" s="1"/>
  <c r="L1482" i="133"/>
  <c r="M1482" i="133" s="1"/>
  <c r="L1481" i="133"/>
  <c r="M1481" i="133" s="1"/>
  <c r="L1480" i="133"/>
  <c r="M1480" i="133" s="1"/>
  <c r="L1479" i="133"/>
  <c r="M1479" i="133" s="1"/>
  <c r="L1478" i="133"/>
  <c r="M1478" i="133" s="1"/>
  <c r="L1477" i="133"/>
  <c r="M1477" i="133" s="1"/>
  <c r="L1476" i="133"/>
  <c r="M1476" i="133" s="1"/>
  <c r="L1475" i="133"/>
  <c r="M1475" i="133" s="1"/>
  <c r="L1474" i="133"/>
  <c r="M1474" i="133" s="1"/>
  <c r="L1473" i="133"/>
  <c r="M1473" i="133" s="1"/>
  <c r="L1472" i="133"/>
  <c r="M1472" i="133" s="1"/>
  <c r="L1471" i="133"/>
  <c r="M1471" i="133" s="1"/>
  <c r="L1470" i="133"/>
  <c r="M1470" i="133" s="1"/>
  <c r="L1469" i="133"/>
  <c r="M1469" i="133" s="1"/>
  <c r="L1468" i="133"/>
  <c r="M1468" i="133" s="1"/>
  <c r="L1467" i="133"/>
  <c r="M1467" i="133" s="1"/>
  <c r="L1466" i="133"/>
  <c r="M1466" i="133" s="1"/>
  <c r="L1465" i="133"/>
  <c r="M1465" i="133" s="1"/>
  <c r="L1464" i="133"/>
  <c r="M1464" i="133" s="1"/>
  <c r="L1463" i="133"/>
  <c r="M1463" i="133" s="1"/>
  <c r="L1462" i="133"/>
  <c r="M1462" i="133" s="1"/>
  <c r="L1461" i="133"/>
  <c r="M1461" i="133" s="1"/>
  <c r="L1460" i="133"/>
  <c r="M1460" i="133" s="1"/>
  <c r="L1459" i="133"/>
  <c r="M1459" i="133" s="1"/>
  <c r="L1458" i="133"/>
  <c r="M1458" i="133" s="1"/>
  <c r="L1457" i="133"/>
  <c r="M1457" i="133" s="1"/>
  <c r="L1456" i="133"/>
  <c r="M1456" i="133" s="1"/>
  <c r="L1455" i="133"/>
  <c r="M1455" i="133" s="1"/>
  <c r="L1454" i="133"/>
  <c r="M1454" i="133" s="1"/>
  <c r="L1453" i="133"/>
  <c r="M1453" i="133" s="1"/>
  <c r="L1452" i="133"/>
  <c r="M1452" i="133" s="1"/>
  <c r="L1451" i="133"/>
  <c r="M1451" i="133" s="1"/>
  <c r="L1450" i="133"/>
  <c r="M1450" i="133" s="1"/>
  <c r="L1449" i="133"/>
  <c r="M1449" i="133" s="1"/>
  <c r="L1448" i="133"/>
  <c r="M1448" i="133" s="1"/>
  <c r="L1447" i="133"/>
  <c r="M1447" i="133" s="1"/>
  <c r="L1446" i="133"/>
  <c r="M1446" i="133" s="1"/>
  <c r="L1445" i="133"/>
  <c r="M1445" i="133" s="1"/>
  <c r="L1444" i="133"/>
  <c r="M1444" i="133" s="1"/>
  <c r="L1443" i="133"/>
  <c r="M1443" i="133" s="1"/>
  <c r="L1442" i="133"/>
  <c r="M1442" i="133" s="1"/>
  <c r="L1441" i="133"/>
  <c r="M1441" i="133" s="1"/>
  <c r="L1440" i="133"/>
  <c r="M1440" i="133" s="1"/>
  <c r="L1439" i="133"/>
  <c r="M1439" i="133" s="1"/>
  <c r="L1438" i="133"/>
  <c r="M1438" i="133" s="1"/>
  <c r="L1437" i="133"/>
  <c r="M1437" i="133" s="1"/>
  <c r="L1436" i="133"/>
  <c r="M1436" i="133" s="1"/>
  <c r="L1435" i="133"/>
  <c r="M1435" i="133" s="1"/>
  <c r="L1434" i="133"/>
  <c r="M1434" i="133" s="1"/>
  <c r="L1433" i="133"/>
  <c r="M1433" i="133" s="1"/>
  <c r="L1432" i="133"/>
  <c r="M1432" i="133" s="1"/>
  <c r="L1431" i="133"/>
  <c r="M1431" i="133" s="1"/>
  <c r="L1430" i="133"/>
  <c r="M1430" i="133" s="1"/>
  <c r="L1429" i="133"/>
  <c r="M1429" i="133" s="1"/>
  <c r="L1428" i="133"/>
  <c r="M1428" i="133" s="1"/>
  <c r="L1427" i="133"/>
  <c r="M1427" i="133" s="1"/>
  <c r="L1426" i="133"/>
  <c r="M1426" i="133" s="1"/>
  <c r="L1425" i="133"/>
  <c r="M1425" i="133" s="1"/>
  <c r="L1424" i="133"/>
  <c r="M1424" i="133" s="1"/>
  <c r="L1423" i="133"/>
  <c r="M1423" i="133" s="1"/>
  <c r="L1422" i="133"/>
  <c r="M1422" i="133" s="1"/>
  <c r="L1421" i="133"/>
  <c r="M1421" i="133" s="1"/>
  <c r="L1420" i="133"/>
  <c r="M1420" i="133" s="1"/>
  <c r="L1419" i="133"/>
  <c r="M1419" i="133" s="1"/>
  <c r="L1418" i="133"/>
  <c r="M1418" i="133" s="1"/>
  <c r="L1417" i="133"/>
  <c r="M1417" i="133" s="1"/>
  <c r="L1416" i="133"/>
  <c r="M1416" i="133" s="1"/>
  <c r="L1415" i="133"/>
  <c r="M1415" i="133" s="1"/>
  <c r="L1414" i="133"/>
  <c r="M1414" i="133" s="1"/>
  <c r="L1413" i="133"/>
  <c r="M1413" i="133" s="1"/>
  <c r="L1412" i="133"/>
  <c r="M1412" i="133" s="1"/>
  <c r="L1411" i="133"/>
  <c r="M1411" i="133" s="1"/>
  <c r="L1410" i="133"/>
  <c r="M1410" i="133" s="1"/>
  <c r="L1409" i="133"/>
  <c r="M1409" i="133" s="1"/>
  <c r="L1408" i="133"/>
  <c r="M1408" i="133" s="1"/>
  <c r="L1407" i="133"/>
  <c r="M1407" i="133" s="1"/>
  <c r="L1406" i="133"/>
  <c r="M1406" i="133" s="1"/>
  <c r="L1405" i="133"/>
  <c r="M1405" i="133" s="1"/>
  <c r="L1404" i="133"/>
  <c r="M1404" i="133" s="1"/>
  <c r="L1403" i="133"/>
  <c r="M1403" i="133" s="1"/>
  <c r="L1402" i="133"/>
  <c r="M1402" i="133" s="1"/>
  <c r="L1401" i="133"/>
  <c r="M1401" i="133" s="1"/>
  <c r="L1400" i="133"/>
  <c r="M1400" i="133" s="1"/>
  <c r="L1399" i="133"/>
  <c r="M1399" i="133" s="1"/>
  <c r="L1398" i="133"/>
  <c r="M1398" i="133" s="1"/>
  <c r="L1397" i="133"/>
  <c r="M1397" i="133" s="1"/>
  <c r="L1396" i="133"/>
  <c r="M1396" i="133" s="1"/>
  <c r="L1395" i="133"/>
  <c r="M1395" i="133" s="1"/>
  <c r="L1394" i="133"/>
  <c r="M1394" i="133" s="1"/>
  <c r="L1393" i="133"/>
  <c r="M1393" i="133" s="1"/>
  <c r="L1392" i="133"/>
  <c r="M1392" i="133" s="1"/>
  <c r="L1391" i="133"/>
  <c r="M1391" i="133" s="1"/>
  <c r="L1390" i="133"/>
  <c r="M1390" i="133" s="1"/>
  <c r="L1389" i="133"/>
  <c r="M1389" i="133" s="1"/>
  <c r="L1388" i="133"/>
  <c r="M1388" i="133" s="1"/>
  <c r="L1387" i="133"/>
  <c r="M1387" i="133" s="1"/>
  <c r="L1386" i="133"/>
  <c r="M1386" i="133" s="1"/>
  <c r="L1385" i="133"/>
  <c r="M1385" i="133" s="1"/>
  <c r="L1384" i="133"/>
  <c r="M1384" i="133" s="1"/>
  <c r="L1383" i="133"/>
  <c r="M1383" i="133" s="1"/>
  <c r="L1382" i="133"/>
  <c r="M1382" i="133" s="1"/>
  <c r="L1381" i="133"/>
  <c r="M1381" i="133" s="1"/>
  <c r="L1380" i="133"/>
  <c r="M1380" i="133" s="1"/>
  <c r="L1379" i="133"/>
  <c r="M1379" i="133" s="1"/>
  <c r="L1378" i="133"/>
  <c r="M1378" i="133" s="1"/>
  <c r="L1377" i="133"/>
  <c r="M1377" i="133" s="1"/>
  <c r="L1376" i="133"/>
  <c r="M1376" i="133" s="1"/>
  <c r="L1375" i="133"/>
  <c r="M1375" i="133" s="1"/>
  <c r="L1374" i="133"/>
  <c r="M1374" i="133" s="1"/>
  <c r="L1373" i="133"/>
  <c r="M1373" i="133" s="1"/>
  <c r="L1372" i="133"/>
  <c r="M1372" i="133" s="1"/>
  <c r="L1371" i="133"/>
  <c r="M1371" i="133" s="1"/>
  <c r="L1370" i="133"/>
  <c r="M1370" i="133" s="1"/>
  <c r="L1369" i="133"/>
  <c r="M1369" i="133" s="1"/>
  <c r="L1368" i="133"/>
  <c r="M1368" i="133" s="1"/>
  <c r="L1367" i="133"/>
  <c r="M1367" i="133" s="1"/>
  <c r="L1366" i="133"/>
  <c r="M1366" i="133" s="1"/>
  <c r="L1365" i="133"/>
  <c r="M1365" i="133" s="1"/>
  <c r="L1364" i="133"/>
  <c r="M1364" i="133" s="1"/>
  <c r="L1363" i="133"/>
  <c r="M1363" i="133" s="1"/>
  <c r="L1362" i="133"/>
  <c r="M1362" i="133" s="1"/>
  <c r="L1361" i="133"/>
  <c r="M1361" i="133" s="1"/>
  <c r="L1360" i="133"/>
  <c r="M1360" i="133" s="1"/>
  <c r="L1359" i="133"/>
  <c r="M1359" i="133" s="1"/>
  <c r="L1358" i="133"/>
  <c r="M1358" i="133" s="1"/>
  <c r="L1357" i="133"/>
  <c r="M1357" i="133" s="1"/>
  <c r="L1356" i="133"/>
  <c r="M1356" i="133" s="1"/>
  <c r="L1355" i="133"/>
  <c r="M1355" i="133" s="1"/>
  <c r="L1354" i="133"/>
  <c r="M1354" i="133" s="1"/>
  <c r="L1353" i="133"/>
  <c r="M1353" i="133" s="1"/>
  <c r="L1352" i="133"/>
  <c r="M1352" i="133" s="1"/>
  <c r="L1351" i="133"/>
  <c r="M1351" i="133" s="1"/>
  <c r="L1350" i="133"/>
  <c r="M1350" i="133" s="1"/>
  <c r="L1349" i="133"/>
  <c r="M1349" i="133" s="1"/>
  <c r="L1348" i="133"/>
  <c r="M1348" i="133" s="1"/>
  <c r="L1347" i="133"/>
  <c r="M1347" i="133" s="1"/>
  <c r="L1346" i="133"/>
  <c r="M1346" i="133" s="1"/>
  <c r="L1345" i="133"/>
  <c r="M1345" i="133" s="1"/>
  <c r="L1344" i="133"/>
  <c r="M1344" i="133" s="1"/>
  <c r="L1343" i="133"/>
  <c r="M1343" i="133" s="1"/>
  <c r="L1342" i="133"/>
  <c r="M1342" i="133" s="1"/>
  <c r="L1341" i="133"/>
  <c r="M1341" i="133" s="1"/>
  <c r="L1340" i="133"/>
  <c r="M1340" i="133" s="1"/>
  <c r="L1339" i="133"/>
  <c r="M1339" i="133" s="1"/>
  <c r="L1338" i="133"/>
  <c r="M1338" i="133" s="1"/>
  <c r="L1337" i="133"/>
  <c r="M1337" i="133" s="1"/>
  <c r="L1336" i="133"/>
  <c r="M1336" i="133" s="1"/>
  <c r="L1335" i="133"/>
  <c r="M1335" i="133" s="1"/>
  <c r="L1334" i="133"/>
  <c r="M1334" i="133" s="1"/>
  <c r="L1333" i="133"/>
  <c r="M1333" i="133" s="1"/>
  <c r="L1332" i="133"/>
  <c r="M1332" i="133" s="1"/>
  <c r="L1331" i="133"/>
  <c r="M1331" i="133" s="1"/>
  <c r="L1330" i="133"/>
  <c r="M1330" i="133" s="1"/>
  <c r="L1329" i="133"/>
  <c r="M1329" i="133" s="1"/>
  <c r="L1328" i="133"/>
  <c r="M1328" i="133" s="1"/>
  <c r="L1327" i="133"/>
  <c r="M1327" i="133" s="1"/>
  <c r="L1326" i="133"/>
  <c r="M1326" i="133" s="1"/>
  <c r="L1325" i="133"/>
  <c r="M1325" i="133" s="1"/>
  <c r="L1324" i="133"/>
  <c r="M1324" i="133" s="1"/>
  <c r="L1323" i="133"/>
  <c r="M1323" i="133" s="1"/>
  <c r="L1322" i="133"/>
  <c r="M1322" i="133" s="1"/>
  <c r="L1321" i="133"/>
  <c r="M1321" i="133" s="1"/>
  <c r="L1320" i="133"/>
  <c r="M1320" i="133" s="1"/>
  <c r="L1319" i="133"/>
  <c r="M1319" i="133" s="1"/>
  <c r="L1318" i="133"/>
  <c r="M1318" i="133" s="1"/>
  <c r="L1317" i="133"/>
  <c r="M1317" i="133" s="1"/>
  <c r="L1316" i="133"/>
  <c r="M1316" i="133" s="1"/>
  <c r="L1315" i="133"/>
  <c r="M1315" i="133" s="1"/>
  <c r="L1314" i="133"/>
  <c r="M1314" i="133" s="1"/>
  <c r="L1313" i="133"/>
  <c r="M1313" i="133" s="1"/>
  <c r="L1312" i="133"/>
  <c r="M1312" i="133" s="1"/>
  <c r="L1311" i="133"/>
  <c r="M1311" i="133" s="1"/>
  <c r="L1310" i="133"/>
  <c r="M1310" i="133" s="1"/>
  <c r="L1309" i="133"/>
  <c r="M1309" i="133" s="1"/>
  <c r="L1308" i="133"/>
  <c r="M1308" i="133" s="1"/>
  <c r="L1307" i="133"/>
  <c r="M1307" i="133" s="1"/>
  <c r="L1306" i="133"/>
  <c r="M1306" i="133" s="1"/>
  <c r="L1305" i="133"/>
  <c r="M1305" i="133" s="1"/>
  <c r="L1304" i="133"/>
  <c r="M1304" i="133" s="1"/>
  <c r="L1303" i="133"/>
  <c r="M1303" i="133" s="1"/>
  <c r="L1302" i="133"/>
  <c r="M1302" i="133" s="1"/>
  <c r="L1301" i="133"/>
  <c r="M1301" i="133" s="1"/>
  <c r="L1300" i="133"/>
  <c r="M1300" i="133" s="1"/>
  <c r="L1299" i="133"/>
  <c r="M1299" i="133" s="1"/>
  <c r="L1298" i="133"/>
  <c r="M1298" i="133" s="1"/>
  <c r="L1297" i="133"/>
  <c r="M1297" i="133" s="1"/>
  <c r="L1296" i="133"/>
  <c r="M1296" i="133" s="1"/>
  <c r="L1295" i="133"/>
  <c r="M1295" i="133" s="1"/>
  <c r="L1294" i="133"/>
  <c r="M1294" i="133" s="1"/>
  <c r="L1293" i="133"/>
  <c r="M1293" i="133" s="1"/>
  <c r="L1292" i="133"/>
  <c r="M1292" i="133" s="1"/>
  <c r="L1291" i="133"/>
  <c r="M1291" i="133" s="1"/>
  <c r="L1290" i="133"/>
  <c r="M1290" i="133" s="1"/>
  <c r="L1289" i="133"/>
  <c r="M1289" i="133" s="1"/>
  <c r="L1288" i="133"/>
  <c r="M1288" i="133" s="1"/>
  <c r="L1287" i="133"/>
  <c r="M1287" i="133" s="1"/>
  <c r="L1286" i="133"/>
  <c r="M1286" i="133" s="1"/>
  <c r="L1285" i="133"/>
  <c r="M1285" i="133" s="1"/>
  <c r="L1284" i="133"/>
  <c r="M1284" i="133" s="1"/>
  <c r="L1283" i="133"/>
  <c r="M1283" i="133" s="1"/>
  <c r="L1282" i="133"/>
  <c r="M1282" i="133" s="1"/>
  <c r="L1281" i="133"/>
  <c r="M1281" i="133" s="1"/>
  <c r="L1280" i="133"/>
  <c r="M1280" i="133" s="1"/>
  <c r="L1279" i="133"/>
  <c r="M1279" i="133" s="1"/>
  <c r="L1278" i="133"/>
  <c r="M1278" i="133" s="1"/>
  <c r="L1277" i="133"/>
  <c r="M1277" i="133" s="1"/>
  <c r="L1276" i="133"/>
  <c r="M1276" i="133" s="1"/>
  <c r="L1275" i="133"/>
  <c r="M1275" i="133" s="1"/>
  <c r="L1274" i="133"/>
  <c r="M1274" i="133" s="1"/>
  <c r="L1273" i="133"/>
  <c r="M1273" i="133" s="1"/>
  <c r="L1272" i="133"/>
  <c r="M1272" i="133" s="1"/>
  <c r="L1271" i="133"/>
  <c r="M1271" i="133" s="1"/>
  <c r="L1270" i="133"/>
  <c r="M1270" i="133" s="1"/>
  <c r="L1269" i="133"/>
  <c r="M1269" i="133" s="1"/>
  <c r="L1268" i="133"/>
  <c r="M1268" i="133" s="1"/>
  <c r="L1267" i="133"/>
  <c r="M1267" i="133" s="1"/>
  <c r="L1266" i="133"/>
  <c r="M1266" i="133" s="1"/>
  <c r="L1265" i="133"/>
  <c r="M1265" i="133" s="1"/>
  <c r="L1264" i="133"/>
  <c r="M1264" i="133" s="1"/>
  <c r="L1263" i="133"/>
  <c r="M1263" i="133" s="1"/>
  <c r="L1262" i="133"/>
  <c r="M1262" i="133" s="1"/>
  <c r="L1261" i="133"/>
  <c r="M1261" i="133" s="1"/>
  <c r="L1260" i="133"/>
  <c r="M1260" i="133" s="1"/>
  <c r="L1259" i="133"/>
  <c r="M1259" i="133" s="1"/>
  <c r="L1258" i="133"/>
  <c r="M1258" i="133" s="1"/>
  <c r="L1257" i="133"/>
  <c r="M1257" i="133" s="1"/>
  <c r="L1256" i="133"/>
  <c r="M1256" i="133" s="1"/>
  <c r="L1255" i="133"/>
  <c r="M1255" i="133" s="1"/>
  <c r="L1254" i="133"/>
  <c r="M1254" i="133" s="1"/>
  <c r="L1253" i="133"/>
  <c r="M1253" i="133" s="1"/>
  <c r="L1252" i="133"/>
  <c r="M1252" i="133" s="1"/>
  <c r="L1251" i="133"/>
  <c r="M1251" i="133" s="1"/>
  <c r="L1250" i="133"/>
  <c r="M1250" i="133" s="1"/>
  <c r="L1249" i="133"/>
  <c r="M1249" i="133" s="1"/>
  <c r="L1248" i="133"/>
  <c r="M1248" i="133" s="1"/>
  <c r="L1247" i="133"/>
  <c r="M1247" i="133" s="1"/>
  <c r="L1246" i="133"/>
  <c r="M1246" i="133" s="1"/>
  <c r="L1245" i="133"/>
  <c r="M1245" i="133" s="1"/>
  <c r="L1244" i="133"/>
  <c r="M1244" i="133" s="1"/>
  <c r="L1243" i="133"/>
  <c r="M1243" i="133" s="1"/>
  <c r="L1242" i="133"/>
  <c r="M1242" i="133" s="1"/>
  <c r="L1241" i="133"/>
  <c r="M1241" i="133" s="1"/>
  <c r="L1240" i="133"/>
  <c r="M1240" i="133" s="1"/>
  <c r="L1239" i="133"/>
  <c r="M1239" i="133" s="1"/>
  <c r="L1238" i="133"/>
  <c r="M1238" i="133" s="1"/>
  <c r="L1237" i="133"/>
  <c r="M1237" i="133" s="1"/>
  <c r="L1236" i="133"/>
  <c r="M1236" i="133" s="1"/>
  <c r="L1235" i="133"/>
  <c r="M1235" i="133" s="1"/>
  <c r="L1234" i="133"/>
  <c r="M1234" i="133" s="1"/>
  <c r="L1233" i="133"/>
  <c r="M1233" i="133" s="1"/>
  <c r="L1232" i="133"/>
  <c r="M1232" i="133" s="1"/>
  <c r="L1231" i="133"/>
  <c r="M1231" i="133" s="1"/>
  <c r="L1230" i="133"/>
  <c r="M1230" i="133" s="1"/>
  <c r="L1229" i="133"/>
  <c r="M1229" i="133" s="1"/>
  <c r="L1228" i="133"/>
  <c r="M1228" i="133" s="1"/>
  <c r="L1227" i="133"/>
  <c r="M1227" i="133" s="1"/>
  <c r="L1226" i="133"/>
  <c r="M1226" i="133" s="1"/>
  <c r="L1225" i="133"/>
  <c r="M1225" i="133" s="1"/>
  <c r="L1224" i="133"/>
  <c r="M1224" i="133" s="1"/>
  <c r="L1223" i="133"/>
  <c r="M1223" i="133" s="1"/>
  <c r="L1222" i="133"/>
  <c r="M1222" i="133" s="1"/>
  <c r="L1221" i="133"/>
  <c r="M1221" i="133" s="1"/>
  <c r="L1220" i="133"/>
  <c r="M1220" i="133" s="1"/>
  <c r="L1219" i="133"/>
  <c r="M1219" i="133" s="1"/>
  <c r="L1218" i="133"/>
  <c r="M1218" i="133" s="1"/>
  <c r="L1217" i="133"/>
  <c r="M1217" i="133" s="1"/>
  <c r="L1216" i="133"/>
  <c r="M1216" i="133" s="1"/>
  <c r="L1215" i="133"/>
  <c r="M1215" i="133" s="1"/>
  <c r="L1214" i="133"/>
  <c r="M1214" i="133" s="1"/>
  <c r="L1213" i="133"/>
  <c r="M1213" i="133" s="1"/>
  <c r="L1212" i="133"/>
  <c r="M1212" i="133" s="1"/>
  <c r="L1211" i="133"/>
  <c r="M1211" i="133" s="1"/>
  <c r="L1210" i="133"/>
  <c r="M1210" i="133" s="1"/>
  <c r="L1209" i="133"/>
  <c r="M1209" i="133" s="1"/>
  <c r="L1208" i="133"/>
  <c r="M1208" i="133" s="1"/>
  <c r="L1207" i="133"/>
  <c r="M1207" i="133" s="1"/>
  <c r="L1206" i="133"/>
  <c r="M1206" i="133" s="1"/>
  <c r="L1205" i="133"/>
  <c r="M1205" i="133" s="1"/>
  <c r="L1204" i="133"/>
  <c r="M1204" i="133" s="1"/>
  <c r="L1203" i="133"/>
  <c r="M1203" i="133" s="1"/>
  <c r="L1202" i="133"/>
  <c r="M1202" i="133" s="1"/>
  <c r="L1201" i="133"/>
  <c r="M1201" i="133" s="1"/>
  <c r="L1200" i="133"/>
  <c r="M1200" i="133" s="1"/>
  <c r="L1199" i="133"/>
  <c r="M1199" i="133" s="1"/>
  <c r="L1198" i="133"/>
  <c r="M1198" i="133" s="1"/>
  <c r="L1197" i="133"/>
  <c r="M1197" i="133" s="1"/>
  <c r="L1196" i="133"/>
  <c r="M1196" i="133" s="1"/>
  <c r="L1195" i="133"/>
  <c r="M1195" i="133" s="1"/>
  <c r="L1194" i="133"/>
  <c r="M1194" i="133" s="1"/>
  <c r="L1193" i="133"/>
  <c r="M1193" i="133" s="1"/>
  <c r="L1192" i="133"/>
  <c r="M1192" i="133" s="1"/>
  <c r="L1191" i="133"/>
  <c r="M1191" i="133" s="1"/>
  <c r="L1190" i="133"/>
  <c r="M1190" i="133" s="1"/>
  <c r="L1189" i="133"/>
  <c r="M1189" i="133" s="1"/>
  <c r="L1188" i="133"/>
  <c r="M1188" i="133" s="1"/>
  <c r="L1187" i="133"/>
  <c r="M1187" i="133" s="1"/>
  <c r="L1186" i="133"/>
  <c r="M1186" i="133" s="1"/>
  <c r="L1185" i="133"/>
  <c r="M1185" i="133" s="1"/>
  <c r="L1184" i="133"/>
  <c r="M1184" i="133" s="1"/>
  <c r="L1183" i="133"/>
  <c r="M1183" i="133" s="1"/>
  <c r="L1182" i="133"/>
  <c r="M1182" i="133" s="1"/>
  <c r="L1181" i="133"/>
  <c r="M1181" i="133" s="1"/>
  <c r="L1180" i="133"/>
  <c r="M1180" i="133" s="1"/>
  <c r="L1179" i="133"/>
  <c r="M1179" i="133" s="1"/>
  <c r="L1178" i="133"/>
  <c r="M1178" i="133" s="1"/>
  <c r="L1177" i="133"/>
  <c r="M1177" i="133" s="1"/>
  <c r="L1176" i="133"/>
  <c r="M1176" i="133" s="1"/>
  <c r="L1175" i="133"/>
  <c r="M1175" i="133" s="1"/>
  <c r="L1174" i="133"/>
  <c r="M1174" i="133" s="1"/>
  <c r="L1173" i="133"/>
  <c r="M1173" i="133" s="1"/>
  <c r="L1172" i="133"/>
  <c r="M1172" i="133" s="1"/>
  <c r="L1171" i="133"/>
  <c r="M1171" i="133" s="1"/>
  <c r="L1170" i="133"/>
  <c r="M1170" i="133" s="1"/>
  <c r="L1169" i="133"/>
  <c r="M1169" i="133" s="1"/>
  <c r="L1168" i="133"/>
  <c r="M1168" i="133" s="1"/>
  <c r="L1167" i="133"/>
  <c r="M1167" i="133" s="1"/>
  <c r="L1166" i="133"/>
  <c r="M1166" i="133" s="1"/>
  <c r="L1165" i="133"/>
  <c r="M1165" i="133" s="1"/>
  <c r="L1164" i="133"/>
  <c r="M1164" i="133" s="1"/>
  <c r="L1163" i="133"/>
  <c r="M1163" i="133" s="1"/>
  <c r="L1162" i="133"/>
  <c r="M1162" i="133" s="1"/>
  <c r="L1161" i="133"/>
  <c r="M1161" i="133" s="1"/>
  <c r="L1160" i="133"/>
  <c r="M1160" i="133" s="1"/>
  <c r="L1159" i="133"/>
  <c r="M1159" i="133" s="1"/>
  <c r="L1158" i="133"/>
  <c r="M1158" i="133" s="1"/>
  <c r="L1157" i="133"/>
  <c r="M1157" i="133" s="1"/>
  <c r="L1156" i="133"/>
  <c r="M1156" i="133" s="1"/>
  <c r="L1155" i="133"/>
  <c r="M1155" i="133" s="1"/>
  <c r="L1154" i="133"/>
  <c r="M1154" i="133" s="1"/>
  <c r="L1153" i="133"/>
  <c r="M1153" i="133" s="1"/>
  <c r="L1152" i="133"/>
  <c r="M1152" i="133" s="1"/>
  <c r="L1151" i="133"/>
  <c r="M1151" i="133" s="1"/>
  <c r="L1150" i="133"/>
  <c r="M1150" i="133" s="1"/>
  <c r="L1149" i="133"/>
  <c r="M1149" i="133" s="1"/>
  <c r="L1148" i="133"/>
  <c r="M1148" i="133" s="1"/>
  <c r="L1147" i="133"/>
  <c r="M1147" i="133" s="1"/>
  <c r="L1146" i="133"/>
  <c r="M1146" i="133" s="1"/>
  <c r="L1145" i="133"/>
  <c r="M1145" i="133" s="1"/>
  <c r="L1144" i="133"/>
  <c r="M1144" i="133" s="1"/>
  <c r="L1143" i="133"/>
  <c r="M1143" i="133" s="1"/>
  <c r="L1142" i="133"/>
  <c r="M1142" i="133" s="1"/>
  <c r="L1141" i="133"/>
  <c r="M1141" i="133" s="1"/>
  <c r="L1140" i="133"/>
  <c r="M1140" i="133" s="1"/>
  <c r="L1139" i="133"/>
  <c r="M1139" i="133" s="1"/>
  <c r="L1138" i="133"/>
  <c r="M1138" i="133" s="1"/>
  <c r="L1137" i="133"/>
  <c r="M1137" i="133" s="1"/>
  <c r="L1136" i="133"/>
  <c r="M1136" i="133" s="1"/>
  <c r="L1135" i="133"/>
  <c r="M1135" i="133" s="1"/>
  <c r="L1134" i="133"/>
  <c r="M1134" i="133" s="1"/>
  <c r="L1133" i="133"/>
  <c r="M1133" i="133" s="1"/>
  <c r="L1132" i="133"/>
  <c r="M1132" i="133" s="1"/>
  <c r="L1131" i="133"/>
  <c r="M1131" i="133" s="1"/>
  <c r="L1130" i="133"/>
  <c r="M1130" i="133" s="1"/>
  <c r="L1129" i="133"/>
  <c r="M1129" i="133" s="1"/>
  <c r="L1128" i="133"/>
  <c r="M1128" i="133" s="1"/>
  <c r="L1127" i="133"/>
  <c r="M1127" i="133" s="1"/>
  <c r="L1126" i="133"/>
  <c r="M1126" i="133" s="1"/>
  <c r="L1125" i="133"/>
  <c r="M1125" i="133" s="1"/>
  <c r="L1124" i="133"/>
  <c r="M1124" i="133" s="1"/>
  <c r="L1123" i="133"/>
  <c r="M1123" i="133" s="1"/>
  <c r="L1122" i="133"/>
  <c r="M1122" i="133" s="1"/>
  <c r="L1121" i="133"/>
  <c r="M1121" i="133" s="1"/>
  <c r="L1120" i="133"/>
  <c r="M1120" i="133" s="1"/>
  <c r="L1119" i="133"/>
  <c r="M1119" i="133" s="1"/>
  <c r="L1118" i="133"/>
  <c r="M1118" i="133" s="1"/>
  <c r="L1117" i="133"/>
  <c r="M1117" i="133" s="1"/>
  <c r="L1116" i="133"/>
  <c r="M1116" i="133" s="1"/>
  <c r="L1115" i="133"/>
  <c r="M1115" i="133" s="1"/>
  <c r="L1114" i="133"/>
  <c r="M1114" i="133" s="1"/>
  <c r="L1113" i="133"/>
  <c r="M1113" i="133" s="1"/>
  <c r="L1112" i="133"/>
  <c r="M1112" i="133" s="1"/>
  <c r="L1111" i="133"/>
  <c r="M1111" i="133" s="1"/>
  <c r="L1110" i="133"/>
  <c r="M1110" i="133" s="1"/>
  <c r="L1109" i="133"/>
  <c r="M1109" i="133" s="1"/>
  <c r="L1108" i="133"/>
  <c r="M1108" i="133" s="1"/>
  <c r="L1107" i="133"/>
  <c r="M1107" i="133" s="1"/>
  <c r="L1106" i="133"/>
  <c r="M1106" i="133" s="1"/>
  <c r="L1105" i="133"/>
  <c r="M1105" i="133" s="1"/>
  <c r="L1104" i="133"/>
  <c r="M1104" i="133" s="1"/>
  <c r="L1103" i="133"/>
  <c r="M1103" i="133" s="1"/>
  <c r="L1102" i="133"/>
  <c r="M1102" i="133" s="1"/>
  <c r="L1101" i="133"/>
  <c r="M1101" i="133" s="1"/>
  <c r="L1100" i="133"/>
  <c r="M1100" i="133" s="1"/>
  <c r="L1099" i="133"/>
  <c r="M1099" i="133" s="1"/>
  <c r="L1098" i="133"/>
  <c r="M1098" i="133" s="1"/>
  <c r="L1097" i="133"/>
  <c r="M1097" i="133" s="1"/>
  <c r="L1096" i="133"/>
  <c r="M1096" i="133" s="1"/>
  <c r="L1095" i="133"/>
  <c r="M1095" i="133" s="1"/>
  <c r="L1094" i="133"/>
  <c r="M1094" i="133" s="1"/>
  <c r="L1093" i="133"/>
  <c r="M1093" i="133" s="1"/>
  <c r="L1092" i="133"/>
  <c r="M1092" i="133" s="1"/>
  <c r="L1091" i="133"/>
  <c r="M1091" i="133" s="1"/>
  <c r="L1090" i="133"/>
  <c r="M1090" i="133" s="1"/>
  <c r="L1089" i="133"/>
  <c r="M1089" i="133" s="1"/>
  <c r="L1088" i="133"/>
  <c r="M1088" i="133" s="1"/>
  <c r="L1087" i="133"/>
  <c r="M1087" i="133" s="1"/>
  <c r="L1086" i="133"/>
  <c r="M1086" i="133" s="1"/>
  <c r="L1085" i="133"/>
  <c r="M1085" i="133" s="1"/>
  <c r="L1084" i="133"/>
  <c r="M1084" i="133" s="1"/>
  <c r="L1083" i="133"/>
  <c r="M1083" i="133" s="1"/>
  <c r="L1082" i="133"/>
  <c r="M1082" i="133" s="1"/>
  <c r="L1081" i="133"/>
  <c r="M1081" i="133" s="1"/>
  <c r="L1080" i="133"/>
  <c r="M1080" i="133" s="1"/>
  <c r="L1079" i="133"/>
  <c r="M1079" i="133" s="1"/>
  <c r="L1078" i="133"/>
  <c r="M1078" i="133" s="1"/>
  <c r="L1077" i="133"/>
  <c r="M1077" i="133" s="1"/>
  <c r="L1076" i="133"/>
  <c r="M1076" i="133" s="1"/>
  <c r="L1075" i="133"/>
  <c r="M1075" i="133" s="1"/>
  <c r="L1074" i="133"/>
  <c r="M1074" i="133" s="1"/>
  <c r="L1073" i="133"/>
  <c r="M1073" i="133" s="1"/>
  <c r="L1072" i="133"/>
  <c r="M1072" i="133" s="1"/>
  <c r="L1071" i="133"/>
  <c r="M1071" i="133" s="1"/>
  <c r="L1070" i="133"/>
  <c r="M1070" i="133" s="1"/>
  <c r="L1069" i="133"/>
  <c r="M1069" i="133" s="1"/>
  <c r="L1068" i="133"/>
  <c r="M1068" i="133" s="1"/>
  <c r="L1067" i="133"/>
  <c r="M1067" i="133" s="1"/>
  <c r="L1066" i="133"/>
  <c r="M1066" i="133" s="1"/>
  <c r="L1065" i="133"/>
  <c r="M1065" i="133" s="1"/>
  <c r="L1064" i="133"/>
  <c r="M1064" i="133" s="1"/>
  <c r="L1063" i="133"/>
  <c r="M1063" i="133" s="1"/>
  <c r="L1062" i="133"/>
  <c r="M1062" i="133" s="1"/>
  <c r="L1061" i="133"/>
  <c r="M1061" i="133" s="1"/>
  <c r="L1060" i="133"/>
  <c r="M1060" i="133" s="1"/>
  <c r="L1059" i="133"/>
  <c r="M1059" i="133" s="1"/>
  <c r="L1058" i="133"/>
  <c r="M1058" i="133" s="1"/>
  <c r="L1057" i="133"/>
  <c r="M1057" i="133" s="1"/>
  <c r="L1056" i="133"/>
  <c r="M1056" i="133" s="1"/>
  <c r="L1055" i="133"/>
  <c r="M1055" i="133" s="1"/>
  <c r="L1054" i="133"/>
  <c r="M1054" i="133" s="1"/>
  <c r="L1053" i="133"/>
  <c r="M1053" i="133" s="1"/>
  <c r="L1052" i="133"/>
  <c r="M1052" i="133" s="1"/>
  <c r="L1051" i="133"/>
  <c r="M1051" i="133" s="1"/>
  <c r="L1050" i="133"/>
  <c r="M1050" i="133" s="1"/>
  <c r="L1049" i="133"/>
  <c r="M1049" i="133" s="1"/>
  <c r="L1048" i="133"/>
  <c r="M1048" i="133" s="1"/>
  <c r="L1047" i="133"/>
  <c r="M1047" i="133" s="1"/>
  <c r="L1046" i="133"/>
  <c r="M1046" i="133" s="1"/>
  <c r="L1045" i="133"/>
  <c r="M1045" i="133" s="1"/>
  <c r="L1044" i="133"/>
  <c r="M1044" i="133" s="1"/>
  <c r="L1043" i="133"/>
  <c r="M1043" i="133" s="1"/>
  <c r="L1042" i="133"/>
  <c r="M1042" i="133" s="1"/>
  <c r="L1041" i="133"/>
  <c r="M1041" i="133" s="1"/>
  <c r="L1040" i="133"/>
  <c r="M1040" i="133" s="1"/>
  <c r="L1039" i="133"/>
  <c r="M1039" i="133" s="1"/>
  <c r="L1038" i="133"/>
  <c r="M1038" i="133" s="1"/>
  <c r="L1037" i="133"/>
  <c r="M1037" i="133" s="1"/>
  <c r="L1036" i="133"/>
  <c r="M1036" i="133" s="1"/>
  <c r="L1035" i="133"/>
  <c r="M1035" i="133" s="1"/>
  <c r="L1034" i="133"/>
  <c r="M1034" i="133" s="1"/>
  <c r="L1033" i="133"/>
  <c r="M1033" i="133" s="1"/>
  <c r="L1032" i="133"/>
  <c r="M1032" i="133" s="1"/>
  <c r="L1031" i="133"/>
  <c r="M1031" i="133" s="1"/>
  <c r="L1030" i="133"/>
  <c r="M1030" i="133" s="1"/>
  <c r="L1029" i="133"/>
  <c r="M1029" i="133" s="1"/>
  <c r="L1028" i="133"/>
  <c r="M1028" i="133" s="1"/>
  <c r="L1027" i="133"/>
  <c r="M1027" i="133" s="1"/>
  <c r="L1026" i="133"/>
  <c r="M1026" i="133" s="1"/>
  <c r="L1025" i="133"/>
  <c r="M1025" i="133" s="1"/>
  <c r="L1024" i="133"/>
  <c r="M1024" i="133" s="1"/>
  <c r="L1023" i="133"/>
  <c r="M1023" i="133" s="1"/>
  <c r="L1022" i="133"/>
  <c r="M1022" i="133" s="1"/>
  <c r="L1021" i="133"/>
  <c r="M1021" i="133" s="1"/>
  <c r="L1020" i="133"/>
  <c r="M1020" i="133" s="1"/>
  <c r="L1019" i="133"/>
  <c r="M1019" i="133" s="1"/>
  <c r="L1018" i="133"/>
  <c r="M1018" i="133" s="1"/>
  <c r="L1017" i="133"/>
  <c r="M1017" i="133" s="1"/>
  <c r="L1016" i="133"/>
  <c r="M1016" i="133" s="1"/>
  <c r="L1015" i="133"/>
  <c r="M1015" i="133" s="1"/>
  <c r="L1014" i="133"/>
  <c r="M1014" i="133" s="1"/>
  <c r="L1013" i="133"/>
  <c r="M1013" i="133" s="1"/>
  <c r="L1012" i="133"/>
  <c r="M1012" i="133" s="1"/>
  <c r="L1011" i="133"/>
  <c r="M1011" i="133" s="1"/>
  <c r="L1010" i="133"/>
  <c r="M1010" i="133" s="1"/>
  <c r="L1009" i="133"/>
  <c r="M1009" i="133" s="1"/>
  <c r="L1008" i="133"/>
  <c r="M1008" i="133" s="1"/>
  <c r="L1007" i="133"/>
  <c r="M1007" i="133" s="1"/>
  <c r="L1006" i="133"/>
  <c r="M1006" i="133" s="1"/>
  <c r="L1005" i="133"/>
  <c r="M1005" i="133" s="1"/>
  <c r="L1004" i="133"/>
  <c r="M1004" i="133" s="1"/>
  <c r="L1003" i="133"/>
  <c r="M1003" i="133" s="1"/>
  <c r="L1002" i="133"/>
  <c r="M1002" i="133" s="1"/>
  <c r="L1001" i="133"/>
  <c r="L1000" i="133"/>
  <c r="L999" i="133"/>
  <c r="L998" i="133"/>
  <c r="L997" i="133"/>
  <c r="L996" i="133"/>
  <c r="L995" i="133"/>
  <c r="L994" i="133"/>
  <c r="L993" i="133"/>
  <c r="L992" i="133"/>
  <c r="L991" i="133"/>
  <c r="L990" i="133"/>
  <c r="L989" i="133"/>
  <c r="L988" i="133"/>
  <c r="L987" i="133"/>
  <c r="L986" i="133"/>
  <c r="L985" i="133"/>
  <c r="L984" i="133"/>
  <c r="L983" i="133"/>
  <c r="L982" i="133"/>
  <c r="L981" i="133"/>
  <c r="L980" i="133"/>
  <c r="L979" i="133"/>
  <c r="L978" i="133"/>
  <c r="L977" i="133"/>
  <c r="L976" i="133"/>
  <c r="L975" i="133"/>
  <c r="L974" i="133"/>
  <c r="L973" i="133"/>
  <c r="L972" i="133"/>
  <c r="L971" i="133"/>
  <c r="L970" i="133"/>
  <c r="L969" i="133"/>
  <c r="L968" i="133"/>
  <c r="L967" i="133"/>
  <c r="L966" i="133"/>
  <c r="L965" i="133"/>
  <c r="L964" i="133"/>
  <c r="L963" i="133"/>
  <c r="L962" i="133"/>
  <c r="L961" i="133"/>
  <c r="L960" i="133"/>
  <c r="L959" i="133"/>
  <c r="L958" i="133"/>
  <c r="L957" i="133"/>
  <c r="L956" i="133"/>
  <c r="L955" i="133"/>
  <c r="L954" i="133"/>
  <c r="L953" i="133"/>
  <c r="L952" i="133"/>
  <c r="L951" i="133"/>
  <c r="L950" i="133"/>
  <c r="L949" i="133"/>
  <c r="L948" i="133"/>
  <c r="L947" i="133"/>
  <c r="L946" i="133"/>
  <c r="L945" i="133"/>
  <c r="L944" i="133"/>
  <c r="L943" i="133"/>
  <c r="L942" i="133"/>
  <c r="L941" i="133"/>
  <c r="L940" i="133"/>
  <c r="L939" i="133"/>
  <c r="L938" i="133"/>
  <c r="L937" i="133"/>
  <c r="L936" i="133"/>
  <c r="L935" i="133"/>
  <c r="L934" i="133"/>
  <c r="L933" i="133"/>
  <c r="L932" i="133"/>
  <c r="L931" i="133"/>
  <c r="L930" i="133"/>
  <c r="L929" i="133"/>
  <c r="L928" i="133"/>
  <c r="L927" i="133"/>
  <c r="L926" i="133"/>
  <c r="L925" i="133"/>
  <c r="L924" i="133"/>
  <c r="L923" i="133"/>
  <c r="L922" i="133"/>
  <c r="L921" i="133"/>
  <c r="L920" i="133"/>
  <c r="L919" i="133"/>
  <c r="L918" i="133"/>
  <c r="L917" i="133"/>
  <c r="L916" i="133"/>
  <c r="L915" i="133"/>
  <c r="L914" i="133"/>
  <c r="L913" i="133"/>
  <c r="L912" i="133"/>
  <c r="L911" i="133"/>
  <c r="L910" i="133"/>
  <c r="L909" i="133"/>
  <c r="L908" i="133"/>
  <c r="L907" i="133"/>
  <c r="L906" i="133"/>
  <c r="L905" i="133"/>
  <c r="L904" i="133"/>
  <c r="L903" i="133"/>
  <c r="L902" i="133"/>
  <c r="L901" i="133"/>
  <c r="L900" i="133"/>
  <c r="L899" i="133"/>
  <c r="L898" i="133"/>
  <c r="L897" i="133"/>
  <c r="L896" i="133"/>
  <c r="L895" i="133"/>
  <c r="L894" i="133"/>
  <c r="L893" i="133"/>
  <c r="L892" i="133"/>
  <c r="L891" i="133"/>
  <c r="L890" i="133"/>
  <c r="L889" i="133"/>
  <c r="L888" i="133"/>
  <c r="L887" i="133"/>
  <c r="L886" i="133"/>
  <c r="L885" i="133"/>
  <c r="L884" i="133"/>
  <c r="L883" i="133"/>
  <c r="L882" i="133"/>
  <c r="L881" i="133"/>
  <c r="L880" i="133"/>
  <c r="L879" i="133"/>
  <c r="L878" i="133"/>
  <c r="L877" i="133"/>
  <c r="L876" i="133"/>
  <c r="L875" i="133"/>
  <c r="L874" i="133"/>
  <c r="L873" i="133"/>
  <c r="L872" i="133"/>
  <c r="L871" i="133"/>
  <c r="L870" i="133"/>
  <c r="L869" i="133"/>
  <c r="L868" i="133"/>
  <c r="L867" i="133"/>
  <c r="L866" i="133"/>
  <c r="L865" i="133"/>
  <c r="L864" i="133"/>
  <c r="L863" i="133"/>
  <c r="L862" i="133"/>
  <c r="L861" i="133"/>
  <c r="L860" i="133"/>
  <c r="L859" i="133"/>
  <c r="L858" i="133"/>
  <c r="L857" i="133"/>
  <c r="L856" i="133"/>
  <c r="L855" i="133"/>
  <c r="L854" i="133"/>
  <c r="L853" i="133"/>
  <c r="L852" i="133"/>
  <c r="L851" i="133"/>
  <c r="L850" i="133"/>
  <c r="L849" i="133"/>
  <c r="L848" i="133"/>
  <c r="L847" i="133"/>
  <c r="L846" i="133"/>
  <c r="L845" i="133"/>
  <c r="L844" i="133"/>
  <c r="L843" i="133"/>
  <c r="L842" i="133"/>
  <c r="L841" i="133"/>
  <c r="L840" i="133"/>
  <c r="L839" i="133"/>
  <c r="L838" i="133"/>
  <c r="L837" i="133"/>
  <c r="L836" i="133"/>
  <c r="L835" i="133"/>
  <c r="L834" i="133"/>
  <c r="L833" i="133"/>
  <c r="L832" i="133"/>
  <c r="L831" i="133"/>
  <c r="L830" i="133"/>
  <c r="L829" i="133"/>
  <c r="L828" i="133"/>
  <c r="L827" i="133"/>
  <c r="L826" i="133"/>
  <c r="L825" i="133"/>
  <c r="L824" i="133"/>
  <c r="L823" i="133"/>
  <c r="L822" i="133"/>
  <c r="L821" i="133"/>
  <c r="L820" i="133"/>
  <c r="L819" i="133"/>
  <c r="L818" i="133"/>
  <c r="L817" i="133"/>
  <c r="L816" i="133"/>
  <c r="L815" i="133"/>
  <c r="L814" i="133"/>
  <c r="L813" i="133"/>
  <c r="L812" i="133"/>
  <c r="L811" i="133"/>
  <c r="L810" i="133"/>
  <c r="L809" i="133"/>
  <c r="L808" i="133"/>
  <c r="L807" i="133"/>
  <c r="L806" i="133"/>
  <c r="L805" i="133"/>
  <c r="L804" i="133"/>
  <c r="L803" i="133"/>
  <c r="L802" i="133"/>
  <c r="L801" i="133"/>
  <c r="L800" i="133"/>
  <c r="L799" i="133"/>
  <c r="L798" i="133"/>
  <c r="L797" i="133"/>
  <c r="L796" i="133"/>
  <c r="L795" i="133"/>
  <c r="L794" i="133"/>
  <c r="L793" i="133"/>
  <c r="L792" i="133"/>
  <c r="L791" i="133"/>
  <c r="L790" i="133"/>
  <c r="L789" i="133"/>
  <c r="L788" i="133"/>
  <c r="L787" i="133"/>
  <c r="L786" i="133"/>
  <c r="L785" i="133"/>
  <c r="L784" i="133"/>
  <c r="L783" i="133"/>
  <c r="L782" i="133"/>
  <c r="L781" i="133"/>
  <c r="L780" i="133"/>
  <c r="L779" i="133"/>
  <c r="L778" i="133"/>
  <c r="L777" i="133"/>
  <c r="L776" i="133"/>
  <c r="L775" i="133"/>
  <c r="L774" i="133"/>
  <c r="L773" i="133"/>
  <c r="L772" i="133"/>
  <c r="L771" i="133"/>
  <c r="L770" i="133"/>
  <c r="L769" i="133"/>
  <c r="L768" i="133"/>
  <c r="L767" i="133"/>
  <c r="L766" i="133"/>
  <c r="L765" i="133"/>
  <c r="L764" i="133"/>
  <c r="L763" i="133"/>
  <c r="L762" i="133"/>
  <c r="L761" i="133"/>
  <c r="L760" i="133"/>
  <c r="L759" i="133"/>
  <c r="L758" i="133"/>
  <c r="L757" i="133"/>
  <c r="L756" i="133"/>
  <c r="L755" i="133"/>
  <c r="L754" i="133"/>
  <c r="L753" i="133"/>
  <c r="L752" i="133"/>
  <c r="L751" i="133"/>
  <c r="L750" i="133"/>
  <c r="L749" i="133"/>
  <c r="L748" i="133"/>
  <c r="L747" i="133"/>
  <c r="L746" i="133"/>
  <c r="L745" i="133"/>
  <c r="L744" i="133"/>
  <c r="L743" i="133"/>
  <c r="L742" i="133"/>
  <c r="L741" i="133"/>
  <c r="L740" i="133"/>
  <c r="L739" i="133"/>
  <c r="L738" i="133"/>
  <c r="L737" i="133"/>
  <c r="L736" i="133"/>
  <c r="L735" i="133"/>
  <c r="L734" i="133"/>
  <c r="L733" i="133"/>
  <c r="L732" i="133"/>
  <c r="L731" i="133"/>
  <c r="L730" i="133"/>
  <c r="L729" i="133"/>
  <c r="L728" i="133"/>
  <c r="L727" i="133"/>
  <c r="L726" i="133"/>
  <c r="L725" i="133"/>
  <c r="L724" i="133"/>
  <c r="L723" i="133"/>
  <c r="L722" i="133"/>
  <c r="L721" i="133"/>
  <c r="L720" i="133"/>
  <c r="L719" i="133"/>
  <c r="L718" i="133"/>
  <c r="L717" i="133"/>
  <c r="L716" i="133"/>
  <c r="L715" i="133"/>
  <c r="L714" i="133"/>
  <c r="L713" i="133"/>
  <c r="L712" i="133"/>
  <c r="L711" i="133"/>
  <c r="L710" i="133"/>
  <c r="L709" i="133"/>
  <c r="L708" i="133"/>
  <c r="L707" i="133"/>
  <c r="L706" i="133"/>
  <c r="L705" i="133"/>
  <c r="L704" i="133"/>
  <c r="L703" i="133"/>
  <c r="L702" i="133"/>
  <c r="L701" i="133"/>
  <c r="L700" i="133"/>
  <c r="L699" i="133"/>
  <c r="L698" i="133"/>
  <c r="L697" i="133"/>
  <c r="L696" i="133"/>
  <c r="L695" i="133"/>
  <c r="L694" i="133"/>
  <c r="L693" i="133"/>
  <c r="L692" i="133"/>
  <c r="L691" i="133"/>
  <c r="L690" i="133"/>
  <c r="L689" i="133"/>
  <c r="L688" i="133"/>
  <c r="L687" i="133"/>
  <c r="L686" i="133"/>
  <c r="L685" i="133"/>
  <c r="L684" i="133"/>
  <c r="L683" i="133"/>
  <c r="L682" i="133"/>
  <c r="L681" i="133"/>
  <c r="L680" i="133"/>
  <c r="L679" i="133"/>
  <c r="L678" i="133"/>
  <c r="L677" i="133"/>
  <c r="L676" i="133"/>
  <c r="L675" i="133"/>
  <c r="L674" i="133"/>
  <c r="L673" i="133"/>
  <c r="L672" i="133"/>
  <c r="L671" i="133"/>
  <c r="L670" i="133"/>
  <c r="L669" i="133"/>
  <c r="L668" i="133"/>
  <c r="L667" i="133"/>
  <c r="L666" i="133"/>
  <c r="L665" i="133"/>
  <c r="L664" i="133"/>
  <c r="L663" i="133"/>
  <c r="L662" i="133"/>
  <c r="L661" i="133"/>
  <c r="L660" i="133"/>
  <c r="L659" i="133"/>
  <c r="L658" i="133"/>
  <c r="L657" i="133"/>
  <c r="L656" i="133"/>
  <c r="L655" i="133"/>
  <c r="L654" i="133"/>
  <c r="L653" i="133"/>
  <c r="L652" i="133"/>
  <c r="L651" i="133"/>
  <c r="L650" i="133"/>
  <c r="L649" i="133"/>
  <c r="L648" i="133"/>
  <c r="L647" i="133"/>
  <c r="L646" i="133"/>
  <c r="L645" i="133"/>
  <c r="L644" i="133"/>
  <c r="L643" i="133"/>
  <c r="L642" i="133"/>
  <c r="L641" i="133"/>
  <c r="L640" i="133"/>
  <c r="L639" i="133"/>
  <c r="L638" i="133"/>
  <c r="L637" i="133"/>
  <c r="L636" i="133"/>
  <c r="L635" i="133"/>
  <c r="L634" i="133"/>
  <c r="L633" i="133"/>
  <c r="L632" i="133"/>
  <c r="L631" i="133"/>
  <c r="L630" i="133"/>
  <c r="L629" i="133"/>
  <c r="L628" i="133"/>
  <c r="L627" i="133"/>
  <c r="L626" i="133"/>
  <c r="L625" i="133"/>
  <c r="L624" i="133"/>
  <c r="L623" i="133"/>
  <c r="L622" i="133"/>
  <c r="L621" i="133"/>
  <c r="L620" i="133"/>
  <c r="L619" i="133"/>
  <c r="L618" i="133"/>
  <c r="L617" i="133"/>
  <c r="L616" i="133"/>
  <c r="L615" i="133"/>
  <c r="L614" i="133"/>
  <c r="L613" i="133"/>
  <c r="L612" i="133"/>
  <c r="L611" i="133"/>
  <c r="L610" i="133"/>
  <c r="L609" i="133"/>
  <c r="L608" i="133"/>
  <c r="L607" i="133"/>
  <c r="L606" i="133"/>
  <c r="L605" i="133"/>
  <c r="L604" i="133"/>
  <c r="L603" i="133"/>
  <c r="L602" i="133"/>
  <c r="L601" i="133"/>
  <c r="L600" i="133"/>
  <c r="L599" i="133"/>
  <c r="L598" i="133"/>
  <c r="L597" i="133"/>
  <c r="L596" i="133"/>
  <c r="L595" i="133"/>
  <c r="L594" i="133"/>
  <c r="L593" i="133"/>
  <c r="L592" i="133"/>
  <c r="L591" i="133"/>
  <c r="L590" i="133"/>
  <c r="L589" i="133"/>
  <c r="L588" i="133"/>
  <c r="L587" i="133"/>
  <c r="L586" i="133"/>
  <c r="L585" i="133"/>
  <c r="L584" i="133"/>
  <c r="L583" i="133"/>
  <c r="L582" i="133"/>
  <c r="L581" i="133"/>
  <c r="L580" i="133"/>
  <c r="L579" i="133"/>
  <c r="L578" i="133"/>
  <c r="L577" i="133"/>
  <c r="L576" i="133"/>
  <c r="L575" i="133"/>
  <c r="L574" i="133"/>
  <c r="L573" i="133"/>
  <c r="L572" i="133"/>
  <c r="L571" i="133"/>
  <c r="L570" i="133"/>
  <c r="L569" i="133"/>
  <c r="L568" i="133"/>
  <c r="L567" i="133"/>
  <c r="L566" i="133"/>
  <c r="L565" i="133"/>
  <c r="L564" i="133"/>
  <c r="L563" i="133"/>
  <c r="L562" i="133"/>
  <c r="L561" i="133"/>
  <c r="L560" i="133"/>
  <c r="L559" i="133"/>
  <c r="L558" i="133"/>
  <c r="L557" i="133"/>
  <c r="L556" i="133"/>
  <c r="L555" i="133"/>
  <c r="L554" i="133"/>
  <c r="L553" i="133"/>
  <c r="L552" i="133"/>
  <c r="L551" i="133"/>
  <c r="L550" i="133"/>
  <c r="L549" i="133"/>
  <c r="L548" i="133"/>
  <c r="L547" i="133"/>
  <c r="L546" i="133"/>
  <c r="L545" i="133"/>
  <c r="L544" i="133"/>
  <c r="L543" i="133"/>
  <c r="L542" i="133"/>
  <c r="L541" i="133"/>
  <c r="L540" i="133"/>
  <c r="L539" i="133"/>
  <c r="L538" i="133"/>
  <c r="L537" i="133"/>
  <c r="L536" i="133"/>
  <c r="L535" i="133"/>
  <c r="L534" i="133"/>
  <c r="L533" i="133"/>
  <c r="L532" i="133"/>
  <c r="L531" i="133"/>
  <c r="L530" i="133"/>
  <c r="L529" i="133"/>
  <c r="L528" i="133"/>
  <c r="L527" i="133"/>
  <c r="L526" i="133"/>
  <c r="L525" i="133"/>
  <c r="L524" i="133"/>
  <c r="L523" i="133"/>
  <c r="L522" i="133"/>
  <c r="L521" i="133"/>
  <c r="L520" i="133"/>
  <c r="L519" i="133"/>
  <c r="L518" i="133"/>
  <c r="L517" i="133"/>
  <c r="L516" i="133"/>
  <c r="L515" i="133"/>
  <c r="L514" i="133"/>
  <c r="L513" i="133"/>
  <c r="L512" i="133"/>
  <c r="L511" i="133"/>
  <c r="L510" i="133"/>
  <c r="L509" i="133"/>
  <c r="L508" i="133"/>
  <c r="L507" i="133"/>
  <c r="L506" i="133"/>
  <c r="L505" i="133"/>
  <c r="L504" i="133"/>
  <c r="L503" i="133"/>
  <c r="L502" i="133"/>
  <c r="L501" i="133"/>
  <c r="L500" i="133"/>
  <c r="L499" i="133"/>
  <c r="L498" i="133"/>
  <c r="L497" i="133"/>
  <c r="L496" i="133"/>
  <c r="L495" i="133"/>
  <c r="L494" i="133"/>
  <c r="L493" i="133"/>
  <c r="L492" i="133"/>
  <c r="L491" i="133"/>
  <c r="L490" i="133"/>
  <c r="L489" i="133"/>
  <c r="L488" i="133"/>
  <c r="L487" i="133"/>
  <c r="L486" i="133"/>
  <c r="L485" i="133"/>
  <c r="L484" i="133"/>
  <c r="L483" i="133"/>
  <c r="L482" i="133"/>
  <c r="L481" i="133"/>
  <c r="L480" i="133"/>
  <c r="L479" i="133"/>
  <c r="L478" i="133"/>
  <c r="L477" i="133"/>
  <c r="L476" i="133"/>
  <c r="L475" i="133"/>
  <c r="L474" i="133"/>
  <c r="L473" i="133"/>
  <c r="L472" i="133"/>
  <c r="L471" i="133"/>
  <c r="L470" i="133"/>
  <c r="L469" i="133"/>
  <c r="L468" i="133"/>
  <c r="L467" i="133"/>
  <c r="L466" i="133"/>
  <c r="L465" i="133"/>
  <c r="L464" i="133"/>
  <c r="L463" i="133"/>
  <c r="L462" i="133"/>
  <c r="L461" i="133"/>
  <c r="L460" i="133"/>
  <c r="L459" i="133"/>
  <c r="L458" i="133"/>
  <c r="L457" i="133"/>
  <c r="L456" i="133"/>
  <c r="L455" i="133"/>
  <c r="L454" i="133"/>
  <c r="L453" i="133"/>
  <c r="L452" i="133"/>
  <c r="L451" i="133"/>
  <c r="L450" i="133"/>
  <c r="L449" i="133"/>
  <c r="L448" i="133"/>
  <c r="L447" i="133"/>
  <c r="L446" i="133"/>
  <c r="L445" i="133"/>
  <c r="L444" i="133"/>
  <c r="L443" i="133"/>
  <c r="L442" i="133"/>
  <c r="L441" i="133"/>
  <c r="L440" i="133"/>
  <c r="L439" i="133"/>
  <c r="L438" i="133"/>
  <c r="L437" i="133"/>
  <c r="L436" i="133"/>
  <c r="L435" i="133"/>
  <c r="L434" i="133"/>
  <c r="L433" i="133"/>
  <c r="L432" i="133"/>
  <c r="L431" i="133"/>
  <c r="L430" i="133"/>
  <c r="L429" i="133"/>
  <c r="L428" i="133"/>
  <c r="L427" i="133"/>
  <c r="L426" i="133"/>
  <c r="L425" i="133"/>
  <c r="L424" i="133"/>
  <c r="L423" i="133"/>
  <c r="L422" i="133"/>
  <c r="L421" i="133"/>
  <c r="L420" i="133"/>
  <c r="L419" i="133"/>
  <c r="L418" i="133"/>
  <c r="L417" i="133"/>
  <c r="L416" i="133"/>
  <c r="L415" i="133"/>
  <c r="L414" i="133"/>
  <c r="L413" i="133"/>
  <c r="L412" i="133"/>
  <c r="L411" i="133"/>
  <c r="L410" i="133"/>
  <c r="L409" i="133"/>
  <c r="L408" i="133"/>
  <c r="L407" i="133"/>
  <c r="L406" i="133"/>
  <c r="L405" i="133"/>
  <c r="L404" i="133"/>
  <c r="L403" i="133"/>
  <c r="L402" i="133"/>
  <c r="L401" i="133"/>
  <c r="L400" i="133"/>
  <c r="L399" i="133"/>
  <c r="L398" i="133"/>
  <c r="L397" i="133"/>
  <c r="L396" i="133"/>
  <c r="L395" i="133"/>
  <c r="L394" i="133"/>
  <c r="L393" i="133"/>
  <c r="L392" i="133"/>
  <c r="L391" i="133"/>
  <c r="L390" i="133"/>
  <c r="L389" i="133"/>
  <c r="L388" i="133"/>
  <c r="L387" i="133"/>
  <c r="L386" i="133"/>
  <c r="L385" i="133"/>
  <c r="L384" i="133"/>
  <c r="L383" i="133"/>
  <c r="L382" i="133"/>
  <c r="L381" i="133"/>
  <c r="L3" i="133"/>
  <c r="L4" i="133"/>
  <c r="L5" i="133"/>
  <c r="L6" i="133"/>
  <c r="L7" i="133"/>
  <c r="L8" i="133"/>
  <c r="L9" i="133"/>
  <c r="L10" i="133"/>
  <c r="L11" i="133"/>
  <c r="L12" i="133"/>
  <c r="L13" i="133"/>
  <c r="L14" i="133"/>
  <c r="L15" i="133"/>
  <c r="L16" i="133"/>
  <c r="L17" i="133"/>
  <c r="L18" i="133"/>
  <c r="L19" i="133"/>
  <c r="L20" i="133"/>
  <c r="L21" i="133"/>
  <c r="L22" i="133"/>
  <c r="L23" i="133"/>
  <c r="L24" i="133"/>
  <c r="L25" i="133"/>
  <c r="L26" i="133"/>
  <c r="L27" i="133"/>
  <c r="L28" i="133"/>
  <c r="L29" i="133"/>
  <c r="L30" i="133"/>
  <c r="L31" i="133"/>
  <c r="L32" i="133"/>
  <c r="L33" i="133"/>
  <c r="L34" i="133"/>
  <c r="L35" i="133"/>
  <c r="L36" i="133"/>
  <c r="L37" i="133"/>
  <c r="L38" i="133"/>
  <c r="L39" i="133"/>
  <c r="L40" i="133"/>
  <c r="L41" i="133"/>
  <c r="L42" i="133"/>
  <c r="L43" i="133"/>
  <c r="L44" i="133"/>
  <c r="L45" i="133"/>
  <c r="L46" i="133"/>
  <c r="L47" i="133"/>
  <c r="L48" i="133"/>
  <c r="L49" i="133"/>
  <c r="L50" i="133"/>
  <c r="L51" i="133"/>
  <c r="L52" i="133"/>
  <c r="L53" i="133"/>
  <c r="L54" i="133"/>
  <c r="L55" i="133"/>
  <c r="L56" i="133"/>
  <c r="L57" i="133"/>
  <c r="L58" i="133"/>
  <c r="L59" i="133"/>
  <c r="L60" i="133"/>
  <c r="L61" i="133"/>
  <c r="L62" i="133"/>
  <c r="L63" i="133"/>
  <c r="L64" i="133"/>
  <c r="L65" i="133"/>
  <c r="L66" i="133"/>
  <c r="L67" i="133"/>
  <c r="L68" i="133"/>
  <c r="L69" i="133"/>
  <c r="L70" i="133"/>
  <c r="L71" i="133"/>
  <c r="L72" i="133"/>
  <c r="L73" i="133"/>
  <c r="L74" i="133"/>
  <c r="L75" i="133"/>
  <c r="L76" i="133"/>
  <c r="L77" i="133"/>
  <c r="L78" i="133"/>
  <c r="L79" i="133"/>
  <c r="L80" i="133"/>
  <c r="L81" i="133"/>
  <c r="L82" i="133"/>
  <c r="L83" i="133"/>
  <c r="L84" i="133"/>
  <c r="L85" i="133"/>
  <c r="L86" i="133"/>
  <c r="L87" i="133"/>
  <c r="L88" i="133"/>
  <c r="L89" i="133"/>
  <c r="L90" i="133"/>
  <c r="L91" i="133"/>
  <c r="L92" i="133"/>
  <c r="L93" i="133"/>
  <c r="L94" i="133"/>
  <c r="L95" i="133"/>
  <c r="L96" i="133"/>
  <c r="L97" i="133"/>
  <c r="L98" i="133"/>
  <c r="L99" i="133"/>
  <c r="L100" i="133"/>
  <c r="L101" i="133"/>
  <c r="L102" i="133"/>
  <c r="L103" i="133"/>
  <c r="L104" i="133"/>
  <c r="L105" i="133"/>
  <c r="L106" i="133"/>
  <c r="L107" i="133"/>
  <c r="L108" i="133"/>
  <c r="L109" i="133"/>
  <c r="L110" i="133"/>
  <c r="L111" i="133"/>
  <c r="L112" i="133"/>
  <c r="L113" i="133"/>
  <c r="L114" i="133"/>
  <c r="L115" i="133"/>
  <c r="L116" i="133"/>
  <c r="L117" i="133"/>
  <c r="L118" i="133"/>
  <c r="L119" i="133"/>
  <c r="L120" i="133"/>
  <c r="L121" i="133"/>
  <c r="L122" i="133"/>
  <c r="L123" i="133"/>
  <c r="L124" i="133"/>
  <c r="L125" i="133"/>
  <c r="L126" i="133"/>
  <c r="L127" i="133"/>
  <c r="L128" i="133"/>
  <c r="L129" i="133"/>
  <c r="L130" i="133"/>
  <c r="L131" i="133"/>
  <c r="L132" i="133"/>
  <c r="L133" i="133"/>
  <c r="L134" i="133"/>
  <c r="L135" i="133"/>
  <c r="L136" i="133"/>
  <c r="L137" i="133"/>
  <c r="L138" i="133"/>
  <c r="L139" i="133"/>
  <c r="L140" i="133"/>
  <c r="L141" i="133"/>
  <c r="L142" i="133"/>
  <c r="L143" i="133"/>
  <c r="L144" i="133"/>
  <c r="L145" i="133"/>
  <c r="L146" i="133"/>
  <c r="L147" i="133"/>
  <c r="L148" i="133"/>
  <c r="L149" i="133"/>
  <c r="L150" i="133"/>
  <c r="L151" i="133"/>
  <c r="L152" i="133"/>
  <c r="L153" i="133"/>
  <c r="L154" i="133"/>
  <c r="L155" i="133"/>
  <c r="L156" i="133"/>
  <c r="L157" i="133"/>
  <c r="L158" i="133"/>
  <c r="L159" i="133"/>
  <c r="L160" i="133"/>
  <c r="L161" i="133"/>
  <c r="L162" i="133"/>
  <c r="L163" i="133"/>
  <c r="L164" i="133"/>
  <c r="L165" i="133"/>
  <c r="L166" i="133"/>
  <c r="L167" i="133"/>
  <c r="L168" i="133"/>
  <c r="L169" i="133"/>
  <c r="L170" i="133"/>
  <c r="L171" i="133"/>
  <c r="L172" i="133"/>
  <c r="L173" i="133"/>
  <c r="L174" i="133"/>
  <c r="L175" i="133"/>
  <c r="L176" i="133"/>
  <c r="L177" i="133"/>
  <c r="L178" i="133"/>
  <c r="L179" i="133"/>
  <c r="L180" i="133"/>
  <c r="L181" i="133"/>
  <c r="L182" i="133"/>
  <c r="L183" i="133"/>
  <c r="L184" i="133"/>
  <c r="L185" i="133"/>
  <c r="L186" i="133"/>
  <c r="L187" i="133"/>
  <c r="L188" i="133"/>
  <c r="L189" i="133"/>
  <c r="L190" i="133"/>
  <c r="L191" i="133"/>
  <c r="L192" i="133"/>
  <c r="L193" i="133"/>
  <c r="L194" i="133"/>
  <c r="L195" i="133"/>
  <c r="L196" i="133"/>
  <c r="L197" i="133"/>
  <c r="L198" i="133"/>
  <c r="L199" i="133"/>
  <c r="L200" i="133"/>
  <c r="L201" i="133"/>
  <c r="L202" i="133"/>
  <c r="L203" i="133"/>
  <c r="L204" i="133"/>
  <c r="L205" i="133"/>
  <c r="L206" i="133"/>
  <c r="L207" i="133"/>
  <c r="L208" i="133"/>
  <c r="L209" i="133"/>
  <c r="L210" i="133"/>
  <c r="L211" i="133"/>
  <c r="L212" i="133"/>
  <c r="L213" i="133"/>
  <c r="L214" i="133"/>
  <c r="L215" i="133"/>
  <c r="L216" i="133"/>
  <c r="L217" i="133"/>
  <c r="L218" i="133"/>
  <c r="L219" i="133"/>
  <c r="L220" i="133"/>
  <c r="L221" i="133"/>
  <c r="L222" i="133"/>
  <c r="L223" i="133"/>
  <c r="L224" i="133"/>
  <c r="L225" i="133"/>
  <c r="L226" i="133"/>
  <c r="L227" i="133"/>
  <c r="L228" i="133"/>
  <c r="L229" i="133"/>
  <c r="L230" i="133"/>
  <c r="L231" i="133"/>
  <c r="L232" i="133"/>
  <c r="L233" i="133"/>
  <c r="L234" i="133"/>
  <c r="L235" i="133"/>
  <c r="L236" i="133"/>
  <c r="L237" i="133"/>
  <c r="L238" i="133"/>
  <c r="L239" i="133"/>
  <c r="L240" i="133"/>
  <c r="L241" i="133"/>
  <c r="L242" i="133"/>
  <c r="L243" i="133"/>
  <c r="L244" i="133"/>
  <c r="L245" i="133"/>
  <c r="L246" i="133"/>
  <c r="L247" i="133"/>
  <c r="L248" i="133"/>
  <c r="L249" i="133"/>
  <c r="L250" i="133"/>
  <c r="L251" i="133"/>
  <c r="L252" i="133"/>
  <c r="L253" i="133"/>
  <c r="L254" i="133"/>
  <c r="L255" i="133"/>
  <c r="L256" i="133"/>
  <c r="L257" i="133"/>
  <c r="L258" i="133"/>
  <c r="L259" i="133"/>
  <c r="L260" i="133"/>
  <c r="L261" i="133"/>
  <c r="L262" i="133"/>
  <c r="L263" i="133"/>
  <c r="L264" i="133"/>
  <c r="L265" i="133"/>
  <c r="L266" i="133"/>
  <c r="L267" i="133"/>
  <c r="L268" i="133"/>
  <c r="L269" i="133"/>
  <c r="L270" i="133"/>
  <c r="L271" i="133"/>
  <c r="L272" i="133"/>
  <c r="L273" i="133"/>
  <c r="L274" i="133"/>
  <c r="L275" i="133"/>
  <c r="L276" i="133"/>
  <c r="L277" i="133"/>
  <c r="L278" i="133"/>
  <c r="L279" i="133"/>
  <c r="L280" i="133"/>
  <c r="L281" i="133"/>
  <c r="L282" i="133"/>
  <c r="L283" i="133"/>
  <c r="L284" i="133"/>
  <c r="L285" i="133"/>
  <c r="L286" i="133"/>
  <c r="L287" i="133"/>
  <c r="L288" i="133"/>
  <c r="L289" i="133"/>
  <c r="L290" i="133"/>
  <c r="L291" i="133"/>
  <c r="L292" i="133"/>
  <c r="L293" i="133"/>
  <c r="L294" i="133"/>
  <c r="L295" i="133"/>
  <c r="L296" i="133"/>
  <c r="L297" i="133"/>
  <c r="L298" i="133"/>
  <c r="L299" i="133"/>
  <c r="L300" i="133"/>
  <c r="L301" i="133"/>
  <c r="L302" i="133"/>
  <c r="L303" i="133"/>
  <c r="L304" i="133"/>
  <c r="L305" i="133"/>
  <c r="L306" i="133"/>
  <c r="L307" i="133"/>
  <c r="L308" i="133"/>
  <c r="L309" i="133"/>
  <c r="L310" i="133"/>
  <c r="L311" i="133"/>
  <c r="L312" i="133"/>
  <c r="L313" i="133"/>
  <c r="L314" i="133"/>
  <c r="L315" i="133"/>
  <c r="L316" i="133"/>
  <c r="L317" i="133"/>
  <c r="L318" i="133"/>
  <c r="L319" i="133"/>
  <c r="L320" i="133"/>
  <c r="L321" i="133"/>
  <c r="L322" i="133"/>
  <c r="L323" i="133"/>
  <c r="L324" i="133"/>
  <c r="L325" i="133"/>
  <c r="L326" i="133"/>
  <c r="L327" i="133"/>
  <c r="L328" i="133"/>
  <c r="L329" i="133"/>
  <c r="L330" i="133"/>
  <c r="L331" i="133"/>
  <c r="L332" i="133"/>
  <c r="L333" i="133"/>
  <c r="L334" i="133"/>
  <c r="L335" i="133"/>
  <c r="L336" i="133"/>
  <c r="L337" i="133"/>
  <c r="L338" i="133"/>
  <c r="L339" i="133"/>
  <c r="L340" i="133"/>
  <c r="L341" i="133"/>
  <c r="L342" i="133"/>
  <c r="L343" i="133"/>
  <c r="L344" i="133"/>
  <c r="L345" i="133"/>
  <c r="L346" i="133"/>
  <c r="L347" i="133"/>
  <c r="L348" i="133"/>
  <c r="L349" i="133"/>
  <c r="L350" i="133"/>
  <c r="L351" i="133"/>
  <c r="L352" i="133"/>
  <c r="L353" i="133"/>
  <c r="L354" i="133"/>
  <c r="L355" i="133"/>
  <c r="L356" i="133"/>
  <c r="L357" i="133"/>
  <c r="L358" i="133"/>
  <c r="L359" i="133"/>
  <c r="L360" i="133"/>
  <c r="L361" i="133"/>
  <c r="L362" i="133"/>
  <c r="L363" i="133"/>
  <c r="L364" i="133"/>
  <c r="L365" i="133"/>
  <c r="L366" i="133"/>
  <c r="L367" i="133"/>
  <c r="L368" i="133"/>
  <c r="L369" i="133"/>
  <c r="L370" i="133"/>
  <c r="L371" i="133"/>
  <c r="L372" i="133"/>
  <c r="L373" i="133"/>
  <c r="L374" i="133"/>
  <c r="L375" i="133"/>
  <c r="L376" i="133"/>
  <c r="L377" i="133"/>
  <c r="L378" i="133"/>
  <c r="L379" i="133"/>
  <c r="L380" i="133"/>
  <c r="L2" i="133"/>
  <c r="C2030" i="133"/>
  <c r="C2026" i="133"/>
  <c r="C2022" i="133"/>
  <c r="C2018" i="133"/>
  <c r="C2014" i="133"/>
  <c r="C2010" i="133"/>
  <c r="C2006" i="133"/>
  <c r="C2002" i="133"/>
  <c r="C2027" i="133"/>
  <c r="C2003" i="133"/>
  <c r="C2033" i="133"/>
  <c r="C2029" i="133"/>
  <c r="C2025" i="133"/>
  <c r="C2021" i="133"/>
  <c r="C2017" i="133"/>
  <c r="C2013" i="133"/>
  <c r="C2009" i="133"/>
  <c r="C2005" i="133"/>
  <c r="C2023" i="133"/>
  <c r="C2032" i="133"/>
  <c r="C2028" i="133"/>
  <c r="C2024" i="133"/>
  <c r="C2020" i="133"/>
  <c r="C2016" i="133"/>
  <c r="C2012" i="133"/>
  <c r="C2008" i="133"/>
  <c r="C2004" i="133"/>
  <c r="C2031" i="133"/>
  <c r="C2019" i="133"/>
  <c r="C2015" i="133"/>
  <c r="C2011" i="133"/>
  <c r="C2007" i="133"/>
  <c r="C2000" i="133"/>
  <c r="C1996" i="133"/>
  <c r="C1992" i="133"/>
  <c r="C1988" i="133"/>
  <c r="C1984" i="133"/>
  <c r="C1980" i="133"/>
  <c r="C1976" i="133"/>
  <c r="C1972" i="133"/>
  <c r="C1968" i="133"/>
  <c r="C1964" i="133"/>
  <c r="C1960" i="133"/>
  <c r="C1956" i="133"/>
  <c r="C1952" i="133"/>
  <c r="C1948" i="133"/>
  <c r="C1944" i="133"/>
  <c r="C1940" i="133"/>
  <c r="C1936" i="133"/>
  <c r="C1932" i="133"/>
  <c r="C1928" i="133"/>
  <c r="C1924" i="133"/>
  <c r="C1920" i="133"/>
  <c r="C1916" i="133"/>
  <c r="C1912" i="133"/>
  <c r="C1908" i="133"/>
  <c r="C1904" i="133"/>
  <c r="C1900" i="133"/>
  <c r="C1896" i="133"/>
  <c r="C1892" i="133"/>
  <c r="C1888" i="133"/>
  <c r="C1884" i="133"/>
  <c r="C1880" i="133"/>
  <c r="C1876" i="133"/>
  <c r="C1872" i="133"/>
  <c r="C1868" i="133"/>
  <c r="C1864" i="133"/>
  <c r="C1860" i="133"/>
  <c r="C1856" i="133"/>
  <c r="C1852" i="133"/>
  <c r="C1848" i="133"/>
  <c r="C1844" i="133"/>
  <c r="C1840" i="133"/>
  <c r="C1836" i="133"/>
  <c r="C1832" i="133"/>
  <c r="C1828" i="133"/>
  <c r="C1824" i="133"/>
  <c r="C1820" i="133"/>
  <c r="C1816" i="133"/>
  <c r="C1812" i="133"/>
  <c r="C1808" i="133"/>
  <c r="C1804" i="133"/>
  <c r="C1800" i="133"/>
  <c r="C1796" i="133"/>
  <c r="C1792" i="133"/>
  <c r="C1788" i="133"/>
  <c r="C1784" i="133"/>
  <c r="C1780" i="133"/>
  <c r="C1776" i="133"/>
  <c r="C1772" i="133"/>
  <c r="C1768" i="133"/>
  <c r="C1764" i="133"/>
  <c r="C1760" i="133"/>
  <c r="C1756" i="133"/>
  <c r="C1752" i="133"/>
  <c r="C1748" i="133"/>
  <c r="C1744" i="133"/>
  <c r="C1740" i="133"/>
  <c r="C1736" i="133"/>
  <c r="C1732" i="133"/>
  <c r="C1728" i="133"/>
  <c r="C1724" i="133"/>
  <c r="C1720" i="133"/>
  <c r="C1716" i="133"/>
  <c r="C1712" i="133"/>
  <c r="C1708" i="133"/>
  <c r="C1704" i="133"/>
  <c r="C1700" i="133"/>
  <c r="C1696" i="133"/>
  <c r="C1692" i="133"/>
  <c r="C1688" i="133"/>
  <c r="C1684" i="133"/>
  <c r="C1680" i="133"/>
  <c r="C1676" i="133"/>
  <c r="C1672" i="133"/>
  <c r="C1668" i="133"/>
  <c r="C1664" i="133"/>
  <c r="C1660" i="133"/>
  <c r="C1656" i="133"/>
  <c r="C1652" i="133"/>
  <c r="C1648" i="133"/>
  <c r="C1644" i="133"/>
  <c r="C1640" i="133"/>
  <c r="C1636" i="133"/>
  <c r="C1632" i="133"/>
  <c r="C1628" i="133"/>
  <c r="C1624" i="133"/>
  <c r="C1620" i="133"/>
  <c r="C1616" i="133"/>
  <c r="C1612" i="133"/>
  <c r="C1608" i="133"/>
  <c r="C1604" i="133"/>
  <c r="C1600" i="133"/>
  <c r="C1596" i="133"/>
  <c r="C1592" i="133"/>
  <c r="C1588" i="133"/>
  <c r="C1584" i="133"/>
  <c r="C1580" i="133"/>
  <c r="C1576" i="133"/>
  <c r="C1572" i="133"/>
  <c r="C1568" i="133"/>
  <c r="C1564" i="133"/>
  <c r="C1560" i="133"/>
  <c r="C1556" i="133"/>
  <c r="C1552" i="133"/>
  <c r="C1548" i="133"/>
  <c r="C1544" i="133"/>
  <c r="C1540" i="133"/>
  <c r="C1536" i="133"/>
  <c r="C1532" i="133"/>
  <c r="C1528" i="133"/>
  <c r="C1524" i="133"/>
  <c r="C1520" i="133"/>
  <c r="C1516" i="133"/>
  <c r="C1512" i="133"/>
  <c r="C1508" i="133"/>
  <c r="C1504" i="133"/>
  <c r="C1500" i="133"/>
  <c r="C1496" i="133"/>
  <c r="C1999" i="133"/>
  <c r="C1995" i="133"/>
  <c r="C1991" i="133"/>
  <c r="C1987" i="133"/>
  <c r="C1983" i="133"/>
  <c r="C1979" i="133"/>
  <c r="C1975" i="133"/>
  <c r="C1971" i="133"/>
  <c r="C1967" i="133"/>
  <c r="C1963" i="133"/>
  <c r="C1959" i="133"/>
  <c r="C1955" i="133"/>
  <c r="C1951" i="133"/>
  <c r="C1947" i="133"/>
  <c r="C1943" i="133"/>
  <c r="C1939" i="133"/>
  <c r="C1935" i="133"/>
  <c r="C1931" i="133"/>
  <c r="C1927" i="133"/>
  <c r="C1923" i="133"/>
  <c r="C1919" i="133"/>
  <c r="C1915" i="133"/>
  <c r="C1911" i="133"/>
  <c r="C1907" i="133"/>
  <c r="C1903" i="133"/>
  <c r="C1899" i="133"/>
  <c r="C1895" i="133"/>
  <c r="C1891" i="133"/>
  <c r="C1887" i="133"/>
  <c r="C1883" i="133"/>
  <c r="C1879" i="133"/>
  <c r="C1875" i="133"/>
  <c r="C1871" i="133"/>
  <c r="C1867" i="133"/>
  <c r="C1863" i="133"/>
  <c r="C1859" i="133"/>
  <c r="C1855" i="133"/>
  <c r="C1851" i="133"/>
  <c r="C1847" i="133"/>
  <c r="C1843" i="133"/>
  <c r="C1839" i="133"/>
  <c r="C1835" i="133"/>
  <c r="C1831" i="133"/>
  <c r="C1827" i="133"/>
  <c r="C1823" i="133"/>
  <c r="C1819" i="133"/>
  <c r="C1815" i="133"/>
  <c r="C1811" i="133"/>
  <c r="C1807" i="133"/>
  <c r="C1803" i="133"/>
  <c r="C1799" i="133"/>
  <c r="C1795" i="133"/>
  <c r="C1791" i="133"/>
  <c r="C1787" i="133"/>
  <c r="C1783" i="133"/>
  <c r="C1779" i="133"/>
  <c r="C1775" i="133"/>
  <c r="C1771" i="133"/>
  <c r="C1767" i="133"/>
  <c r="C1763" i="133"/>
  <c r="C1759" i="133"/>
  <c r="C1755" i="133"/>
  <c r="C1751" i="133"/>
  <c r="C1747" i="133"/>
  <c r="C1743" i="133"/>
  <c r="C1739" i="133"/>
  <c r="C1735" i="133"/>
  <c r="C1731" i="133"/>
  <c r="C1727" i="133"/>
  <c r="C1723" i="133"/>
  <c r="C1719" i="133"/>
  <c r="C1715" i="133"/>
  <c r="C1711" i="133"/>
  <c r="C1707" i="133"/>
  <c r="C1703" i="133"/>
  <c r="C1699" i="133"/>
  <c r="C1695" i="133"/>
  <c r="C1691" i="133"/>
  <c r="C1687" i="133"/>
  <c r="C1683" i="133"/>
  <c r="C1679" i="133"/>
  <c r="C1675" i="133"/>
  <c r="C1671" i="133"/>
  <c r="C1667" i="133"/>
  <c r="C1663" i="133"/>
  <c r="C1659" i="133"/>
  <c r="C1655" i="133"/>
  <c r="C1651" i="133"/>
  <c r="C1647" i="133"/>
  <c r="C1643" i="133"/>
  <c r="C1639" i="133"/>
  <c r="C1635" i="133"/>
  <c r="C1631" i="133"/>
  <c r="C1627" i="133"/>
  <c r="C1623" i="133"/>
  <c r="C1619" i="133"/>
  <c r="C1615" i="133"/>
  <c r="C1611" i="133"/>
  <c r="C1607" i="133"/>
  <c r="C1603" i="133"/>
  <c r="C1599" i="133"/>
  <c r="C1595" i="133"/>
  <c r="C1591" i="133"/>
  <c r="C1587" i="133"/>
  <c r="C1583" i="133"/>
  <c r="C1579" i="133"/>
  <c r="C1575" i="133"/>
  <c r="C1571" i="133"/>
  <c r="C1567" i="133"/>
  <c r="C1563" i="133"/>
  <c r="C1559" i="133"/>
  <c r="C1555" i="133"/>
  <c r="C1551" i="133"/>
  <c r="C1547" i="133"/>
  <c r="C1543" i="133"/>
  <c r="C1539" i="133"/>
  <c r="C1535" i="133"/>
  <c r="C1531" i="133"/>
  <c r="C1527" i="133"/>
  <c r="C1523" i="133"/>
  <c r="C1519" i="133"/>
  <c r="C1515" i="133"/>
  <c r="C1511" i="133"/>
  <c r="C1507" i="133"/>
  <c r="C1503" i="133"/>
  <c r="C1499" i="133"/>
  <c r="C1495" i="133"/>
  <c r="C1994" i="133"/>
  <c r="C1986" i="133"/>
  <c r="C1978" i="133"/>
  <c r="C1970" i="133"/>
  <c r="C1962" i="133"/>
  <c r="C1954" i="133"/>
  <c r="C1946" i="133"/>
  <c r="C1938" i="133"/>
  <c r="C1930" i="133"/>
  <c r="C1922" i="133"/>
  <c r="C1914" i="133"/>
  <c r="C1906" i="133"/>
  <c r="C1898" i="133"/>
  <c r="C1890" i="133"/>
  <c r="C1882" i="133"/>
  <c r="C1874" i="133"/>
  <c r="C1866" i="133"/>
  <c r="C1858" i="133"/>
  <c r="C1850" i="133"/>
  <c r="C1842" i="133"/>
  <c r="C1834" i="133"/>
  <c r="C1826" i="133"/>
  <c r="C1818" i="133"/>
  <c r="C1810" i="133"/>
  <c r="C1802" i="133"/>
  <c r="C1794" i="133"/>
  <c r="C1786" i="133"/>
  <c r="C1778" i="133"/>
  <c r="C1770" i="133"/>
  <c r="C1762" i="133"/>
  <c r="C1754" i="133"/>
  <c r="C1746" i="133"/>
  <c r="C1738" i="133"/>
  <c r="C1730" i="133"/>
  <c r="C1722" i="133"/>
  <c r="C1714" i="133"/>
  <c r="C1706" i="133"/>
  <c r="C1698" i="133"/>
  <c r="C1690" i="133"/>
  <c r="C1682" i="133"/>
  <c r="C1674" i="133"/>
  <c r="C1666" i="133"/>
  <c r="C1658" i="133"/>
  <c r="C1650" i="133"/>
  <c r="C1642" i="133"/>
  <c r="C1634" i="133"/>
  <c r="C1626" i="133"/>
  <c r="C1618" i="133"/>
  <c r="C1610" i="133"/>
  <c r="C1602" i="133"/>
  <c r="C1594" i="133"/>
  <c r="C1586" i="133"/>
  <c r="C1578" i="133"/>
  <c r="C1570" i="133"/>
  <c r="C1562" i="133"/>
  <c r="C1554" i="133"/>
  <c r="C1546" i="133"/>
  <c r="C1538" i="133"/>
  <c r="C1530" i="133"/>
  <c r="C1522" i="133"/>
  <c r="C1514" i="133"/>
  <c r="C1506" i="133"/>
  <c r="C1498" i="133"/>
  <c r="C1492" i="133"/>
  <c r="C1488" i="133"/>
  <c r="C1484" i="133"/>
  <c r="C1480" i="133"/>
  <c r="C1476" i="133"/>
  <c r="C1472" i="133"/>
  <c r="C1468" i="133"/>
  <c r="C1464" i="133"/>
  <c r="C1460" i="133"/>
  <c r="C1456" i="133"/>
  <c r="C1452" i="133"/>
  <c r="C1448" i="133"/>
  <c r="C1444" i="133"/>
  <c r="C1440" i="133"/>
  <c r="C1436" i="133"/>
  <c r="C1432" i="133"/>
  <c r="C1428" i="133"/>
  <c r="C1424" i="133"/>
  <c r="C1420" i="133"/>
  <c r="C1416" i="133"/>
  <c r="C1412" i="133"/>
  <c r="C1408" i="133"/>
  <c r="C1404" i="133"/>
  <c r="C1400" i="133"/>
  <c r="C1396" i="133"/>
  <c r="C1392" i="133"/>
  <c r="C1388" i="133"/>
  <c r="C1384" i="133"/>
  <c r="C1380" i="133"/>
  <c r="C1376" i="133"/>
  <c r="C1372" i="133"/>
  <c r="C1368" i="133"/>
  <c r="C1364" i="133"/>
  <c r="C1360" i="133"/>
  <c r="C1356" i="133"/>
  <c r="C1352" i="133"/>
  <c r="C1348" i="133"/>
  <c r="C1344" i="133"/>
  <c r="C1340" i="133"/>
  <c r="C1336" i="133"/>
  <c r="C1332" i="133"/>
  <c r="C1328" i="133"/>
  <c r="C1324" i="133"/>
  <c r="C1320" i="133"/>
  <c r="C1316" i="133"/>
  <c r="C1312" i="133"/>
  <c r="C1308" i="133"/>
  <c r="C1304" i="133"/>
  <c r="C1300" i="133"/>
  <c r="C1296" i="133"/>
  <c r="C1292" i="133"/>
  <c r="C1288" i="133"/>
  <c r="C1284" i="133"/>
  <c r="C1280" i="133"/>
  <c r="C1276" i="133"/>
  <c r="C1272" i="133"/>
  <c r="C1268" i="133"/>
  <c r="C1264" i="133"/>
  <c r="C1260" i="133"/>
  <c r="C1256" i="133"/>
  <c r="C1252" i="133"/>
  <c r="C1248" i="133"/>
  <c r="C1244" i="133"/>
  <c r="C1240" i="133"/>
  <c r="C2001" i="133"/>
  <c r="C1993" i="133"/>
  <c r="C1985" i="133"/>
  <c r="C1977" i="133"/>
  <c r="C1969" i="133"/>
  <c r="C1961" i="133"/>
  <c r="C1953" i="133"/>
  <c r="C1945" i="133"/>
  <c r="C1937" i="133"/>
  <c r="C1929" i="133"/>
  <c r="C1921" i="133"/>
  <c r="C1913" i="133"/>
  <c r="C1905" i="133"/>
  <c r="C1897" i="133"/>
  <c r="C1889" i="133"/>
  <c r="C1881" i="133"/>
  <c r="C1873" i="133"/>
  <c r="C1865" i="133"/>
  <c r="C1857" i="133"/>
  <c r="C1849" i="133"/>
  <c r="C1841" i="133"/>
  <c r="C1833" i="133"/>
  <c r="C1825" i="133"/>
  <c r="C1817" i="133"/>
  <c r="C1809" i="133"/>
  <c r="C1801" i="133"/>
  <c r="C1793" i="133"/>
  <c r="C1785" i="133"/>
  <c r="C1777" i="133"/>
  <c r="C1769" i="133"/>
  <c r="C1761" i="133"/>
  <c r="C1753" i="133"/>
  <c r="C1745" i="133"/>
  <c r="C1737" i="133"/>
  <c r="C1729" i="133"/>
  <c r="C1721" i="133"/>
  <c r="C1713" i="133"/>
  <c r="C1705" i="133"/>
  <c r="C1697" i="133"/>
  <c r="C1689" i="133"/>
  <c r="C1681" i="133"/>
  <c r="C1673" i="133"/>
  <c r="C1665" i="133"/>
  <c r="C1657" i="133"/>
  <c r="C1649" i="133"/>
  <c r="C1641" i="133"/>
  <c r="C1633" i="133"/>
  <c r="C1625" i="133"/>
  <c r="C1617" i="133"/>
  <c r="C1609" i="133"/>
  <c r="C1601" i="133"/>
  <c r="C1593" i="133"/>
  <c r="C1585" i="133"/>
  <c r="C1577" i="133"/>
  <c r="C1569" i="133"/>
  <c r="C1561" i="133"/>
  <c r="C1553" i="133"/>
  <c r="C1545" i="133"/>
  <c r="C1537" i="133"/>
  <c r="C1529" i="133"/>
  <c r="C1521" i="133"/>
  <c r="C1513" i="133"/>
  <c r="C1505" i="133"/>
  <c r="C1497" i="133"/>
  <c r="C1491" i="133"/>
  <c r="C1487" i="133"/>
  <c r="C1483" i="133"/>
  <c r="C1479" i="133"/>
  <c r="C1475" i="133"/>
  <c r="C1471" i="133"/>
  <c r="C1467" i="133"/>
  <c r="C1463" i="133"/>
  <c r="C1459" i="133"/>
  <c r="C1455" i="133"/>
  <c r="C1451" i="133"/>
  <c r="C1447" i="133"/>
  <c r="C1443" i="133"/>
  <c r="C1439" i="133"/>
  <c r="C1435" i="133"/>
  <c r="C1431" i="133"/>
  <c r="C1427" i="133"/>
  <c r="C1423" i="133"/>
  <c r="C1419" i="133"/>
  <c r="C1415" i="133"/>
  <c r="C1411" i="133"/>
  <c r="C1407" i="133"/>
  <c r="C1403" i="133"/>
  <c r="C1399" i="133"/>
  <c r="C1395" i="133"/>
  <c r="C1391" i="133"/>
  <c r="C1387" i="133"/>
  <c r="C1383" i="133"/>
  <c r="C1379" i="133"/>
  <c r="C1375" i="133"/>
  <c r="C1371" i="133"/>
  <c r="C1367" i="133"/>
  <c r="C1363" i="133"/>
  <c r="C1359" i="133"/>
  <c r="C1355" i="133"/>
  <c r="C1351" i="133"/>
  <c r="C1347" i="133"/>
  <c r="C1343" i="133"/>
  <c r="C1339" i="133"/>
  <c r="C1335" i="133"/>
  <c r="C1331" i="133"/>
  <c r="C1327" i="133"/>
  <c r="C1323" i="133"/>
  <c r="C1319" i="133"/>
  <c r="C1315" i="133"/>
  <c r="C1311" i="133"/>
  <c r="C1307" i="133"/>
  <c r="C1303" i="133"/>
  <c r="C1299" i="133"/>
  <c r="C1295" i="133"/>
  <c r="C1291" i="133"/>
  <c r="C1287" i="133"/>
  <c r="C1283" i="133"/>
  <c r="C1279" i="133"/>
  <c r="C1275" i="133"/>
  <c r="C1271" i="133"/>
  <c r="C1267" i="133"/>
  <c r="C1263" i="133"/>
  <c r="C1259" i="133"/>
  <c r="C1255" i="133"/>
  <c r="C1251" i="133"/>
  <c r="C1247" i="133"/>
  <c r="C1243" i="133"/>
  <c r="C1998" i="133"/>
  <c r="C1990" i="133"/>
  <c r="C1982" i="133"/>
  <c r="C1974" i="133"/>
  <c r="C1966" i="133"/>
  <c r="C1958" i="133"/>
  <c r="C1950" i="133"/>
  <c r="C1942" i="133"/>
  <c r="C1934" i="133"/>
  <c r="C1926" i="133"/>
  <c r="C1918" i="133"/>
  <c r="C1910" i="133"/>
  <c r="C1902" i="133"/>
  <c r="C1894" i="133"/>
  <c r="C1886" i="133"/>
  <c r="C1878" i="133"/>
  <c r="C1870" i="133"/>
  <c r="C1862" i="133"/>
  <c r="C1854" i="133"/>
  <c r="C1846" i="133"/>
  <c r="C1838" i="133"/>
  <c r="C1830" i="133"/>
  <c r="C1822" i="133"/>
  <c r="C1814" i="133"/>
  <c r="C1806" i="133"/>
  <c r="C1798" i="133"/>
  <c r="C1790" i="133"/>
  <c r="C1782" i="133"/>
  <c r="C1774" i="133"/>
  <c r="C1766" i="133"/>
  <c r="C1758" i="133"/>
  <c r="C1750" i="133"/>
  <c r="C1742" i="133"/>
  <c r="C1734" i="133"/>
  <c r="C1726" i="133"/>
  <c r="C1718" i="133"/>
  <c r="C1710" i="133"/>
  <c r="C1702" i="133"/>
  <c r="C1694" i="133"/>
  <c r="C1686" i="133"/>
  <c r="C1678" i="133"/>
  <c r="C1670" i="133"/>
  <c r="C1662" i="133"/>
  <c r="C1654" i="133"/>
  <c r="C1646" i="133"/>
  <c r="C1638" i="133"/>
  <c r="C1630" i="133"/>
  <c r="C1622" i="133"/>
  <c r="C1614" i="133"/>
  <c r="C1606" i="133"/>
  <c r="C1598" i="133"/>
  <c r="C1590" i="133"/>
  <c r="C1582" i="133"/>
  <c r="C1574" i="133"/>
  <c r="C1566" i="133"/>
  <c r="C1558" i="133"/>
  <c r="C1550" i="133"/>
  <c r="C1542" i="133"/>
  <c r="C1534" i="133"/>
  <c r="C1526" i="133"/>
  <c r="C1518" i="133"/>
  <c r="C1510" i="133"/>
  <c r="C1502" i="133"/>
  <c r="C1494" i="133"/>
  <c r="C1490" i="133"/>
  <c r="C1486" i="133"/>
  <c r="C1482" i="133"/>
  <c r="C1478" i="133"/>
  <c r="C1474" i="133"/>
  <c r="C1470" i="133"/>
  <c r="C1466" i="133"/>
  <c r="C1462" i="133"/>
  <c r="C1458" i="133"/>
  <c r="C1454" i="133"/>
  <c r="C1450" i="133"/>
  <c r="C1446" i="133"/>
  <c r="C1442" i="133"/>
  <c r="C1438" i="133"/>
  <c r="C1434" i="133"/>
  <c r="C1430" i="133"/>
  <c r="C1426" i="133"/>
  <c r="C1422" i="133"/>
  <c r="C1418" i="133"/>
  <c r="C1414" i="133"/>
  <c r="C1410" i="133"/>
  <c r="C1406" i="133"/>
  <c r="C1402" i="133"/>
  <c r="C1398" i="133"/>
  <c r="C1394" i="133"/>
  <c r="C1390" i="133"/>
  <c r="C1386" i="133"/>
  <c r="C1382" i="133"/>
  <c r="C1378" i="133"/>
  <c r="C1374" i="133"/>
  <c r="C1370" i="133"/>
  <c r="C1366" i="133"/>
  <c r="C1362" i="133"/>
  <c r="C1358" i="133"/>
  <c r="C1354" i="133"/>
  <c r="C1350" i="133"/>
  <c r="C1346" i="133"/>
  <c r="C1342" i="133"/>
  <c r="C1338" i="133"/>
  <c r="C1334" i="133"/>
  <c r="C1330" i="133"/>
  <c r="C1326" i="133"/>
  <c r="C1322" i="133"/>
  <c r="C1318" i="133"/>
  <c r="C1314" i="133"/>
  <c r="C1310" i="133"/>
  <c r="C1306" i="133"/>
  <c r="C1302" i="133"/>
  <c r="C1298" i="133"/>
  <c r="C1294" i="133"/>
  <c r="C1290" i="133"/>
  <c r="C1286" i="133"/>
  <c r="C1282" i="133"/>
  <c r="C1278" i="133"/>
  <c r="C1274" i="133"/>
  <c r="C1270" i="133"/>
  <c r="C1266" i="133"/>
  <c r="C1262" i="133"/>
  <c r="C1258" i="133"/>
  <c r="C1254" i="133"/>
  <c r="C1250" i="133"/>
  <c r="C1246" i="133"/>
  <c r="C1242" i="133"/>
  <c r="C1997" i="133"/>
  <c r="C1965" i="133"/>
  <c r="C1933" i="133"/>
  <c r="C1901" i="133"/>
  <c r="C1869" i="133"/>
  <c r="C1837" i="133"/>
  <c r="C1805" i="133"/>
  <c r="C1773" i="133"/>
  <c r="C1741" i="133"/>
  <c r="C1709" i="133"/>
  <c r="C1677" i="133"/>
  <c r="C1645" i="133"/>
  <c r="C1613" i="133"/>
  <c r="C1581" i="133"/>
  <c r="C1549" i="133"/>
  <c r="C1517" i="133"/>
  <c r="C1489" i="133"/>
  <c r="C1473" i="133"/>
  <c r="C1457" i="133"/>
  <c r="C1441" i="133"/>
  <c r="C1425" i="133"/>
  <c r="C1409" i="133"/>
  <c r="C1393" i="133"/>
  <c r="C1377" i="133"/>
  <c r="C1361" i="133"/>
  <c r="C1345" i="133"/>
  <c r="C1329" i="133"/>
  <c r="C1313" i="133"/>
  <c r="C1297" i="133"/>
  <c r="C1281" i="133"/>
  <c r="C1265" i="133"/>
  <c r="C1249" i="133"/>
  <c r="C1238" i="133"/>
  <c r="C1234" i="133"/>
  <c r="C1230" i="133"/>
  <c r="C1226" i="133"/>
  <c r="C1222" i="133"/>
  <c r="C1218" i="133"/>
  <c r="C1214" i="133"/>
  <c r="C1210" i="133"/>
  <c r="C1206" i="133"/>
  <c r="C1202" i="133"/>
  <c r="C1198" i="133"/>
  <c r="C1194" i="133"/>
  <c r="C1190" i="133"/>
  <c r="C1186" i="133"/>
  <c r="C1182" i="133"/>
  <c r="C1178" i="133"/>
  <c r="C1174" i="133"/>
  <c r="C1170" i="133"/>
  <c r="C1166" i="133"/>
  <c r="C1162" i="133"/>
  <c r="C1158" i="133"/>
  <c r="C1154" i="133"/>
  <c r="C1150" i="133"/>
  <c r="C1146" i="133"/>
  <c r="C1142" i="133"/>
  <c r="C1138" i="133"/>
  <c r="C1134" i="133"/>
  <c r="C1130" i="133"/>
  <c r="C1126" i="133"/>
  <c r="C1122" i="133"/>
  <c r="C1118" i="133"/>
  <c r="C1114" i="133"/>
  <c r="C1110" i="133"/>
  <c r="C1106" i="133"/>
  <c r="C1102" i="133"/>
  <c r="C1098" i="133"/>
  <c r="C1094" i="133"/>
  <c r="C1090" i="133"/>
  <c r="C1086" i="133"/>
  <c r="C1082" i="133"/>
  <c r="C1078" i="133"/>
  <c r="C1074" i="133"/>
  <c r="C1070" i="133"/>
  <c r="C1066" i="133"/>
  <c r="C1062" i="133"/>
  <c r="C1058" i="133"/>
  <c r="C1054" i="133"/>
  <c r="C1050" i="133"/>
  <c r="C1046" i="133"/>
  <c r="C1042" i="133"/>
  <c r="C1038" i="133"/>
  <c r="C1034" i="133"/>
  <c r="C1030" i="133"/>
  <c r="C1026" i="133"/>
  <c r="C1022" i="133"/>
  <c r="C1018" i="133"/>
  <c r="C1014" i="133"/>
  <c r="C1010" i="133"/>
  <c r="C1006" i="133"/>
  <c r="C1989" i="133"/>
  <c r="C1957" i="133"/>
  <c r="C1925" i="133"/>
  <c r="C1893" i="133"/>
  <c r="C1861" i="133"/>
  <c r="C1829" i="133"/>
  <c r="C1797" i="133"/>
  <c r="C1765" i="133"/>
  <c r="C1733" i="133"/>
  <c r="C1701" i="133"/>
  <c r="C1669" i="133"/>
  <c r="C1637" i="133"/>
  <c r="C1605" i="133"/>
  <c r="C1573" i="133"/>
  <c r="C1541" i="133"/>
  <c r="C1509" i="133"/>
  <c r="C1485" i="133"/>
  <c r="C1469" i="133"/>
  <c r="C1453" i="133"/>
  <c r="C1437" i="133"/>
  <c r="C1421" i="133"/>
  <c r="C1405" i="133"/>
  <c r="C1389" i="133"/>
  <c r="C1373" i="133"/>
  <c r="C1357" i="133"/>
  <c r="C1341" i="133"/>
  <c r="C1325" i="133"/>
  <c r="C1309" i="133"/>
  <c r="C1293" i="133"/>
  <c r="C1277" i="133"/>
  <c r="C1261" i="133"/>
  <c r="C1245" i="133"/>
  <c r="C1237" i="133"/>
  <c r="C1233" i="133"/>
  <c r="C1229" i="133"/>
  <c r="C1225" i="133"/>
  <c r="C1221" i="133"/>
  <c r="C1217" i="133"/>
  <c r="C1213" i="133"/>
  <c r="C1209" i="133"/>
  <c r="C1205" i="133"/>
  <c r="C1201" i="133"/>
  <c r="C1197" i="133"/>
  <c r="C1193" i="133"/>
  <c r="C1189" i="133"/>
  <c r="C1185" i="133"/>
  <c r="C1181" i="133"/>
  <c r="C1177" i="133"/>
  <c r="C1173" i="133"/>
  <c r="C1169" i="133"/>
  <c r="C1165" i="133"/>
  <c r="C1161" i="133"/>
  <c r="C1157" i="133"/>
  <c r="C1153" i="133"/>
  <c r="C1149" i="133"/>
  <c r="C1145" i="133"/>
  <c r="C1141" i="133"/>
  <c r="C1137" i="133"/>
  <c r="C1133" i="133"/>
  <c r="C1129" i="133"/>
  <c r="C1125" i="133"/>
  <c r="C1121" i="133"/>
  <c r="C1117" i="133"/>
  <c r="C1113" i="133"/>
  <c r="C1109" i="133"/>
  <c r="C1105" i="133"/>
  <c r="C1101" i="133"/>
  <c r="C1097" i="133"/>
  <c r="C1093" i="133"/>
  <c r="C1089" i="133"/>
  <c r="C1085" i="133"/>
  <c r="C1081" i="133"/>
  <c r="C1077" i="133"/>
  <c r="C1073" i="133"/>
  <c r="C1069" i="133"/>
  <c r="C1065" i="133"/>
  <c r="C1061" i="133"/>
  <c r="C1057" i="133"/>
  <c r="C1053" i="133"/>
  <c r="C1049" i="133"/>
  <c r="C1045" i="133"/>
  <c r="C1041" i="133"/>
  <c r="C1037" i="133"/>
  <c r="C1033" i="133"/>
  <c r="C1029" i="133"/>
  <c r="C1025" i="133"/>
  <c r="C1021" i="133"/>
  <c r="C1017" i="133"/>
  <c r="C1013" i="133"/>
  <c r="C1009" i="133"/>
  <c r="C1005" i="133"/>
  <c r="C1981" i="133"/>
  <c r="C1949" i="133"/>
  <c r="C1917" i="133"/>
  <c r="C1885" i="133"/>
  <c r="C1853" i="133"/>
  <c r="C1821" i="133"/>
  <c r="C1789" i="133"/>
  <c r="C1757" i="133"/>
  <c r="C1725" i="133"/>
  <c r="C1693" i="133"/>
  <c r="C1661" i="133"/>
  <c r="C1629" i="133"/>
  <c r="C1597" i="133"/>
  <c r="C1565" i="133"/>
  <c r="C1533" i="133"/>
  <c r="C1501" i="133"/>
  <c r="C1481" i="133"/>
  <c r="C1465" i="133"/>
  <c r="C1449" i="133"/>
  <c r="C1433" i="133"/>
  <c r="C1417" i="133"/>
  <c r="C1401" i="133"/>
  <c r="C1385" i="133"/>
  <c r="C1369" i="133"/>
  <c r="C1353" i="133"/>
  <c r="C1337" i="133"/>
  <c r="C1321" i="133"/>
  <c r="C1305" i="133"/>
  <c r="C1289" i="133"/>
  <c r="C1273" i="133"/>
  <c r="C1257" i="133"/>
  <c r="C1241" i="133"/>
  <c r="C1236" i="133"/>
  <c r="C1232" i="133"/>
  <c r="C1228" i="133"/>
  <c r="C1224" i="133"/>
  <c r="C1220" i="133"/>
  <c r="C1216" i="133"/>
  <c r="C1212" i="133"/>
  <c r="C1208" i="133"/>
  <c r="C1204" i="133"/>
  <c r="C1200" i="133"/>
  <c r="C1196" i="133"/>
  <c r="C1192" i="133"/>
  <c r="C1188" i="133"/>
  <c r="C1184" i="133"/>
  <c r="C1180" i="133"/>
  <c r="C1176" i="133"/>
  <c r="C1172" i="133"/>
  <c r="C1168" i="133"/>
  <c r="C1164" i="133"/>
  <c r="C1160" i="133"/>
  <c r="C1156" i="133"/>
  <c r="C1152" i="133"/>
  <c r="C1148" i="133"/>
  <c r="C1144" i="133"/>
  <c r="C1140" i="133"/>
  <c r="C1136" i="133"/>
  <c r="C1132" i="133"/>
  <c r="C1128" i="133"/>
  <c r="C1124" i="133"/>
  <c r="C1120" i="133"/>
  <c r="C1116" i="133"/>
  <c r="C1112" i="133"/>
  <c r="C1108" i="133"/>
  <c r="C1104" i="133"/>
  <c r="C1100" i="133"/>
  <c r="C1096" i="133"/>
  <c r="C1092" i="133"/>
  <c r="C1088" i="133"/>
  <c r="C1084" i="133"/>
  <c r="C1080" i="133"/>
  <c r="C1076" i="133"/>
  <c r="C1072" i="133"/>
  <c r="C1068" i="133"/>
  <c r="C1064" i="133"/>
  <c r="C1060" i="133"/>
  <c r="C1056" i="133"/>
  <c r="C1973" i="133"/>
  <c r="C1941" i="133"/>
  <c r="C1909" i="133"/>
  <c r="C1877" i="133"/>
  <c r="C1845" i="133"/>
  <c r="C1813" i="133"/>
  <c r="C1781" i="133"/>
  <c r="C1749" i="133"/>
  <c r="C1717" i="133"/>
  <c r="C1685" i="133"/>
  <c r="C1653" i="133"/>
  <c r="C1621" i="133"/>
  <c r="C1589" i="133"/>
  <c r="C1557" i="133"/>
  <c r="C1525" i="133"/>
  <c r="C1493" i="133"/>
  <c r="C1477" i="133"/>
  <c r="C1461" i="133"/>
  <c r="C1445" i="133"/>
  <c r="C1429" i="133"/>
  <c r="C1413" i="133"/>
  <c r="C1397" i="133"/>
  <c r="C1381" i="133"/>
  <c r="C1365" i="133"/>
  <c r="C1349" i="133"/>
  <c r="C1333" i="133"/>
  <c r="C1317" i="133"/>
  <c r="C1301" i="133"/>
  <c r="C1285" i="133"/>
  <c r="C1269" i="133"/>
  <c r="C1253" i="133"/>
  <c r="C1239" i="133"/>
  <c r="C1235" i="133"/>
  <c r="C1231" i="133"/>
  <c r="C1227" i="133"/>
  <c r="C1223" i="133"/>
  <c r="C1219" i="133"/>
  <c r="C1215" i="133"/>
  <c r="C1211" i="133"/>
  <c r="C1207" i="133"/>
  <c r="C1203" i="133"/>
  <c r="C1199" i="133"/>
  <c r="C1195" i="133"/>
  <c r="C1191" i="133"/>
  <c r="C1187" i="133"/>
  <c r="C1183" i="133"/>
  <c r="C1179" i="133"/>
  <c r="C1175" i="133"/>
  <c r="C1171" i="133"/>
  <c r="C1167" i="133"/>
  <c r="C1163" i="133"/>
  <c r="C1159" i="133"/>
  <c r="C1155" i="133"/>
  <c r="C1151" i="133"/>
  <c r="C1147" i="133"/>
  <c r="C1143" i="133"/>
  <c r="C1139" i="133"/>
  <c r="C1135" i="133"/>
  <c r="C1131" i="133"/>
  <c r="C1127" i="133"/>
  <c r="C1123" i="133"/>
  <c r="C1119" i="133"/>
  <c r="C1115" i="133"/>
  <c r="C1111" i="133"/>
  <c r="C1107" i="133"/>
  <c r="C1103" i="133"/>
  <c r="C1099" i="133"/>
  <c r="C1095" i="133"/>
  <c r="C1091" i="133"/>
  <c r="C1087" i="133"/>
  <c r="C1083" i="133"/>
  <c r="C1079" i="133"/>
  <c r="C1063" i="133"/>
  <c r="C1051" i="133"/>
  <c r="C1043" i="133"/>
  <c r="C1035" i="133"/>
  <c r="C1027" i="133"/>
  <c r="C1019" i="133"/>
  <c r="C1011" i="133"/>
  <c r="C1003" i="133"/>
  <c r="C1075" i="133"/>
  <c r="C1059" i="133"/>
  <c r="C1048" i="133"/>
  <c r="C1040" i="133"/>
  <c r="C1032" i="133"/>
  <c r="C1024" i="133"/>
  <c r="C1016" i="133"/>
  <c r="C1008" i="133"/>
  <c r="C1071" i="133"/>
  <c r="C1055" i="133"/>
  <c r="C1047" i="133"/>
  <c r="C1039" i="133"/>
  <c r="C1031" i="133"/>
  <c r="C1023" i="133"/>
  <c r="C1015" i="133"/>
  <c r="C1007" i="133"/>
  <c r="C1067" i="133"/>
  <c r="C1052" i="133"/>
  <c r="C1020" i="133"/>
  <c r="C1044" i="133"/>
  <c r="C1012" i="133"/>
  <c r="C1036" i="133"/>
  <c r="C1004" i="133"/>
  <c r="C1028" i="133"/>
  <c r="C1002" i="133"/>
  <c r="C998" i="133"/>
  <c r="C994" i="133"/>
  <c r="C990" i="133"/>
  <c r="C986" i="133"/>
  <c r="C982" i="133"/>
  <c r="C978" i="133"/>
  <c r="C974" i="133"/>
  <c r="C970" i="133"/>
  <c r="C966" i="133"/>
  <c r="C962" i="133"/>
  <c r="C958" i="133"/>
  <c r="C954" i="133"/>
  <c r="C950" i="133"/>
  <c r="C946" i="133"/>
  <c r="C942" i="133"/>
  <c r="C938" i="133"/>
  <c r="C934" i="133"/>
  <c r="C930" i="133"/>
  <c r="C926" i="133"/>
  <c r="C922" i="133"/>
  <c r="C918" i="133"/>
  <c r="C914" i="133"/>
  <c r="C910" i="133"/>
  <c r="C906" i="133"/>
  <c r="C902" i="133"/>
  <c r="C898" i="133"/>
  <c r="C894" i="133"/>
  <c r="C890" i="133"/>
  <c r="C886" i="133"/>
  <c r="C882" i="133"/>
  <c r="C878" i="133"/>
  <c r="C874" i="133"/>
  <c r="C870" i="133"/>
  <c r="C866" i="133"/>
  <c r="C862" i="133"/>
  <c r="C858" i="133"/>
  <c r="C854" i="133"/>
  <c r="C850" i="133"/>
  <c r="C846" i="133"/>
  <c r="C842" i="133"/>
  <c r="C838" i="133"/>
  <c r="C834" i="133"/>
  <c r="C830" i="133"/>
  <c r="C826" i="133"/>
  <c r="C822" i="133"/>
  <c r="C818" i="133"/>
  <c r="C814" i="133"/>
  <c r="C810" i="133"/>
  <c r="C806" i="133"/>
  <c r="C802" i="133"/>
  <c r="C798" i="133"/>
  <c r="C794" i="133"/>
  <c r="C790" i="133"/>
  <c r="C786" i="133"/>
  <c r="C782" i="133"/>
  <c r="C778" i="133"/>
  <c r="C774" i="133"/>
  <c r="C770" i="133"/>
  <c r="C766" i="133"/>
  <c r="C762" i="133"/>
  <c r="C758" i="133"/>
  <c r="C754" i="133"/>
  <c r="C750" i="133"/>
  <c r="C746" i="133"/>
  <c r="C742" i="133"/>
  <c r="C738" i="133"/>
  <c r="C734" i="133"/>
  <c r="C730" i="133"/>
  <c r="C726" i="133"/>
  <c r="C722" i="133"/>
  <c r="C718" i="133"/>
  <c r="C714" i="133"/>
  <c r="C710" i="133"/>
  <c r="C706" i="133"/>
  <c r="C702" i="133"/>
  <c r="C698" i="133"/>
  <c r="C694" i="133"/>
  <c r="C690" i="133"/>
  <c r="C686" i="133"/>
  <c r="C682" i="133"/>
  <c r="C678" i="133"/>
  <c r="C674" i="133"/>
  <c r="C670" i="133"/>
  <c r="C666" i="133"/>
  <c r="C662" i="133"/>
  <c r="C658" i="133"/>
  <c r="C654" i="133"/>
  <c r="C650" i="133"/>
  <c r="C646" i="133"/>
  <c r="C642" i="133"/>
  <c r="C638" i="133"/>
  <c r="C634" i="133"/>
  <c r="C630" i="133"/>
  <c r="C626" i="133"/>
  <c r="C622" i="133"/>
  <c r="C618" i="133"/>
  <c r="C614" i="133"/>
  <c r="C610" i="133"/>
  <c r="C606" i="133"/>
  <c r="C602" i="133"/>
  <c r="C598" i="133"/>
  <c r="C594" i="133"/>
  <c r="C590" i="133"/>
  <c r="C586" i="133"/>
  <c r="C582" i="133"/>
  <c r="C578" i="133"/>
  <c r="C574" i="133"/>
  <c r="C570" i="133"/>
  <c r="C566" i="133"/>
  <c r="C562" i="133"/>
  <c r="C558" i="133"/>
  <c r="C554" i="133"/>
  <c r="C550" i="133"/>
  <c r="C546" i="133"/>
  <c r="C542" i="133"/>
  <c r="C538" i="133"/>
  <c r="C534" i="133"/>
  <c r="C530" i="133"/>
  <c r="C526" i="133"/>
  <c r="C522" i="133"/>
  <c r="C518" i="133"/>
  <c r="C514" i="133"/>
  <c r="C510" i="133"/>
  <c r="C506" i="133"/>
  <c r="C502" i="133"/>
  <c r="C498" i="133"/>
  <c r="C494" i="133"/>
  <c r="C1001" i="133"/>
  <c r="C997" i="133"/>
  <c r="C993" i="133"/>
  <c r="C989" i="133"/>
  <c r="C985" i="133"/>
  <c r="C981" i="133"/>
  <c r="C977" i="133"/>
  <c r="C973" i="133"/>
  <c r="C969" i="133"/>
  <c r="C965" i="133"/>
  <c r="C961" i="133"/>
  <c r="C957" i="133"/>
  <c r="C953" i="133"/>
  <c r="C949" i="133"/>
  <c r="C945" i="133"/>
  <c r="C941" i="133"/>
  <c r="C937" i="133"/>
  <c r="C933" i="133"/>
  <c r="C929" i="133"/>
  <c r="C925" i="133"/>
  <c r="C921" i="133"/>
  <c r="C917" i="133"/>
  <c r="C913" i="133"/>
  <c r="C909" i="133"/>
  <c r="C905" i="133"/>
  <c r="C901" i="133"/>
  <c r="C897" i="133"/>
  <c r="C893" i="133"/>
  <c r="C889" i="133"/>
  <c r="C885" i="133"/>
  <c r="C881" i="133"/>
  <c r="C877" i="133"/>
  <c r="C873" i="133"/>
  <c r="C869" i="133"/>
  <c r="C865" i="133"/>
  <c r="C861" i="133"/>
  <c r="C857" i="133"/>
  <c r="C853" i="133"/>
  <c r="C849" i="133"/>
  <c r="C845" i="133"/>
  <c r="C841" i="133"/>
  <c r="C837" i="133"/>
  <c r="C833" i="133"/>
  <c r="C829" i="133"/>
  <c r="C825" i="133"/>
  <c r="C821" i="133"/>
  <c r="C817" i="133"/>
  <c r="C813" i="133"/>
  <c r="C809" i="133"/>
  <c r="C805" i="133"/>
  <c r="C801" i="133"/>
  <c r="C797" i="133"/>
  <c r="C793" i="133"/>
  <c r="C789" i="133"/>
  <c r="C785" i="133"/>
  <c r="C781" i="133"/>
  <c r="C777" i="133"/>
  <c r="C773" i="133"/>
  <c r="C769" i="133"/>
  <c r="C765" i="133"/>
  <c r="C761" i="133"/>
  <c r="C757" i="133"/>
  <c r="C753" i="133"/>
  <c r="C749" i="133"/>
  <c r="C745" i="133"/>
  <c r="C741" i="133"/>
  <c r="C737" i="133"/>
  <c r="C733" i="133"/>
  <c r="C729" i="133"/>
  <c r="C725" i="133"/>
  <c r="C721" i="133"/>
  <c r="C717" i="133"/>
  <c r="C713" i="133"/>
  <c r="C709" i="133"/>
  <c r="C705" i="133"/>
  <c r="C701" i="133"/>
  <c r="C697" i="133"/>
  <c r="C693" i="133"/>
  <c r="C689" i="133"/>
  <c r="C685" i="133"/>
  <c r="C681" i="133"/>
  <c r="C677" i="133"/>
  <c r="C673" i="133"/>
  <c r="C669" i="133"/>
  <c r="C665" i="133"/>
  <c r="C661" i="133"/>
  <c r="C657" i="133"/>
  <c r="C653" i="133"/>
  <c r="C649" i="133"/>
  <c r="C645" i="133"/>
  <c r="C641" i="133"/>
  <c r="C637" i="133"/>
  <c r="C633" i="133"/>
  <c r="C629" i="133"/>
  <c r="C625" i="133"/>
  <c r="C621" i="133"/>
  <c r="C617" i="133"/>
  <c r="C613" i="133"/>
  <c r="C609" i="133"/>
  <c r="C605" i="133"/>
  <c r="C601" i="133"/>
  <c r="C597" i="133"/>
  <c r="C593" i="133"/>
  <c r="C589" i="133"/>
  <c r="C585" i="133"/>
  <c r="C581" i="133"/>
  <c r="C577" i="133"/>
  <c r="C573" i="133"/>
  <c r="C569" i="133"/>
  <c r="C565" i="133"/>
  <c r="C561" i="133"/>
  <c r="C557" i="133"/>
  <c r="C553" i="133"/>
  <c r="C549" i="133"/>
  <c r="C545" i="133"/>
  <c r="C541" i="133"/>
  <c r="C537" i="133"/>
  <c r="C533" i="133"/>
  <c r="C529" i="133"/>
  <c r="C525" i="133"/>
  <c r="C521" i="133"/>
  <c r="C517" i="133"/>
  <c r="C513" i="133"/>
  <c r="C509" i="133"/>
  <c r="C505" i="133"/>
  <c r="C501" i="133"/>
  <c r="C497" i="133"/>
  <c r="C1000" i="133"/>
  <c r="C992" i="133"/>
  <c r="C984" i="133"/>
  <c r="C976" i="133"/>
  <c r="C968" i="133"/>
  <c r="C960" i="133"/>
  <c r="C952" i="133"/>
  <c r="C944" i="133"/>
  <c r="C936" i="133"/>
  <c r="C928" i="133"/>
  <c r="C920" i="133"/>
  <c r="C912" i="133"/>
  <c r="C904" i="133"/>
  <c r="C896" i="133"/>
  <c r="C888" i="133"/>
  <c r="C880" i="133"/>
  <c r="C872" i="133"/>
  <c r="C864" i="133"/>
  <c r="C856" i="133"/>
  <c r="C848" i="133"/>
  <c r="C840" i="133"/>
  <c r="C832" i="133"/>
  <c r="C824" i="133"/>
  <c r="C816" i="133"/>
  <c r="C808" i="133"/>
  <c r="C800" i="133"/>
  <c r="C792" i="133"/>
  <c r="C784" i="133"/>
  <c r="C776" i="133"/>
  <c r="C768" i="133"/>
  <c r="C760" i="133"/>
  <c r="C752" i="133"/>
  <c r="C744" i="133"/>
  <c r="C736" i="133"/>
  <c r="C728" i="133"/>
  <c r="C720" i="133"/>
  <c r="C712" i="133"/>
  <c r="C704" i="133"/>
  <c r="C696" i="133"/>
  <c r="C688" i="133"/>
  <c r="C680" i="133"/>
  <c r="C672" i="133"/>
  <c r="C664" i="133"/>
  <c r="C656" i="133"/>
  <c r="C648" i="133"/>
  <c r="C640" i="133"/>
  <c r="C632" i="133"/>
  <c r="C624" i="133"/>
  <c r="C616" i="133"/>
  <c r="C608" i="133"/>
  <c r="C600" i="133"/>
  <c r="C592" i="133"/>
  <c r="C584" i="133"/>
  <c r="C576" i="133"/>
  <c r="C568" i="133"/>
  <c r="C560" i="133"/>
  <c r="C552" i="133"/>
  <c r="C544" i="133"/>
  <c r="C536" i="133"/>
  <c r="C528" i="133"/>
  <c r="C520" i="133"/>
  <c r="C512" i="133"/>
  <c r="C504" i="133"/>
  <c r="C496" i="133"/>
  <c r="C491" i="133"/>
  <c r="C487" i="133"/>
  <c r="C483" i="133"/>
  <c r="C479" i="133"/>
  <c r="C475" i="133"/>
  <c r="C471" i="133"/>
  <c r="C467" i="133"/>
  <c r="C463" i="133"/>
  <c r="C459" i="133"/>
  <c r="C455" i="133"/>
  <c r="C451" i="133"/>
  <c r="C447" i="133"/>
  <c r="C443" i="133"/>
  <c r="C439" i="133"/>
  <c r="C435" i="133"/>
  <c r="C431" i="133"/>
  <c r="C427" i="133"/>
  <c r="C423" i="133"/>
  <c r="C419" i="133"/>
  <c r="C415" i="133"/>
  <c r="C411" i="133"/>
  <c r="C407" i="133"/>
  <c r="C403" i="133"/>
  <c r="C399" i="133"/>
  <c r="C395" i="133"/>
  <c r="C391" i="133"/>
  <c r="C387" i="133"/>
  <c r="C383" i="133"/>
  <c r="C379" i="133"/>
  <c r="C375" i="133"/>
  <c r="C371" i="133"/>
  <c r="C367" i="133"/>
  <c r="C363" i="133"/>
  <c r="C359" i="133"/>
  <c r="C355" i="133"/>
  <c r="C351" i="133"/>
  <c r="C347" i="133"/>
  <c r="C343" i="133"/>
  <c r="C339" i="133"/>
  <c r="C335" i="133"/>
  <c r="C331" i="133"/>
  <c r="C327" i="133"/>
  <c r="C323" i="133"/>
  <c r="C319" i="133"/>
  <c r="C315" i="133"/>
  <c r="C311" i="133"/>
  <c r="C307" i="133"/>
  <c r="C303" i="133"/>
  <c r="C299" i="133"/>
  <c r="C295" i="133"/>
  <c r="C291" i="133"/>
  <c r="C287" i="133"/>
  <c r="C283" i="133"/>
  <c r="C279" i="133"/>
  <c r="C275" i="133"/>
  <c r="C271" i="133"/>
  <c r="C267" i="133"/>
  <c r="C263" i="133"/>
  <c r="C259" i="133"/>
  <c r="C255" i="133"/>
  <c r="C251" i="133"/>
  <c r="C247" i="133"/>
  <c r="C243" i="133"/>
  <c r="C999" i="133"/>
  <c r="C991" i="133"/>
  <c r="C983" i="133"/>
  <c r="C975" i="133"/>
  <c r="C967" i="133"/>
  <c r="C959" i="133"/>
  <c r="C951" i="133"/>
  <c r="C943" i="133"/>
  <c r="C935" i="133"/>
  <c r="C927" i="133"/>
  <c r="C919" i="133"/>
  <c r="C911" i="133"/>
  <c r="C903" i="133"/>
  <c r="C895" i="133"/>
  <c r="C887" i="133"/>
  <c r="C879" i="133"/>
  <c r="C871" i="133"/>
  <c r="C863" i="133"/>
  <c r="C855" i="133"/>
  <c r="C847" i="133"/>
  <c r="C839" i="133"/>
  <c r="C831" i="133"/>
  <c r="C823" i="133"/>
  <c r="C815" i="133"/>
  <c r="C807" i="133"/>
  <c r="C799" i="133"/>
  <c r="C791" i="133"/>
  <c r="C783" i="133"/>
  <c r="C775" i="133"/>
  <c r="C767" i="133"/>
  <c r="C759" i="133"/>
  <c r="C751" i="133"/>
  <c r="C743" i="133"/>
  <c r="C735" i="133"/>
  <c r="C727" i="133"/>
  <c r="C719" i="133"/>
  <c r="C711" i="133"/>
  <c r="C703" i="133"/>
  <c r="C695" i="133"/>
  <c r="C687" i="133"/>
  <c r="C679" i="133"/>
  <c r="C671" i="133"/>
  <c r="C663" i="133"/>
  <c r="C655" i="133"/>
  <c r="C647" i="133"/>
  <c r="C639" i="133"/>
  <c r="C631" i="133"/>
  <c r="C623" i="133"/>
  <c r="C615" i="133"/>
  <c r="C607" i="133"/>
  <c r="C599" i="133"/>
  <c r="C591" i="133"/>
  <c r="C583" i="133"/>
  <c r="C575" i="133"/>
  <c r="C567" i="133"/>
  <c r="C559" i="133"/>
  <c r="C551" i="133"/>
  <c r="C543" i="133"/>
  <c r="C535" i="133"/>
  <c r="C527" i="133"/>
  <c r="C519" i="133"/>
  <c r="C511" i="133"/>
  <c r="C503" i="133"/>
  <c r="C495" i="133"/>
  <c r="C490" i="133"/>
  <c r="C486" i="133"/>
  <c r="C482" i="133"/>
  <c r="C478" i="133"/>
  <c r="C474" i="133"/>
  <c r="C470" i="133"/>
  <c r="C466" i="133"/>
  <c r="C462" i="133"/>
  <c r="C458" i="133"/>
  <c r="C454" i="133"/>
  <c r="C450" i="133"/>
  <c r="C446" i="133"/>
  <c r="C442" i="133"/>
  <c r="C438" i="133"/>
  <c r="C434" i="133"/>
  <c r="C430" i="133"/>
  <c r="C426" i="133"/>
  <c r="C422" i="133"/>
  <c r="C418" i="133"/>
  <c r="C414" i="133"/>
  <c r="C410" i="133"/>
  <c r="C406" i="133"/>
  <c r="C402" i="133"/>
  <c r="C398" i="133"/>
  <c r="C394" i="133"/>
  <c r="C390" i="133"/>
  <c r="C386" i="133"/>
  <c r="C382" i="133"/>
  <c r="C378" i="133"/>
  <c r="C374" i="133"/>
  <c r="C370" i="133"/>
  <c r="C366" i="133"/>
  <c r="C362" i="133"/>
  <c r="C358" i="133"/>
  <c r="C996" i="133"/>
  <c r="C988" i="133"/>
  <c r="C980" i="133"/>
  <c r="C972" i="133"/>
  <c r="C964" i="133"/>
  <c r="C956" i="133"/>
  <c r="C948" i="133"/>
  <c r="C940" i="133"/>
  <c r="C932" i="133"/>
  <c r="C924" i="133"/>
  <c r="C916" i="133"/>
  <c r="C908" i="133"/>
  <c r="C900" i="133"/>
  <c r="C892" i="133"/>
  <c r="C884" i="133"/>
  <c r="C876" i="133"/>
  <c r="C868" i="133"/>
  <c r="C860" i="133"/>
  <c r="C852" i="133"/>
  <c r="C844" i="133"/>
  <c r="C836" i="133"/>
  <c r="C828" i="133"/>
  <c r="C820" i="133"/>
  <c r="C812" i="133"/>
  <c r="C804" i="133"/>
  <c r="C796" i="133"/>
  <c r="C788" i="133"/>
  <c r="C780" i="133"/>
  <c r="C772" i="133"/>
  <c r="C764" i="133"/>
  <c r="C995" i="133"/>
  <c r="C963" i="133"/>
  <c r="C931" i="133"/>
  <c r="C899" i="133"/>
  <c r="C867" i="133"/>
  <c r="C835" i="133"/>
  <c r="C803" i="133"/>
  <c r="C771" i="133"/>
  <c r="C748" i="133"/>
  <c r="C732" i="133"/>
  <c r="C716" i="133"/>
  <c r="C700" i="133"/>
  <c r="C684" i="133"/>
  <c r="C668" i="133"/>
  <c r="C652" i="133"/>
  <c r="C636" i="133"/>
  <c r="C620" i="133"/>
  <c r="C604" i="133"/>
  <c r="C588" i="133"/>
  <c r="C572" i="133"/>
  <c r="C556" i="133"/>
  <c r="C540" i="133"/>
  <c r="C524" i="133"/>
  <c r="C508" i="133"/>
  <c r="C493" i="133"/>
  <c r="C485" i="133"/>
  <c r="C477" i="133"/>
  <c r="C469" i="133"/>
  <c r="C461" i="133"/>
  <c r="C453" i="133"/>
  <c r="C445" i="133"/>
  <c r="C437" i="133"/>
  <c r="C429" i="133"/>
  <c r="C421" i="133"/>
  <c r="C413" i="133"/>
  <c r="C405" i="133"/>
  <c r="C397" i="133"/>
  <c r="C389" i="133"/>
  <c r="C381" i="133"/>
  <c r="C373" i="133"/>
  <c r="C365" i="133"/>
  <c r="C357" i="133"/>
  <c r="C352" i="133"/>
  <c r="C346" i="133"/>
  <c r="C341" i="133"/>
  <c r="C336" i="133"/>
  <c r="C330" i="133"/>
  <c r="C325" i="133"/>
  <c r="C320" i="133"/>
  <c r="C314" i="133"/>
  <c r="C309" i="133"/>
  <c r="C304" i="133"/>
  <c r="C298" i="133"/>
  <c r="C293" i="133"/>
  <c r="C288" i="133"/>
  <c r="C282" i="133"/>
  <c r="C277" i="133"/>
  <c r="C272" i="133"/>
  <c r="C266" i="133"/>
  <c r="C261" i="133"/>
  <c r="C256" i="133"/>
  <c r="C250" i="133"/>
  <c r="C245" i="133"/>
  <c r="C240" i="133"/>
  <c r="C236" i="133"/>
  <c r="C232" i="133"/>
  <c r="C228" i="133"/>
  <c r="C224" i="133"/>
  <c r="C220" i="133"/>
  <c r="C216" i="133"/>
  <c r="C212" i="133"/>
  <c r="C208" i="133"/>
  <c r="C204" i="133"/>
  <c r="C200" i="133"/>
  <c r="C196" i="133"/>
  <c r="C192" i="133"/>
  <c r="C188" i="133"/>
  <c r="C184" i="133"/>
  <c r="C180" i="133"/>
  <c r="C176" i="133"/>
  <c r="C172" i="133"/>
  <c r="C168" i="133"/>
  <c r="C164" i="133"/>
  <c r="C160" i="133"/>
  <c r="C156" i="133"/>
  <c r="C152" i="133"/>
  <c r="C148" i="133"/>
  <c r="C144" i="133"/>
  <c r="C140" i="133"/>
  <c r="C136" i="133"/>
  <c r="C132" i="133"/>
  <c r="C128" i="133"/>
  <c r="C124" i="133"/>
  <c r="C120" i="133"/>
  <c r="C116" i="133"/>
  <c r="C112" i="133"/>
  <c r="C108" i="133"/>
  <c r="C104" i="133"/>
  <c r="C100" i="133"/>
  <c r="C96" i="133"/>
  <c r="C92" i="133"/>
  <c r="C88" i="133"/>
  <c r="C84" i="133"/>
  <c r="C80" i="133"/>
  <c r="C76" i="133"/>
  <c r="C72" i="133"/>
  <c r="C68" i="133"/>
  <c r="C64" i="133"/>
  <c r="C60" i="133"/>
  <c r="C56" i="133"/>
  <c r="C52" i="133"/>
  <c r="C48" i="133"/>
  <c r="C44" i="133"/>
  <c r="C40" i="133"/>
  <c r="C36" i="133"/>
  <c r="C32" i="133"/>
  <c r="C28" i="133"/>
  <c r="C24" i="133"/>
  <c r="C20" i="133"/>
  <c r="C16" i="133"/>
  <c r="C12" i="133"/>
  <c r="C8" i="133"/>
  <c r="C4" i="133"/>
  <c r="C987" i="133"/>
  <c r="C955" i="133"/>
  <c r="C923" i="133"/>
  <c r="C891" i="133"/>
  <c r="C859" i="133"/>
  <c r="C827" i="133"/>
  <c r="C795" i="133"/>
  <c r="C763" i="133"/>
  <c r="C747" i="133"/>
  <c r="C731" i="133"/>
  <c r="C715" i="133"/>
  <c r="C699" i="133"/>
  <c r="C683" i="133"/>
  <c r="C667" i="133"/>
  <c r="C651" i="133"/>
  <c r="C635" i="133"/>
  <c r="C619" i="133"/>
  <c r="C603" i="133"/>
  <c r="C587" i="133"/>
  <c r="C571" i="133"/>
  <c r="C555" i="133"/>
  <c r="C539" i="133"/>
  <c r="C523" i="133"/>
  <c r="C507" i="133"/>
  <c r="C492" i="133"/>
  <c r="C484" i="133"/>
  <c r="C476" i="133"/>
  <c r="C468" i="133"/>
  <c r="C460" i="133"/>
  <c r="C452" i="133"/>
  <c r="C444" i="133"/>
  <c r="C436" i="133"/>
  <c r="C428" i="133"/>
  <c r="C420" i="133"/>
  <c r="C412" i="133"/>
  <c r="C404" i="133"/>
  <c r="C396" i="133"/>
  <c r="C388" i="133"/>
  <c r="C380" i="133"/>
  <c r="C372" i="133"/>
  <c r="C364" i="133"/>
  <c r="C356" i="133"/>
  <c r="C350" i="133"/>
  <c r="C345" i="133"/>
  <c r="C340" i="133"/>
  <c r="C334" i="133"/>
  <c r="C329" i="133"/>
  <c r="C324" i="133"/>
  <c r="C318" i="133"/>
  <c r="C313" i="133"/>
  <c r="C308" i="133"/>
  <c r="C302" i="133"/>
  <c r="C297" i="133"/>
  <c r="C292" i="133"/>
  <c r="C286" i="133"/>
  <c r="C281" i="133"/>
  <c r="C276" i="133"/>
  <c r="C270" i="133"/>
  <c r="C265" i="133"/>
  <c r="C260" i="133"/>
  <c r="C254" i="133"/>
  <c r="C249" i="133"/>
  <c r="C244" i="133"/>
  <c r="C239" i="133"/>
  <c r="C235" i="133"/>
  <c r="C231" i="133"/>
  <c r="C227" i="133"/>
  <c r="C223" i="133"/>
  <c r="C219" i="133"/>
  <c r="C215" i="133"/>
  <c r="C211" i="133"/>
  <c r="C207" i="133"/>
  <c r="C203" i="133"/>
  <c r="C199" i="133"/>
  <c r="C195" i="133"/>
  <c r="C191" i="133"/>
  <c r="C187" i="133"/>
  <c r="C183" i="133"/>
  <c r="C179" i="133"/>
  <c r="C175" i="133"/>
  <c r="C171" i="133"/>
  <c r="C167" i="133"/>
  <c r="C163" i="133"/>
  <c r="C159" i="133"/>
  <c r="C155" i="133"/>
  <c r="C151" i="133"/>
  <c r="C147" i="133"/>
  <c r="C143" i="133"/>
  <c r="C139" i="133"/>
  <c r="C135" i="133"/>
  <c r="C131" i="133"/>
  <c r="C127" i="133"/>
  <c r="C123" i="133"/>
  <c r="C119" i="133"/>
  <c r="C115" i="133"/>
  <c r="C111" i="133"/>
  <c r="C107" i="133"/>
  <c r="C103" i="133"/>
  <c r="C99" i="133"/>
  <c r="C95" i="133"/>
  <c r="C91" i="133"/>
  <c r="C87" i="133"/>
  <c r="C83" i="133"/>
  <c r="C79" i="133"/>
  <c r="C75" i="133"/>
  <c r="C71" i="133"/>
  <c r="C67" i="133"/>
  <c r="C63" i="133"/>
  <c r="C59" i="133"/>
  <c r="C55" i="133"/>
  <c r="C51" i="133"/>
  <c r="C47" i="133"/>
  <c r="C43" i="133"/>
  <c r="C39" i="133"/>
  <c r="C35" i="133"/>
  <c r="C31" i="133"/>
  <c r="C27" i="133"/>
  <c r="C23" i="133"/>
  <c r="C19" i="133"/>
  <c r="C15" i="133"/>
  <c r="C11" i="133"/>
  <c r="C7" i="133"/>
  <c r="C3" i="133"/>
  <c r="C979" i="133"/>
  <c r="C947" i="133"/>
  <c r="C915" i="133"/>
  <c r="C883" i="133"/>
  <c r="C851" i="133"/>
  <c r="C819" i="133"/>
  <c r="C787" i="133"/>
  <c r="C756" i="133"/>
  <c r="C740" i="133"/>
  <c r="C724" i="133"/>
  <c r="C708" i="133"/>
  <c r="C692" i="133"/>
  <c r="C676" i="133"/>
  <c r="C660" i="133"/>
  <c r="C644" i="133"/>
  <c r="C628" i="133"/>
  <c r="C612" i="133"/>
  <c r="C596" i="133"/>
  <c r="C580" i="133"/>
  <c r="C564" i="133"/>
  <c r="C548" i="133"/>
  <c r="C532" i="133"/>
  <c r="C516" i="133"/>
  <c r="C500" i="133"/>
  <c r="C489" i="133"/>
  <c r="C481" i="133"/>
  <c r="C473" i="133"/>
  <c r="C465" i="133"/>
  <c r="C457" i="133"/>
  <c r="C449" i="133"/>
  <c r="C441" i="133"/>
  <c r="C433" i="133"/>
  <c r="C425" i="133"/>
  <c r="C417" i="133"/>
  <c r="C409" i="133"/>
  <c r="C401" i="133"/>
  <c r="C393" i="133"/>
  <c r="C385" i="133"/>
  <c r="C377" i="133"/>
  <c r="C369" i="133"/>
  <c r="C361" i="133"/>
  <c r="C354" i="133"/>
  <c r="C349" i="133"/>
  <c r="C344" i="133"/>
  <c r="C338" i="133"/>
  <c r="C333" i="133"/>
  <c r="C328" i="133"/>
  <c r="C322" i="133"/>
  <c r="C317" i="133"/>
  <c r="C312" i="133"/>
  <c r="C306" i="133"/>
  <c r="C301" i="133"/>
  <c r="C296" i="133"/>
  <c r="C290" i="133"/>
  <c r="C285" i="133"/>
  <c r="C280" i="133"/>
  <c r="C274" i="133"/>
  <c r="C269" i="133"/>
  <c r="C264" i="133"/>
  <c r="C258" i="133"/>
  <c r="C253" i="133"/>
  <c r="C248" i="133"/>
  <c r="C242" i="133"/>
  <c r="C238" i="133"/>
  <c r="C234" i="133"/>
  <c r="C230" i="133"/>
  <c r="C226" i="133"/>
  <c r="C222" i="133"/>
  <c r="C218" i="133"/>
  <c r="C214" i="133"/>
  <c r="C210" i="133"/>
  <c r="C206" i="133"/>
  <c r="C202" i="133"/>
  <c r="C198" i="133"/>
  <c r="C194" i="133"/>
  <c r="C190" i="133"/>
  <c r="C186" i="133"/>
  <c r="C182" i="133"/>
  <c r="C178" i="133"/>
  <c r="C174" i="133"/>
  <c r="C170" i="133"/>
  <c r="C166" i="133"/>
  <c r="C162" i="133"/>
  <c r="C158" i="133"/>
  <c r="C154" i="133"/>
  <c r="C150" i="133"/>
  <c r="C146" i="133"/>
  <c r="C142" i="133"/>
  <c r="C138" i="133"/>
  <c r="C134" i="133"/>
  <c r="C130" i="133"/>
  <c r="C126" i="133"/>
  <c r="C122" i="133"/>
  <c r="C118" i="133"/>
  <c r="C114" i="133"/>
  <c r="C110" i="133"/>
  <c r="C106" i="133"/>
  <c r="C102" i="133"/>
  <c r="C98" i="133"/>
  <c r="C94" i="133"/>
  <c r="C90" i="133"/>
  <c r="C86" i="133"/>
  <c r="C82" i="133"/>
  <c r="C78" i="133"/>
  <c r="C74" i="133"/>
  <c r="C70" i="133"/>
  <c r="C66" i="133"/>
  <c r="C62" i="133"/>
  <c r="C58" i="133"/>
  <c r="C54" i="133"/>
  <c r="C50" i="133"/>
  <c r="C46" i="133"/>
  <c r="C42" i="133"/>
  <c r="C38" i="133"/>
  <c r="C34" i="133"/>
  <c r="C30" i="133"/>
  <c r="C26" i="133"/>
  <c r="C22" i="133"/>
  <c r="C18" i="133"/>
  <c r="C14" i="133"/>
  <c r="C10" i="133"/>
  <c r="C6" i="133"/>
  <c r="C2" i="133"/>
  <c r="C971" i="133"/>
  <c r="C939" i="133"/>
  <c r="C907" i="133"/>
  <c r="C875" i="133"/>
  <c r="C843" i="133"/>
  <c r="C811" i="133"/>
  <c r="C779" i="133"/>
  <c r="C755" i="133"/>
  <c r="C739" i="133"/>
  <c r="C723" i="133"/>
  <c r="C707" i="133"/>
  <c r="C691" i="133"/>
  <c r="C675" i="133"/>
  <c r="C659" i="133"/>
  <c r="C643" i="133"/>
  <c r="C627" i="133"/>
  <c r="C611" i="133"/>
  <c r="C595" i="133"/>
  <c r="C579" i="133"/>
  <c r="C563" i="133"/>
  <c r="C547" i="133"/>
  <c r="C531" i="133"/>
  <c r="C515" i="133"/>
  <c r="C499" i="133"/>
  <c r="C488" i="133"/>
  <c r="C480" i="133"/>
  <c r="C472" i="133"/>
  <c r="C464" i="133"/>
  <c r="C456" i="133"/>
  <c r="C448" i="133"/>
  <c r="C440" i="133"/>
  <c r="C432" i="133"/>
  <c r="C424" i="133"/>
  <c r="C416" i="133"/>
  <c r="C408" i="133"/>
  <c r="C400" i="133"/>
  <c r="C392" i="133"/>
  <c r="C384" i="133"/>
  <c r="C376" i="133"/>
  <c r="C368" i="133"/>
  <c r="C360" i="133"/>
  <c r="C353" i="133"/>
  <c r="C348" i="133"/>
  <c r="C342" i="133"/>
  <c r="C337" i="133"/>
  <c r="C332" i="133"/>
  <c r="C326" i="133"/>
  <c r="C321" i="133"/>
  <c r="C316" i="133"/>
  <c r="C310" i="133"/>
  <c r="C305" i="133"/>
  <c r="C300" i="133"/>
  <c r="C294" i="133"/>
  <c r="C289" i="133"/>
  <c r="C284" i="133"/>
  <c r="C278" i="133"/>
  <c r="C273" i="133"/>
  <c r="C268" i="133"/>
  <c r="C262" i="133"/>
  <c r="C257" i="133"/>
  <c r="C252" i="133"/>
  <c r="C246" i="133"/>
  <c r="C241" i="133"/>
  <c r="C237" i="133"/>
  <c r="C233" i="133"/>
  <c r="C229" i="133"/>
  <c r="C225" i="133"/>
  <c r="C221" i="133"/>
  <c r="C217" i="133"/>
  <c r="C213" i="133"/>
  <c r="C209" i="133"/>
  <c r="C205" i="133"/>
  <c r="C201" i="133"/>
  <c r="C197" i="133"/>
  <c r="C193" i="133"/>
  <c r="C189" i="133"/>
  <c r="C185" i="133"/>
  <c r="C181" i="133"/>
  <c r="C177" i="133"/>
  <c r="C173" i="133"/>
  <c r="C169" i="133"/>
  <c r="C165" i="133"/>
  <c r="C161" i="133"/>
  <c r="C157" i="133"/>
  <c r="C153" i="133"/>
  <c r="C149" i="133"/>
  <c r="C145" i="133"/>
  <c r="C141" i="133"/>
  <c r="C137" i="133"/>
  <c r="C133" i="133"/>
  <c r="C129" i="133"/>
  <c r="C113" i="133"/>
  <c r="C97" i="133"/>
  <c r="C81" i="133"/>
  <c r="C65" i="133"/>
  <c r="C49" i="133"/>
  <c r="C33" i="133"/>
  <c r="C17" i="133"/>
  <c r="C125" i="133"/>
  <c r="C109" i="133"/>
  <c r="C93" i="133"/>
  <c r="C77" i="133"/>
  <c r="C61" i="133"/>
  <c r="C45" i="133"/>
  <c r="C29" i="133"/>
  <c r="C13" i="133"/>
  <c r="C121" i="133"/>
  <c r="C105" i="133"/>
  <c r="C89" i="133"/>
  <c r="C73" i="133"/>
  <c r="C57" i="133"/>
  <c r="C41" i="133"/>
  <c r="C25" i="133"/>
  <c r="C9" i="133"/>
  <c r="C117" i="133"/>
  <c r="C101" i="133"/>
  <c r="C85" i="133"/>
  <c r="C69" i="133"/>
  <c r="C53" i="133"/>
  <c r="C37" i="133"/>
  <c r="C21" i="133"/>
  <c r="C5" i="133"/>
  <c r="C1502" i="126" l="1"/>
  <c r="C101" i="125"/>
  <c r="C102" i="125"/>
  <c r="C176" i="122"/>
  <c r="C1498" i="126"/>
  <c r="C1494" i="126"/>
  <c r="C1490" i="126"/>
  <c r="C1486" i="126"/>
  <c r="C1482" i="126"/>
  <c r="C1478" i="126"/>
  <c r="C1474" i="126"/>
  <c r="C1470" i="126"/>
  <c r="C1466" i="126"/>
  <c r="C1462" i="126"/>
  <c r="C1458" i="126"/>
  <c r="C1454" i="126"/>
  <c r="C1450" i="126"/>
  <c r="C1446" i="126"/>
  <c r="C1442" i="126"/>
  <c r="C1438" i="126"/>
  <c r="C1434" i="126"/>
  <c r="C1430" i="126"/>
  <c r="C1426" i="126"/>
  <c r="C1422" i="126"/>
  <c r="C1418" i="126"/>
  <c r="C1414" i="126"/>
  <c r="C1410" i="126"/>
  <c r="C1406" i="126"/>
  <c r="C1402" i="126"/>
  <c r="C1398" i="126"/>
  <c r="C1394" i="126"/>
  <c r="C1390" i="126"/>
  <c r="C1386" i="126"/>
  <c r="C1382" i="126"/>
  <c r="C1378" i="126"/>
  <c r="C1374" i="126"/>
  <c r="C1370" i="126"/>
  <c r="C1366" i="126"/>
  <c r="C1362" i="126"/>
  <c r="C1358" i="126"/>
  <c r="C1354" i="126"/>
  <c r="C1350" i="126"/>
  <c r="C1346" i="126"/>
  <c r="C1342" i="126"/>
  <c r="C1338" i="126"/>
  <c r="C1334" i="126"/>
  <c r="C1330" i="126"/>
  <c r="C1326" i="126"/>
  <c r="C1322" i="126"/>
  <c r="C1318" i="126"/>
  <c r="C1314" i="126"/>
  <c r="C1310" i="126"/>
  <c r="C1306" i="126"/>
  <c r="C1302" i="126"/>
  <c r="C1298" i="126"/>
  <c r="C1294" i="126"/>
  <c r="C1290" i="126"/>
  <c r="C1286" i="126"/>
  <c r="C1282" i="126"/>
  <c r="C1278" i="126"/>
  <c r="C1274" i="126"/>
  <c r="C1270" i="126"/>
  <c r="C1266" i="126"/>
  <c r="C1262" i="126"/>
  <c r="C1258" i="126"/>
  <c r="C1254" i="126"/>
  <c r="C1250" i="126"/>
  <c r="C1246" i="126"/>
  <c r="C1242" i="126"/>
  <c r="C1238" i="126"/>
  <c r="C1234" i="126"/>
  <c r="C1230" i="126"/>
  <c r="C1226" i="126"/>
  <c r="C1222" i="126"/>
  <c r="C1218" i="126"/>
  <c r="C1214" i="126"/>
  <c r="C1210" i="126"/>
  <c r="C1206" i="126"/>
  <c r="C1202" i="126"/>
  <c r="C1198" i="126"/>
  <c r="C1194" i="126"/>
  <c r="C1190" i="126"/>
  <c r="C1186" i="126"/>
  <c r="C1182" i="126"/>
  <c r="C1178" i="126"/>
  <c r="C1174" i="126"/>
  <c r="C1170" i="126"/>
  <c r="C1166" i="126"/>
  <c r="C1162" i="126"/>
  <c r="C1158" i="126"/>
  <c r="C1154" i="126"/>
  <c r="C1150" i="126"/>
  <c r="C1146" i="126"/>
  <c r="C1142" i="126"/>
  <c r="C1138" i="126"/>
  <c r="C1134" i="126"/>
  <c r="C1130" i="126"/>
  <c r="C1126" i="126"/>
  <c r="C1122" i="126"/>
  <c r="C1118" i="126"/>
  <c r="C1114" i="126"/>
  <c r="C1110" i="126"/>
  <c r="C1106" i="126"/>
  <c r="C1102" i="126"/>
  <c r="C1098" i="126"/>
  <c r="C1094" i="126"/>
  <c r="C1090" i="126"/>
  <c r="C1086" i="126"/>
  <c r="C1082" i="126"/>
  <c r="C1078" i="126"/>
  <c r="C1074" i="126"/>
  <c r="C1070" i="126"/>
  <c r="C1066" i="126"/>
  <c r="C1062" i="126"/>
  <c r="C1058" i="126"/>
  <c r="C1054" i="126"/>
  <c r="C1050" i="126"/>
  <c r="C1046" i="126"/>
  <c r="C1042" i="126"/>
  <c r="C1038" i="126"/>
  <c r="C1034" i="126"/>
  <c r="C1030" i="126"/>
  <c r="C1026" i="126"/>
  <c r="C1022" i="126"/>
  <c r="C1018" i="126"/>
  <c r="C1014" i="126"/>
  <c r="C1010" i="126"/>
  <c r="C1006" i="126"/>
  <c r="C1002" i="126"/>
  <c r="C1491" i="126"/>
  <c r="C1475" i="126"/>
  <c r="C1501" i="126"/>
  <c r="C1497" i="126"/>
  <c r="C1493" i="126"/>
  <c r="C1489" i="126"/>
  <c r="C1485" i="126"/>
  <c r="C1481" i="126"/>
  <c r="C1477" i="126"/>
  <c r="C1473" i="126"/>
  <c r="C1469" i="126"/>
  <c r="C1465" i="126"/>
  <c r="C1461" i="126"/>
  <c r="C1457" i="126"/>
  <c r="C1453" i="126"/>
  <c r="C1449" i="126"/>
  <c r="C1445" i="126"/>
  <c r="C1441" i="126"/>
  <c r="C1437" i="126"/>
  <c r="C1433" i="126"/>
  <c r="C1429" i="126"/>
  <c r="C1425" i="126"/>
  <c r="C1421" i="126"/>
  <c r="C1417" i="126"/>
  <c r="C1413" i="126"/>
  <c r="C1409" i="126"/>
  <c r="C1405" i="126"/>
  <c r="C1401" i="126"/>
  <c r="C1397" i="126"/>
  <c r="C1393" i="126"/>
  <c r="C1389" i="126"/>
  <c r="C1385" i="126"/>
  <c r="C1381" i="126"/>
  <c r="C1377" i="126"/>
  <c r="C1373" i="126"/>
  <c r="C1369" i="126"/>
  <c r="C1365" i="126"/>
  <c r="C1361" i="126"/>
  <c r="C1357" i="126"/>
  <c r="C1353" i="126"/>
  <c r="C1349" i="126"/>
  <c r="C1345" i="126"/>
  <c r="C1341" i="126"/>
  <c r="C1337" i="126"/>
  <c r="C1333" i="126"/>
  <c r="C1329" i="126"/>
  <c r="C1325" i="126"/>
  <c r="C1321" i="126"/>
  <c r="C1317" i="126"/>
  <c r="C1313" i="126"/>
  <c r="C1309" i="126"/>
  <c r="C1305" i="126"/>
  <c r="C1301" i="126"/>
  <c r="C1297" i="126"/>
  <c r="C1293" i="126"/>
  <c r="C1289" i="126"/>
  <c r="C1285" i="126"/>
  <c r="C1281" i="126"/>
  <c r="C1277" i="126"/>
  <c r="C1273" i="126"/>
  <c r="C1269" i="126"/>
  <c r="C1265" i="126"/>
  <c r="C1261" i="126"/>
  <c r="C1257" i="126"/>
  <c r="C1253" i="126"/>
  <c r="C1249" i="126"/>
  <c r="C1245" i="126"/>
  <c r="C1241" i="126"/>
  <c r="C1237" i="126"/>
  <c r="C1233" i="126"/>
  <c r="C1229" i="126"/>
  <c r="C1225" i="126"/>
  <c r="C1221" i="126"/>
  <c r="C1217" i="126"/>
  <c r="C1213" i="126"/>
  <c r="C1209" i="126"/>
  <c r="C1205" i="126"/>
  <c r="C1201" i="126"/>
  <c r="C1197" i="126"/>
  <c r="C1193" i="126"/>
  <c r="C1189" i="126"/>
  <c r="C1185" i="126"/>
  <c r="C1181" i="126"/>
  <c r="C1177" i="126"/>
  <c r="C1173" i="126"/>
  <c r="C1169" i="126"/>
  <c r="C1165" i="126"/>
  <c r="C1161" i="126"/>
  <c r="C1157" i="126"/>
  <c r="C1153" i="126"/>
  <c r="C1149" i="126"/>
  <c r="C1145" i="126"/>
  <c r="C1141" i="126"/>
  <c r="C1137" i="126"/>
  <c r="C1133" i="126"/>
  <c r="C1129" i="126"/>
  <c r="C1125" i="126"/>
  <c r="C1121" i="126"/>
  <c r="C1117" i="126"/>
  <c r="C1113" i="126"/>
  <c r="C1109" i="126"/>
  <c r="C1105" i="126"/>
  <c r="C1101" i="126"/>
  <c r="C1097" i="126"/>
  <c r="C1093" i="126"/>
  <c r="C1089" i="126"/>
  <c r="C1085" i="126"/>
  <c r="C1081" i="126"/>
  <c r="C1077" i="126"/>
  <c r="C1073" i="126"/>
  <c r="C1069" i="126"/>
  <c r="C1065" i="126"/>
  <c r="C1061" i="126"/>
  <c r="C1057" i="126"/>
  <c r="C1053" i="126"/>
  <c r="C1049" i="126"/>
  <c r="C1045" i="126"/>
  <c r="C1041" i="126"/>
  <c r="C1037" i="126"/>
  <c r="C1033" i="126"/>
  <c r="C1029" i="126"/>
  <c r="C1025" i="126"/>
  <c r="C1021" i="126"/>
  <c r="C1017" i="126"/>
  <c r="C1013" i="126"/>
  <c r="C1009" i="126"/>
  <c r="C1005" i="126"/>
  <c r="C1499" i="126"/>
  <c r="C1487" i="126"/>
  <c r="C1500" i="126"/>
  <c r="C1496" i="126"/>
  <c r="C1492" i="126"/>
  <c r="C1488" i="126"/>
  <c r="C1484" i="126"/>
  <c r="C1480" i="126"/>
  <c r="C1476" i="126"/>
  <c r="C1472" i="126"/>
  <c r="C1468" i="126"/>
  <c r="C1464" i="126"/>
  <c r="C1460" i="126"/>
  <c r="C1456" i="126"/>
  <c r="C1452" i="126"/>
  <c r="C1448" i="126"/>
  <c r="C1444" i="126"/>
  <c r="C1440" i="126"/>
  <c r="C1436" i="126"/>
  <c r="C1432" i="126"/>
  <c r="C1428" i="126"/>
  <c r="C1424" i="126"/>
  <c r="C1420" i="126"/>
  <c r="C1416" i="126"/>
  <c r="C1412" i="126"/>
  <c r="C1408" i="126"/>
  <c r="C1404" i="126"/>
  <c r="C1400" i="126"/>
  <c r="C1396" i="126"/>
  <c r="C1392" i="126"/>
  <c r="C1388" i="126"/>
  <c r="C1384" i="126"/>
  <c r="C1380" i="126"/>
  <c r="C1376" i="126"/>
  <c r="C1372" i="126"/>
  <c r="C1368" i="126"/>
  <c r="C1364" i="126"/>
  <c r="C1360" i="126"/>
  <c r="C1356" i="126"/>
  <c r="C1352" i="126"/>
  <c r="C1348" i="126"/>
  <c r="C1344" i="126"/>
  <c r="C1340" i="126"/>
  <c r="C1336" i="126"/>
  <c r="C1332" i="126"/>
  <c r="C1328" i="126"/>
  <c r="C1324" i="126"/>
  <c r="C1320" i="126"/>
  <c r="C1316" i="126"/>
  <c r="C1312" i="126"/>
  <c r="C1308" i="126"/>
  <c r="C1304" i="126"/>
  <c r="C1300" i="126"/>
  <c r="C1296" i="126"/>
  <c r="C1292" i="126"/>
  <c r="C1288" i="126"/>
  <c r="C1284" i="126"/>
  <c r="C1280" i="126"/>
  <c r="C1276" i="126"/>
  <c r="C1272" i="126"/>
  <c r="C1268" i="126"/>
  <c r="C1264" i="126"/>
  <c r="C1260" i="126"/>
  <c r="C1256" i="126"/>
  <c r="C1252" i="126"/>
  <c r="C1248" i="126"/>
  <c r="C1244" i="126"/>
  <c r="C1240" i="126"/>
  <c r="C1236" i="126"/>
  <c r="C1232" i="126"/>
  <c r="C1228" i="126"/>
  <c r="C1224" i="126"/>
  <c r="C1220" i="126"/>
  <c r="C1216" i="126"/>
  <c r="C1212" i="126"/>
  <c r="C1208" i="126"/>
  <c r="C1204" i="126"/>
  <c r="C1200" i="126"/>
  <c r="C1196" i="126"/>
  <c r="C1192" i="126"/>
  <c r="C1188" i="126"/>
  <c r="C1184" i="126"/>
  <c r="C1180" i="126"/>
  <c r="C1176" i="126"/>
  <c r="C1172" i="126"/>
  <c r="C1168" i="126"/>
  <c r="C1164" i="126"/>
  <c r="C1160" i="126"/>
  <c r="C1156" i="126"/>
  <c r="C1152" i="126"/>
  <c r="C1148" i="126"/>
  <c r="C1144" i="126"/>
  <c r="C1140" i="126"/>
  <c r="C1136" i="126"/>
  <c r="C1132" i="126"/>
  <c r="C1128" i="126"/>
  <c r="C1124" i="126"/>
  <c r="C1120" i="126"/>
  <c r="C1116" i="126"/>
  <c r="C1112" i="126"/>
  <c r="C1108" i="126"/>
  <c r="C1104" i="126"/>
  <c r="C1100" i="126"/>
  <c r="C1096" i="126"/>
  <c r="C1092" i="126"/>
  <c r="C1088" i="126"/>
  <c r="C1084" i="126"/>
  <c r="C1080" i="126"/>
  <c r="C1076" i="126"/>
  <c r="C1072" i="126"/>
  <c r="C1068" i="126"/>
  <c r="C1064" i="126"/>
  <c r="C1060" i="126"/>
  <c r="C1056" i="126"/>
  <c r="C1052" i="126"/>
  <c r="C1048" i="126"/>
  <c r="C1044" i="126"/>
  <c r="C1040" i="126"/>
  <c r="C1036" i="126"/>
  <c r="C1032" i="126"/>
  <c r="C1028" i="126"/>
  <c r="C1024" i="126"/>
  <c r="C1020" i="126"/>
  <c r="C1016" i="126"/>
  <c r="C1012" i="126"/>
  <c r="C1008" i="126"/>
  <c r="C1004" i="126"/>
  <c r="C1495" i="126"/>
  <c r="C1483" i="126"/>
  <c r="C1479" i="126"/>
  <c r="C1459" i="126"/>
  <c r="C1443" i="126"/>
  <c r="C1427" i="126"/>
  <c r="C1411" i="126"/>
  <c r="C1395" i="126"/>
  <c r="C1379" i="126"/>
  <c r="C1363" i="126"/>
  <c r="C1347" i="126"/>
  <c r="C1331" i="126"/>
  <c r="C1315" i="126"/>
  <c r="C1299" i="126"/>
  <c r="C1283" i="126"/>
  <c r="C1267" i="126"/>
  <c r="C1251" i="126"/>
  <c r="C1235" i="126"/>
  <c r="C1219" i="126"/>
  <c r="C1203" i="126"/>
  <c r="C1187" i="126"/>
  <c r="C1171" i="126"/>
  <c r="C1155" i="126"/>
  <c r="C1139" i="126"/>
  <c r="C1123" i="126"/>
  <c r="C1107" i="126"/>
  <c r="C1091" i="126"/>
  <c r="C1075" i="126"/>
  <c r="C1059" i="126"/>
  <c r="C1043" i="126"/>
  <c r="C1027" i="126"/>
  <c r="C1011" i="126"/>
  <c r="C1007" i="126"/>
  <c r="C1447" i="126"/>
  <c r="C1399" i="126"/>
  <c r="C1351" i="126"/>
  <c r="C1287" i="126"/>
  <c r="C1239" i="126"/>
  <c r="C1191" i="126"/>
  <c r="C1143" i="126"/>
  <c r="C1095" i="126"/>
  <c r="C1047" i="126"/>
  <c r="C1015" i="126"/>
  <c r="C1471" i="126"/>
  <c r="C1455" i="126"/>
  <c r="C1439" i="126"/>
  <c r="C1423" i="126"/>
  <c r="C1407" i="126"/>
  <c r="C1391" i="126"/>
  <c r="C1375" i="126"/>
  <c r="C1359" i="126"/>
  <c r="C1343" i="126"/>
  <c r="C1327" i="126"/>
  <c r="C1311" i="126"/>
  <c r="C1295" i="126"/>
  <c r="C1279" i="126"/>
  <c r="C1263" i="126"/>
  <c r="C1247" i="126"/>
  <c r="C1231" i="126"/>
  <c r="C1215" i="126"/>
  <c r="C1199" i="126"/>
  <c r="C1183" i="126"/>
  <c r="C1167" i="126"/>
  <c r="C1151" i="126"/>
  <c r="C1135" i="126"/>
  <c r="C1119" i="126"/>
  <c r="C1103" i="126"/>
  <c r="C1087" i="126"/>
  <c r="C1071" i="126"/>
  <c r="C1055" i="126"/>
  <c r="C1039" i="126"/>
  <c r="C1023" i="126"/>
  <c r="C1463" i="126"/>
  <c r="C1415" i="126"/>
  <c r="C1367" i="126"/>
  <c r="C1319" i="126"/>
  <c r="C1271" i="126"/>
  <c r="C1223" i="126"/>
  <c r="C1175" i="126"/>
  <c r="C1127" i="126"/>
  <c r="C1079" i="126"/>
  <c r="C1031" i="126"/>
  <c r="C1467" i="126"/>
  <c r="C1451" i="126"/>
  <c r="C1435" i="126"/>
  <c r="C1419" i="126"/>
  <c r="C1403" i="126"/>
  <c r="C1387" i="126"/>
  <c r="C1371" i="126"/>
  <c r="C1355" i="126"/>
  <c r="C1339" i="126"/>
  <c r="C1323" i="126"/>
  <c r="C1307" i="126"/>
  <c r="C1291" i="126"/>
  <c r="C1275" i="126"/>
  <c r="C1259" i="126"/>
  <c r="C1243" i="126"/>
  <c r="C1227" i="126"/>
  <c r="C1211" i="126"/>
  <c r="C1195" i="126"/>
  <c r="C1179" i="126"/>
  <c r="C1163" i="126"/>
  <c r="C1147" i="126"/>
  <c r="C1131" i="126"/>
  <c r="C1115" i="126"/>
  <c r="C1099" i="126"/>
  <c r="C1083" i="126"/>
  <c r="C1067" i="126"/>
  <c r="C1051" i="126"/>
  <c r="C1035" i="126"/>
  <c r="C1019" i="126"/>
  <c r="C1003" i="126"/>
  <c r="C1431" i="126"/>
  <c r="C1383" i="126"/>
  <c r="C1335" i="126"/>
  <c r="C1303" i="126"/>
  <c r="C1255" i="126"/>
  <c r="C1207" i="126"/>
  <c r="C1159" i="126"/>
  <c r="C1111" i="126"/>
  <c r="C1063" i="126"/>
  <c r="C998" i="126"/>
  <c r="C994" i="126"/>
  <c r="C990" i="126"/>
  <c r="C986" i="126"/>
  <c r="C982" i="126"/>
  <c r="C978" i="126"/>
  <c r="C974" i="126"/>
  <c r="C970" i="126"/>
  <c r="C966" i="126"/>
  <c r="C962" i="126"/>
  <c r="C958" i="126"/>
  <c r="C954" i="126"/>
  <c r="C950" i="126"/>
  <c r="C946" i="126"/>
  <c r="C942" i="126"/>
  <c r="C938" i="126"/>
  <c r="C934" i="126"/>
  <c r="C930" i="126"/>
  <c r="C926" i="126"/>
  <c r="C922" i="126"/>
  <c r="C918" i="126"/>
  <c r="C914" i="126"/>
  <c r="C910" i="126"/>
  <c r="C906" i="126"/>
  <c r="C902" i="126"/>
  <c r="C898" i="126"/>
  <c r="C894" i="126"/>
  <c r="C890" i="126"/>
  <c r="C886" i="126"/>
  <c r="C882" i="126"/>
  <c r="C878" i="126"/>
  <c r="C874" i="126"/>
  <c r="C870" i="126"/>
  <c r="C866" i="126"/>
  <c r="C862" i="126"/>
  <c r="C858" i="126"/>
  <c r="C854" i="126"/>
  <c r="C850" i="126"/>
  <c r="C846" i="126"/>
  <c r="C842" i="126"/>
  <c r="C838" i="126"/>
  <c r="C834" i="126"/>
  <c r="C830" i="126"/>
  <c r="C826" i="126"/>
  <c r="C822" i="126"/>
  <c r="C818" i="126"/>
  <c r="C814" i="126"/>
  <c r="C810" i="126"/>
  <c r="C806" i="126"/>
  <c r="C802" i="126"/>
  <c r="C798" i="126"/>
  <c r="C794" i="126"/>
  <c r="C790" i="126"/>
  <c r="C786" i="126"/>
  <c r="C782" i="126"/>
  <c r="C778" i="126"/>
  <c r="C774" i="126"/>
  <c r="C770" i="126"/>
  <c r="C766" i="126"/>
  <c r="C762" i="126"/>
  <c r="C758" i="126"/>
  <c r="C754" i="126"/>
  <c r="C750" i="126"/>
  <c r="C746" i="126"/>
  <c r="C742" i="126"/>
  <c r="C738" i="126"/>
  <c r="C734" i="126"/>
  <c r="C730" i="126"/>
  <c r="C726" i="126"/>
  <c r="C722" i="126"/>
  <c r="C718" i="126"/>
  <c r="C714" i="126"/>
  <c r="C710" i="126"/>
  <c r="C706" i="126"/>
  <c r="C702" i="126"/>
  <c r="C698" i="126"/>
  <c r="C694" i="126"/>
  <c r="C690" i="126"/>
  <c r="C686" i="126"/>
  <c r="C682" i="126"/>
  <c r="C678" i="126"/>
  <c r="C674" i="126"/>
  <c r="C670" i="126"/>
  <c r="C666" i="126"/>
  <c r="C662" i="126"/>
  <c r="C658" i="126"/>
  <c r="C654" i="126"/>
  <c r="C650" i="126"/>
  <c r="C646" i="126"/>
  <c r="C642" i="126"/>
  <c r="C638" i="126"/>
  <c r="C634" i="126"/>
  <c r="C630" i="126"/>
  <c r="C626" i="126"/>
  <c r="C622" i="126"/>
  <c r="C618" i="126"/>
  <c r="C614" i="126"/>
  <c r="C610" i="126"/>
  <c r="C606" i="126"/>
  <c r="C602" i="126"/>
  <c r="C598" i="126"/>
  <c r="C594" i="126"/>
  <c r="C590" i="126"/>
  <c r="C586" i="126"/>
  <c r="C582" i="126"/>
  <c r="C578" i="126"/>
  <c r="C574" i="126"/>
  <c r="C570" i="126"/>
  <c r="C566" i="126"/>
  <c r="C562" i="126"/>
  <c r="C558" i="126"/>
  <c r="C554" i="126"/>
  <c r="C550" i="126"/>
  <c r="C546" i="126"/>
  <c r="C542" i="126"/>
  <c r="C538" i="126"/>
  <c r="C534" i="126"/>
  <c r="C530" i="126"/>
  <c r="C526" i="126"/>
  <c r="C522" i="126"/>
  <c r="C518" i="126"/>
  <c r="C514" i="126"/>
  <c r="C510" i="126"/>
  <c r="C506" i="126"/>
  <c r="C502" i="126"/>
  <c r="C498" i="126"/>
  <c r="C494" i="126"/>
  <c r="C1001" i="126"/>
  <c r="C996" i="126"/>
  <c r="C991" i="126"/>
  <c r="C985" i="126"/>
  <c r="C980" i="126"/>
  <c r="C975" i="126"/>
  <c r="C969" i="126"/>
  <c r="C964" i="126"/>
  <c r="C959" i="126"/>
  <c r="C953" i="126"/>
  <c r="C948" i="126"/>
  <c r="C943" i="126"/>
  <c r="C937" i="126"/>
  <c r="C932" i="126"/>
  <c r="C927" i="126"/>
  <c r="C921" i="126"/>
  <c r="C916" i="126"/>
  <c r="C911" i="126"/>
  <c r="C905" i="126"/>
  <c r="C900" i="126"/>
  <c r="C895" i="126"/>
  <c r="C889" i="126"/>
  <c r="C884" i="126"/>
  <c r="C879" i="126"/>
  <c r="C873" i="126"/>
  <c r="C868" i="126"/>
  <c r="C863" i="126"/>
  <c r="C857" i="126"/>
  <c r="C852" i="126"/>
  <c r="C847" i="126"/>
  <c r="C841" i="126"/>
  <c r="C836" i="126"/>
  <c r="C831" i="126"/>
  <c r="C825" i="126"/>
  <c r="C820" i="126"/>
  <c r="C815" i="126"/>
  <c r="C809" i="126"/>
  <c r="C804" i="126"/>
  <c r="C799" i="126"/>
  <c r="C793" i="126"/>
  <c r="C788" i="126"/>
  <c r="C783" i="126"/>
  <c r="C777" i="126"/>
  <c r="C772" i="126"/>
  <c r="C767" i="126"/>
  <c r="C761" i="126"/>
  <c r="C756" i="126"/>
  <c r="C751" i="126"/>
  <c r="C745" i="126"/>
  <c r="C740" i="126"/>
  <c r="C735" i="126"/>
  <c r="C729" i="126"/>
  <c r="C724" i="126"/>
  <c r="C719" i="126"/>
  <c r="C713" i="126"/>
  <c r="C708" i="126"/>
  <c r="C703" i="126"/>
  <c r="C697" i="126"/>
  <c r="C692" i="126"/>
  <c r="C687" i="126"/>
  <c r="C681" i="126"/>
  <c r="C676" i="126"/>
  <c r="C671" i="126"/>
  <c r="C665" i="126"/>
  <c r="C660" i="126"/>
  <c r="C655" i="126"/>
  <c r="C649" i="126"/>
  <c r="C644" i="126"/>
  <c r="C639" i="126"/>
  <c r="C633" i="126"/>
  <c r="C628" i="126"/>
  <c r="C623" i="126"/>
  <c r="C617" i="126"/>
  <c r="C612" i="126"/>
  <c r="C607" i="126"/>
  <c r="C601" i="126"/>
  <c r="C596" i="126"/>
  <c r="C591" i="126"/>
  <c r="C585" i="126"/>
  <c r="C580" i="126"/>
  <c r="C575" i="126"/>
  <c r="C569" i="126"/>
  <c r="C564" i="126"/>
  <c r="C559" i="126"/>
  <c r="C553" i="126"/>
  <c r="C548" i="126"/>
  <c r="C543" i="126"/>
  <c r="C537" i="126"/>
  <c r="C532" i="126"/>
  <c r="C527" i="126"/>
  <c r="C521" i="126"/>
  <c r="C516" i="126"/>
  <c r="C511" i="126"/>
  <c r="C505" i="126"/>
  <c r="C500" i="126"/>
  <c r="C495" i="126"/>
  <c r="C490" i="126"/>
  <c r="C486" i="126"/>
  <c r="C482" i="126"/>
  <c r="C478" i="126"/>
  <c r="C474" i="126"/>
  <c r="C470" i="126"/>
  <c r="C466" i="126"/>
  <c r="C462" i="126"/>
  <c r="C458" i="126"/>
  <c r="C454" i="126"/>
  <c r="C450" i="126"/>
  <c r="C446" i="126"/>
  <c r="C442" i="126"/>
  <c r="C438" i="126"/>
  <c r="C434" i="126"/>
  <c r="C430" i="126"/>
  <c r="C426" i="126"/>
  <c r="C422" i="126"/>
  <c r="C418" i="126"/>
  <c r="C414" i="126"/>
  <c r="C410" i="126"/>
  <c r="C406" i="126"/>
  <c r="C402" i="126"/>
  <c r="C398" i="126"/>
  <c r="C394" i="126"/>
  <c r="C390" i="126"/>
  <c r="C386" i="126"/>
  <c r="C382" i="126"/>
  <c r="C378" i="126"/>
  <c r="C374" i="126"/>
  <c r="C370" i="126"/>
  <c r="C366" i="126"/>
  <c r="C362" i="126"/>
  <c r="C358" i="126"/>
  <c r="C354" i="126"/>
  <c r="C350" i="126"/>
  <c r="C346" i="126"/>
  <c r="C342" i="126"/>
  <c r="C338" i="126"/>
  <c r="C334" i="126"/>
  <c r="C330" i="126"/>
  <c r="C326" i="126"/>
  <c r="C322" i="126"/>
  <c r="C318" i="126"/>
  <c r="C314" i="126"/>
  <c r="C310" i="126"/>
  <c r="C306" i="126"/>
  <c r="C302" i="126"/>
  <c r="C298" i="126"/>
  <c r="C294" i="126"/>
  <c r="C290" i="126"/>
  <c r="C286" i="126"/>
  <c r="C282" i="126"/>
  <c r="C278" i="126"/>
  <c r="C274" i="126"/>
  <c r="C270" i="126"/>
  <c r="C266" i="126"/>
  <c r="C262" i="126"/>
  <c r="C258" i="126"/>
  <c r="C254" i="126"/>
  <c r="C250" i="126"/>
  <c r="C246" i="126"/>
  <c r="C242" i="126"/>
  <c r="C238" i="126"/>
  <c r="C234" i="126"/>
  <c r="C230" i="126"/>
  <c r="C226" i="126"/>
  <c r="C222" i="126"/>
  <c r="C218" i="126"/>
  <c r="C214" i="126"/>
  <c r="C210" i="126"/>
  <c r="C206" i="126"/>
  <c r="C202" i="126"/>
  <c r="C198" i="126"/>
  <c r="C194" i="126"/>
  <c r="C190" i="126"/>
  <c r="C186" i="126"/>
  <c r="C182" i="126"/>
  <c r="C178" i="126"/>
  <c r="C174" i="126"/>
  <c r="C170" i="126"/>
  <c r="C166" i="126"/>
  <c r="C162" i="126"/>
  <c r="C158" i="126"/>
  <c r="C154" i="126"/>
  <c r="C150" i="126"/>
  <c r="C146" i="126"/>
  <c r="C142" i="126"/>
  <c r="C138" i="126"/>
  <c r="C134" i="126"/>
  <c r="C130" i="126"/>
  <c r="C126" i="126"/>
  <c r="C122" i="126"/>
  <c r="C118" i="126"/>
  <c r="C114" i="126"/>
  <c r="C110" i="126"/>
  <c r="C106" i="126"/>
  <c r="C102" i="126"/>
  <c r="C98" i="126"/>
  <c r="C94" i="126"/>
  <c r="C90" i="126"/>
  <c r="C86" i="126"/>
  <c r="C82" i="126"/>
  <c r="C78" i="126"/>
  <c r="C74" i="126"/>
  <c r="C70" i="126"/>
  <c r="C66" i="126"/>
  <c r="C62" i="126"/>
  <c r="C58" i="126"/>
  <c r="C54" i="126"/>
  <c r="C50" i="126"/>
  <c r="C46" i="126"/>
  <c r="C42" i="126"/>
  <c r="C38" i="126"/>
  <c r="C34" i="126"/>
  <c r="C30" i="126"/>
  <c r="C26" i="126"/>
  <c r="C22" i="126"/>
  <c r="C18" i="126"/>
  <c r="C14" i="126"/>
  <c r="C10" i="126"/>
  <c r="C6" i="126"/>
  <c r="C2" i="126"/>
  <c r="C1000" i="126"/>
  <c r="C995" i="126"/>
  <c r="C989" i="126"/>
  <c r="C984" i="126"/>
  <c r="C979" i="126"/>
  <c r="C973" i="126"/>
  <c r="C968" i="126"/>
  <c r="C963" i="126"/>
  <c r="C957" i="126"/>
  <c r="C952" i="126"/>
  <c r="C947" i="126"/>
  <c r="C941" i="126"/>
  <c r="C936" i="126"/>
  <c r="C931" i="126"/>
  <c r="C925" i="126"/>
  <c r="C920" i="126"/>
  <c r="C915" i="126"/>
  <c r="C909" i="126"/>
  <c r="C904" i="126"/>
  <c r="C899" i="126"/>
  <c r="C893" i="126"/>
  <c r="C888" i="126"/>
  <c r="C883" i="126"/>
  <c r="C877" i="126"/>
  <c r="C872" i="126"/>
  <c r="C867" i="126"/>
  <c r="C861" i="126"/>
  <c r="C856" i="126"/>
  <c r="C851" i="126"/>
  <c r="C845" i="126"/>
  <c r="C840" i="126"/>
  <c r="C835" i="126"/>
  <c r="C829" i="126"/>
  <c r="C824" i="126"/>
  <c r="C819" i="126"/>
  <c r="C813" i="126"/>
  <c r="C999" i="126"/>
  <c r="C988" i="126"/>
  <c r="C977" i="126"/>
  <c r="C967" i="126"/>
  <c r="C956" i="126"/>
  <c r="C945" i="126"/>
  <c r="C935" i="126"/>
  <c r="C924" i="126"/>
  <c r="C913" i="126"/>
  <c r="C903" i="126"/>
  <c r="C892" i="126"/>
  <c r="C881" i="126"/>
  <c r="C871" i="126"/>
  <c r="C860" i="126"/>
  <c r="C849" i="126"/>
  <c r="C839" i="126"/>
  <c r="C828" i="126"/>
  <c r="C817" i="126"/>
  <c r="C808" i="126"/>
  <c r="C801" i="126"/>
  <c r="C795" i="126"/>
  <c r="C787" i="126"/>
  <c r="C780" i="126"/>
  <c r="C773" i="126"/>
  <c r="C765" i="126"/>
  <c r="C759" i="126"/>
  <c r="C752" i="126"/>
  <c r="C744" i="126"/>
  <c r="C737" i="126"/>
  <c r="C731" i="126"/>
  <c r="C723" i="126"/>
  <c r="C716" i="126"/>
  <c r="C709" i="126"/>
  <c r="C701" i="126"/>
  <c r="C695" i="126"/>
  <c r="C688" i="126"/>
  <c r="C680" i="126"/>
  <c r="C673" i="126"/>
  <c r="C667" i="126"/>
  <c r="C659" i="126"/>
  <c r="C652" i="126"/>
  <c r="C645" i="126"/>
  <c r="C637" i="126"/>
  <c r="C631" i="126"/>
  <c r="C624" i="126"/>
  <c r="C616" i="126"/>
  <c r="C609" i="126"/>
  <c r="C603" i="126"/>
  <c r="C595" i="126"/>
  <c r="C588" i="126"/>
  <c r="C581" i="126"/>
  <c r="C573" i="126"/>
  <c r="C567" i="126"/>
  <c r="C560" i="126"/>
  <c r="C552" i="126"/>
  <c r="C545" i="126"/>
  <c r="C539" i="126"/>
  <c r="C531" i="126"/>
  <c r="C524" i="126"/>
  <c r="C517" i="126"/>
  <c r="C509" i="126"/>
  <c r="C503" i="126"/>
  <c r="C496" i="126"/>
  <c r="C489" i="126"/>
  <c r="C484" i="126"/>
  <c r="C479" i="126"/>
  <c r="C473" i="126"/>
  <c r="C468" i="126"/>
  <c r="C463" i="126"/>
  <c r="C457" i="126"/>
  <c r="C452" i="126"/>
  <c r="C447" i="126"/>
  <c r="C441" i="126"/>
  <c r="C436" i="126"/>
  <c r="C431" i="126"/>
  <c r="C425" i="126"/>
  <c r="C420" i="126"/>
  <c r="C415" i="126"/>
  <c r="C409" i="126"/>
  <c r="C404" i="126"/>
  <c r="C399" i="126"/>
  <c r="C393" i="126"/>
  <c r="C388" i="126"/>
  <c r="C383" i="126"/>
  <c r="C377" i="126"/>
  <c r="C372" i="126"/>
  <c r="C367" i="126"/>
  <c r="C361" i="126"/>
  <c r="C356" i="126"/>
  <c r="C351" i="126"/>
  <c r="C345" i="126"/>
  <c r="C340" i="126"/>
  <c r="C335" i="126"/>
  <c r="C329" i="126"/>
  <c r="C324" i="126"/>
  <c r="C319" i="126"/>
  <c r="C313" i="126"/>
  <c r="C308" i="126"/>
  <c r="C303" i="126"/>
  <c r="C297" i="126"/>
  <c r="C292" i="126"/>
  <c r="C287" i="126"/>
  <c r="C281" i="126"/>
  <c r="C276" i="126"/>
  <c r="C271" i="126"/>
  <c r="C265" i="126"/>
  <c r="C260" i="126"/>
  <c r="C255" i="126"/>
  <c r="C249" i="126"/>
  <c r="C244" i="126"/>
  <c r="C239" i="126"/>
  <c r="C233" i="126"/>
  <c r="C228" i="126"/>
  <c r="C223" i="126"/>
  <c r="C217" i="126"/>
  <c r="C212" i="126"/>
  <c r="C207" i="126"/>
  <c r="C201" i="126"/>
  <c r="C196" i="126"/>
  <c r="C191" i="126"/>
  <c r="C185" i="126"/>
  <c r="C180" i="126"/>
  <c r="C175" i="126"/>
  <c r="C169" i="126"/>
  <c r="C164" i="126"/>
  <c r="C159" i="126"/>
  <c r="C153" i="126"/>
  <c r="C148" i="126"/>
  <c r="C143" i="126"/>
  <c r="C137" i="126"/>
  <c r="C132" i="126"/>
  <c r="C127" i="126"/>
  <c r="C121" i="126"/>
  <c r="C116" i="126"/>
  <c r="C111" i="126"/>
  <c r="C105" i="126"/>
  <c r="C100" i="126"/>
  <c r="C95" i="126"/>
  <c r="C89" i="126"/>
  <c r="C84" i="126"/>
  <c r="C79" i="126"/>
  <c r="C73" i="126"/>
  <c r="C68" i="126"/>
  <c r="C63" i="126"/>
  <c r="C57" i="126"/>
  <c r="C52" i="126"/>
  <c r="C47" i="126"/>
  <c r="C41" i="126"/>
  <c r="C36" i="126"/>
  <c r="C31" i="126"/>
  <c r="C25" i="126"/>
  <c r="C20" i="126"/>
  <c r="C15" i="126"/>
  <c r="C9" i="126"/>
  <c r="C4" i="126"/>
  <c r="C608" i="126"/>
  <c r="C587" i="126"/>
  <c r="C572" i="126"/>
  <c r="C557" i="126"/>
  <c r="C544" i="126"/>
  <c r="C529" i="126"/>
  <c r="C515" i="126"/>
  <c r="C501" i="126"/>
  <c r="C488" i="126"/>
  <c r="C477" i="126"/>
  <c r="C467" i="126"/>
  <c r="C456" i="126"/>
  <c r="C445" i="126"/>
  <c r="C435" i="126"/>
  <c r="C424" i="126"/>
  <c r="C413" i="126"/>
  <c r="C403" i="126"/>
  <c r="C392" i="126"/>
  <c r="C381" i="126"/>
  <c r="C371" i="126"/>
  <c r="C360" i="126"/>
  <c r="C349" i="126"/>
  <c r="C339" i="126"/>
  <c r="C328" i="126"/>
  <c r="C317" i="126"/>
  <c r="C301" i="126"/>
  <c r="C291" i="126"/>
  <c r="C280" i="126"/>
  <c r="C269" i="126"/>
  <c r="C259" i="126"/>
  <c r="C248" i="126"/>
  <c r="C237" i="126"/>
  <c r="C227" i="126"/>
  <c r="C216" i="126"/>
  <c r="C205" i="126"/>
  <c r="C195" i="126"/>
  <c r="C184" i="126"/>
  <c r="C173" i="126"/>
  <c r="C163" i="126"/>
  <c r="C152" i="126"/>
  <c r="C141" i="126"/>
  <c r="C131" i="126"/>
  <c r="C120" i="126"/>
  <c r="C109" i="126"/>
  <c r="C99" i="126"/>
  <c r="C88" i="126"/>
  <c r="C77" i="126"/>
  <c r="C67" i="126"/>
  <c r="C61" i="126"/>
  <c r="C51" i="126"/>
  <c r="C40" i="126"/>
  <c r="C29" i="126"/>
  <c r="C19" i="126"/>
  <c r="C8" i="126"/>
  <c r="C993" i="126"/>
  <c r="C972" i="126"/>
  <c r="C951" i="126"/>
  <c r="C929" i="126"/>
  <c r="C908" i="126"/>
  <c r="C887" i="126"/>
  <c r="C876" i="126"/>
  <c r="C855" i="126"/>
  <c r="C833" i="126"/>
  <c r="C812" i="126"/>
  <c r="C797" i="126"/>
  <c r="C784" i="126"/>
  <c r="C763" i="126"/>
  <c r="C748" i="126"/>
  <c r="C733" i="126"/>
  <c r="C720" i="126"/>
  <c r="C705" i="126"/>
  <c r="C691" i="126"/>
  <c r="C677" i="126"/>
  <c r="C663" i="126"/>
  <c r="C648" i="126"/>
  <c r="C635" i="126"/>
  <c r="C620" i="126"/>
  <c r="C605" i="126"/>
  <c r="C592" i="126"/>
  <c r="C577" i="126"/>
  <c r="C563" i="126"/>
  <c r="C997" i="126"/>
  <c r="C987" i="126"/>
  <c r="C976" i="126"/>
  <c r="C965" i="126"/>
  <c r="C955" i="126"/>
  <c r="C944" i="126"/>
  <c r="C933" i="126"/>
  <c r="C923" i="126"/>
  <c r="C912" i="126"/>
  <c r="C901" i="126"/>
  <c r="C891" i="126"/>
  <c r="C880" i="126"/>
  <c r="C869" i="126"/>
  <c r="C859" i="126"/>
  <c r="C848" i="126"/>
  <c r="C837" i="126"/>
  <c r="C827" i="126"/>
  <c r="C816" i="126"/>
  <c r="C807" i="126"/>
  <c r="C800" i="126"/>
  <c r="C792" i="126"/>
  <c r="C785" i="126"/>
  <c r="C779" i="126"/>
  <c r="C771" i="126"/>
  <c r="C764" i="126"/>
  <c r="C757" i="126"/>
  <c r="C749" i="126"/>
  <c r="C743" i="126"/>
  <c r="C736" i="126"/>
  <c r="C728" i="126"/>
  <c r="C721" i="126"/>
  <c r="C715" i="126"/>
  <c r="C707" i="126"/>
  <c r="C700" i="126"/>
  <c r="C693" i="126"/>
  <c r="C685" i="126"/>
  <c r="C679" i="126"/>
  <c r="C672" i="126"/>
  <c r="C664" i="126"/>
  <c r="C657" i="126"/>
  <c r="C651" i="126"/>
  <c r="C643" i="126"/>
  <c r="C636" i="126"/>
  <c r="C629" i="126"/>
  <c r="C621" i="126"/>
  <c r="C615" i="126"/>
  <c r="C600" i="126"/>
  <c r="C593" i="126"/>
  <c r="C579" i="126"/>
  <c r="C565" i="126"/>
  <c r="C551" i="126"/>
  <c r="C536" i="126"/>
  <c r="C523" i="126"/>
  <c r="C508" i="126"/>
  <c r="C493" i="126"/>
  <c r="C483" i="126"/>
  <c r="C472" i="126"/>
  <c r="C461" i="126"/>
  <c r="C451" i="126"/>
  <c r="C440" i="126"/>
  <c r="C429" i="126"/>
  <c r="C419" i="126"/>
  <c r="C408" i="126"/>
  <c r="C397" i="126"/>
  <c r="C387" i="126"/>
  <c r="C376" i="126"/>
  <c r="C365" i="126"/>
  <c r="C355" i="126"/>
  <c r="C344" i="126"/>
  <c r="C333" i="126"/>
  <c r="C323" i="126"/>
  <c r="C312" i="126"/>
  <c r="C307" i="126"/>
  <c r="C296" i="126"/>
  <c r="C285" i="126"/>
  <c r="C275" i="126"/>
  <c r="C264" i="126"/>
  <c r="C253" i="126"/>
  <c r="C243" i="126"/>
  <c r="C232" i="126"/>
  <c r="C221" i="126"/>
  <c r="C211" i="126"/>
  <c r="C200" i="126"/>
  <c r="C189" i="126"/>
  <c r="C179" i="126"/>
  <c r="C168" i="126"/>
  <c r="C157" i="126"/>
  <c r="C147" i="126"/>
  <c r="C136" i="126"/>
  <c r="C125" i="126"/>
  <c r="C115" i="126"/>
  <c r="C104" i="126"/>
  <c r="C93" i="126"/>
  <c r="C83" i="126"/>
  <c r="C72" i="126"/>
  <c r="C56" i="126"/>
  <c r="C45" i="126"/>
  <c r="C35" i="126"/>
  <c r="C24" i="126"/>
  <c r="C13" i="126"/>
  <c r="C3" i="126"/>
  <c r="C983" i="126"/>
  <c r="C961" i="126"/>
  <c r="C940" i="126"/>
  <c r="C919" i="126"/>
  <c r="C897" i="126"/>
  <c r="C865" i="126"/>
  <c r="C844" i="126"/>
  <c r="C823" i="126"/>
  <c r="C805" i="126"/>
  <c r="C791" i="126"/>
  <c r="C776" i="126"/>
  <c r="C769" i="126"/>
  <c r="C755" i="126"/>
  <c r="C741" i="126"/>
  <c r="C727" i="126"/>
  <c r="C712" i="126"/>
  <c r="C699" i="126"/>
  <c r="C684" i="126"/>
  <c r="C669" i="126"/>
  <c r="C656" i="126"/>
  <c r="C641" i="126"/>
  <c r="C627" i="126"/>
  <c r="C613" i="126"/>
  <c r="C599" i="126"/>
  <c r="C584" i="126"/>
  <c r="C571" i="126"/>
  <c r="C992" i="126"/>
  <c r="C949" i="126"/>
  <c r="C907" i="126"/>
  <c r="C864" i="126"/>
  <c r="C821" i="126"/>
  <c r="C789" i="126"/>
  <c r="C760" i="126"/>
  <c r="C732" i="126"/>
  <c r="C704" i="126"/>
  <c r="C675" i="126"/>
  <c r="C647" i="126"/>
  <c r="C619" i="126"/>
  <c r="C589" i="126"/>
  <c r="C561" i="126"/>
  <c r="C547" i="126"/>
  <c r="C533" i="126"/>
  <c r="C519" i="126"/>
  <c r="C504" i="126"/>
  <c r="C491" i="126"/>
  <c r="C480" i="126"/>
  <c r="C469" i="126"/>
  <c r="C459" i="126"/>
  <c r="C448" i="126"/>
  <c r="C437" i="126"/>
  <c r="C427" i="126"/>
  <c r="C416" i="126"/>
  <c r="C405" i="126"/>
  <c r="C395" i="126"/>
  <c r="C384" i="126"/>
  <c r="C373" i="126"/>
  <c r="C363" i="126"/>
  <c r="C352" i="126"/>
  <c r="C341" i="126"/>
  <c r="C331" i="126"/>
  <c r="C320" i="126"/>
  <c r="C309" i="126"/>
  <c r="C299" i="126"/>
  <c r="C288" i="126"/>
  <c r="C277" i="126"/>
  <c r="C267" i="126"/>
  <c r="C256" i="126"/>
  <c r="C245" i="126"/>
  <c r="C235" i="126"/>
  <c r="C224" i="126"/>
  <c r="C213" i="126"/>
  <c r="C203" i="126"/>
  <c r="C192" i="126"/>
  <c r="C181" i="126"/>
  <c r="C171" i="126"/>
  <c r="C160" i="126"/>
  <c r="C149" i="126"/>
  <c r="C139" i="126"/>
  <c r="C128" i="126"/>
  <c r="C117" i="126"/>
  <c r="C107" i="126"/>
  <c r="C96" i="126"/>
  <c r="C85" i="126"/>
  <c r="C75" i="126"/>
  <c r="C64" i="126"/>
  <c r="C53" i="126"/>
  <c r="C43" i="126"/>
  <c r="C32" i="126"/>
  <c r="C21" i="126"/>
  <c r="C11" i="126"/>
  <c r="C689" i="126"/>
  <c r="C604" i="126"/>
  <c r="C555" i="126"/>
  <c r="C525" i="126"/>
  <c r="C497" i="126"/>
  <c r="C475" i="126"/>
  <c r="C453" i="126"/>
  <c r="C432" i="126"/>
  <c r="C411" i="126"/>
  <c r="C389" i="126"/>
  <c r="C368" i="126"/>
  <c r="C347" i="126"/>
  <c r="C325" i="126"/>
  <c r="C304" i="126"/>
  <c r="C283" i="126"/>
  <c r="C261" i="126"/>
  <c r="C240" i="126"/>
  <c r="C219" i="126"/>
  <c r="C197" i="126"/>
  <c r="C176" i="126"/>
  <c r="C155" i="126"/>
  <c r="C133" i="126"/>
  <c r="C112" i="126"/>
  <c r="C80" i="126"/>
  <c r="C59" i="126"/>
  <c r="C37" i="126"/>
  <c r="C16" i="126"/>
  <c r="C960" i="126"/>
  <c r="C875" i="126"/>
  <c r="C832" i="126"/>
  <c r="C768" i="126"/>
  <c r="C711" i="126"/>
  <c r="C653" i="126"/>
  <c r="C597" i="126"/>
  <c r="C549" i="126"/>
  <c r="C520" i="126"/>
  <c r="C492" i="126"/>
  <c r="C471" i="126"/>
  <c r="C449" i="126"/>
  <c r="C428" i="126"/>
  <c r="C407" i="126"/>
  <c r="C385" i="126"/>
  <c r="C364" i="126"/>
  <c r="C343" i="126"/>
  <c r="C321" i="126"/>
  <c r="C300" i="126"/>
  <c r="C279" i="126"/>
  <c r="C257" i="126"/>
  <c r="C236" i="126"/>
  <c r="C215" i="126"/>
  <c r="C193" i="126"/>
  <c r="C172" i="126"/>
  <c r="C151" i="126"/>
  <c r="C129" i="126"/>
  <c r="C108" i="126"/>
  <c r="C87" i="126"/>
  <c r="C65" i="126"/>
  <c r="C44" i="126"/>
  <c r="C23" i="126"/>
  <c r="C981" i="126"/>
  <c r="C939" i="126"/>
  <c r="C896" i="126"/>
  <c r="C853" i="126"/>
  <c r="C811" i="126"/>
  <c r="C781" i="126"/>
  <c r="C753" i="126"/>
  <c r="C725" i="126"/>
  <c r="C696" i="126"/>
  <c r="C668" i="126"/>
  <c r="C640" i="126"/>
  <c r="C611" i="126"/>
  <c r="C583" i="126"/>
  <c r="C556" i="126"/>
  <c r="C541" i="126"/>
  <c r="C528" i="126"/>
  <c r="C513" i="126"/>
  <c r="C499" i="126"/>
  <c r="C487" i="126"/>
  <c r="C476" i="126"/>
  <c r="C465" i="126"/>
  <c r="C455" i="126"/>
  <c r="C444" i="126"/>
  <c r="C433" i="126"/>
  <c r="C423" i="126"/>
  <c r="C412" i="126"/>
  <c r="C401" i="126"/>
  <c r="C391" i="126"/>
  <c r="C380" i="126"/>
  <c r="C369" i="126"/>
  <c r="C359" i="126"/>
  <c r="C348" i="126"/>
  <c r="C337" i="126"/>
  <c r="C327" i="126"/>
  <c r="C316" i="126"/>
  <c r="C305" i="126"/>
  <c r="C295" i="126"/>
  <c r="C284" i="126"/>
  <c r="C273" i="126"/>
  <c r="C263" i="126"/>
  <c r="C252" i="126"/>
  <c r="C241" i="126"/>
  <c r="C231" i="126"/>
  <c r="C220" i="126"/>
  <c r="C209" i="126"/>
  <c r="C199" i="126"/>
  <c r="C188" i="126"/>
  <c r="C177" i="126"/>
  <c r="C167" i="126"/>
  <c r="C156" i="126"/>
  <c r="C145" i="126"/>
  <c r="C135" i="126"/>
  <c r="C124" i="126"/>
  <c r="C113" i="126"/>
  <c r="C103" i="126"/>
  <c r="C92" i="126"/>
  <c r="C81" i="126"/>
  <c r="C71" i="126"/>
  <c r="C60" i="126"/>
  <c r="C49" i="126"/>
  <c r="C39" i="126"/>
  <c r="C28" i="126"/>
  <c r="C17" i="126"/>
  <c r="C7" i="126"/>
  <c r="C971" i="126"/>
  <c r="C928" i="126"/>
  <c r="C885" i="126"/>
  <c r="C843" i="126"/>
  <c r="C803" i="126"/>
  <c r="C775" i="126"/>
  <c r="C747" i="126"/>
  <c r="C717" i="126"/>
  <c r="C661" i="126"/>
  <c r="C632" i="126"/>
  <c r="C576" i="126"/>
  <c r="C540" i="126"/>
  <c r="C512" i="126"/>
  <c r="C485" i="126"/>
  <c r="C464" i="126"/>
  <c r="C443" i="126"/>
  <c r="C421" i="126"/>
  <c r="C400" i="126"/>
  <c r="C379" i="126"/>
  <c r="C357" i="126"/>
  <c r="C336" i="126"/>
  <c r="C315" i="126"/>
  <c r="C293" i="126"/>
  <c r="C272" i="126"/>
  <c r="C251" i="126"/>
  <c r="C229" i="126"/>
  <c r="C208" i="126"/>
  <c r="C187" i="126"/>
  <c r="C165" i="126"/>
  <c r="C144" i="126"/>
  <c r="C123" i="126"/>
  <c r="C101" i="126"/>
  <c r="C91" i="126"/>
  <c r="C69" i="126"/>
  <c r="C48" i="126"/>
  <c r="C27" i="126"/>
  <c r="C5" i="126"/>
  <c r="C917" i="126"/>
  <c r="C796" i="126"/>
  <c r="C739" i="126"/>
  <c r="C683" i="126"/>
  <c r="C625" i="126"/>
  <c r="C568" i="126"/>
  <c r="C535" i="126"/>
  <c r="C507" i="126"/>
  <c r="C481" i="126"/>
  <c r="C460" i="126"/>
  <c r="C439" i="126"/>
  <c r="C417" i="126"/>
  <c r="C396" i="126"/>
  <c r="C375" i="126"/>
  <c r="C353" i="126"/>
  <c r="C332" i="126"/>
  <c r="C311" i="126"/>
  <c r="C289" i="126"/>
  <c r="C268" i="126"/>
  <c r="C247" i="126"/>
  <c r="C225" i="126"/>
  <c r="C204" i="126"/>
  <c r="C183" i="126"/>
  <c r="C161" i="126"/>
  <c r="C140" i="126"/>
  <c r="C119" i="126"/>
  <c r="C97" i="126"/>
  <c r="C76" i="126"/>
  <c r="C55" i="126"/>
  <c r="C33" i="126"/>
  <c r="C12" i="126"/>
  <c r="C97" i="125"/>
  <c r="C93" i="125"/>
  <c r="C94" i="125"/>
  <c r="C100" i="125"/>
  <c r="C96" i="125"/>
  <c r="C92" i="125"/>
  <c r="C98" i="125"/>
  <c r="C99" i="125"/>
  <c r="C95" i="125"/>
  <c r="C91" i="125"/>
  <c r="C33" i="125"/>
  <c r="C29" i="125"/>
  <c r="C83" i="125"/>
  <c r="C35" i="125"/>
  <c r="C9" i="125"/>
  <c r="C63" i="125"/>
  <c r="C32" i="125"/>
  <c r="C71" i="125"/>
  <c r="C67" i="125"/>
  <c r="C31" i="125"/>
  <c r="C74" i="125"/>
  <c r="C73" i="125"/>
  <c r="C14" i="125"/>
  <c r="C28" i="125"/>
  <c r="C6" i="125"/>
  <c r="C89" i="125"/>
  <c r="C54" i="125"/>
  <c r="C52" i="125"/>
  <c r="C70" i="125"/>
  <c r="C2" i="125"/>
  <c r="C40" i="125"/>
  <c r="C66" i="125"/>
  <c r="C46" i="125"/>
  <c r="C60" i="125"/>
  <c r="C21" i="125"/>
  <c r="C26" i="125"/>
  <c r="C23" i="125"/>
  <c r="C3" i="125"/>
  <c r="C22" i="125"/>
  <c r="C20" i="125"/>
  <c r="C77" i="125"/>
  <c r="C64" i="125"/>
  <c r="C11" i="125"/>
  <c r="C49" i="125"/>
  <c r="C10" i="125"/>
  <c r="C87" i="125"/>
  <c r="C12" i="125"/>
  <c r="C76" i="125"/>
  <c r="C50" i="125"/>
  <c r="C79" i="125"/>
  <c r="C90" i="125"/>
  <c r="C86" i="125"/>
  <c r="C24" i="125"/>
  <c r="C75" i="125"/>
  <c r="C53" i="125"/>
  <c r="C41" i="125"/>
  <c r="C69" i="125"/>
  <c r="C42" i="125"/>
  <c r="C65" i="125"/>
  <c r="C30" i="125"/>
  <c r="C59" i="125"/>
  <c r="C37" i="125"/>
  <c r="C85" i="125"/>
  <c r="C39" i="125"/>
  <c r="C58" i="125"/>
  <c r="C27" i="125"/>
  <c r="C18" i="125"/>
  <c r="C16" i="125"/>
  <c r="C80" i="125"/>
  <c r="C47" i="125"/>
  <c r="C56" i="125"/>
  <c r="C19" i="125"/>
  <c r="C48" i="125"/>
  <c r="C34" i="125"/>
  <c r="C55" i="125"/>
  <c r="C57" i="125"/>
  <c r="C72" i="125"/>
  <c r="C43" i="125"/>
  <c r="C38" i="125"/>
  <c r="C68" i="125"/>
  <c r="C17" i="125"/>
  <c r="C62" i="125"/>
  <c r="C4" i="125"/>
  <c r="C8" i="125"/>
  <c r="C13" i="125"/>
  <c r="C45" i="125"/>
  <c r="C81" i="125"/>
  <c r="C82" i="125"/>
  <c r="C84" i="125"/>
  <c r="C78" i="125"/>
  <c r="C5" i="125"/>
  <c r="C61" i="125"/>
  <c r="C51" i="125"/>
  <c r="C88" i="125"/>
  <c r="C7" i="125"/>
  <c r="C25" i="125"/>
  <c r="C36" i="125"/>
  <c r="C44" i="125"/>
  <c r="C15" i="125"/>
  <c r="C5" i="122"/>
  <c r="C9" i="122"/>
  <c r="C13" i="122"/>
  <c r="C17" i="122"/>
  <c r="C21" i="122"/>
  <c r="C25" i="122"/>
  <c r="C29" i="122"/>
  <c r="C33" i="122"/>
  <c r="C37" i="122"/>
  <c r="C41" i="122"/>
  <c r="C46" i="122"/>
  <c r="C50" i="122"/>
  <c r="C53" i="122"/>
  <c r="C59" i="122"/>
  <c r="C62" i="122"/>
  <c r="C66" i="122"/>
  <c r="C70" i="122"/>
  <c r="C74" i="122"/>
  <c r="C78" i="122"/>
  <c r="C82" i="122"/>
  <c r="C86" i="122"/>
  <c r="C90" i="122"/>
  <c r="C94" i="122"/>
  <c r="C98" i="122"/>
  <c r="C101" i="122"/>
  <c r="C106" i="122"/>
  <c r="C110" i="122"/>
  <c r="C114" i="122"/>
  <c r="C118" i="122"/>
  <c r="C122" i="122"/>
  <c r="C126" i="122"/>
  <c r="C130" i="122"/>
  <c r="C134" i="122"/>
  <c r="C45" i="122"/>
  <c r="C141" i="122"/>
  <c r="C145" i="122"/>
  <c r="C149" i="122"/>
  <c r="C151" i="122"/>
  <c r="C157" i="122"/>
  <c r="C161" i="122"/>
  <c r="C165" i="122"/>
  <c r="C169" i="122"/>
  <c r="C173" i="122"/>
  <c r="C12" i="122"/>
  <c r="C20" i="122"/>
  <c r="C32" i="122"/>
  <c r="C44" i="122"/>
  <c r="C57" i="122"/>
  <c r="C69" i="122"/>
  <c r="C81" i="122"/>
  <c r="C93" i="122"/>
  <c r="C105" i="122"/>
  <c r="C121" i="122"/>
  <c r="C133" i="122"/>
  <c r="C144" i="122"/>
  <c r="C156" i="122"/>
  <c r="C168" i="122"/>
  <c r="C2" i="122"/>
  <c r="C6" i="122"/>
  <c r="C10" i="122"/>
  <c r="C15" i="122"/>
  <c r="C18" i="122"/>
  <c r="C22" i="122"/>
  <c r="C26" i="122"/>
  <c r="C30" i="122"/>
  <c r="C34" i="122"/>
  <c r="C38" i="122"/>
  <c r="C42" i="122"/>
  <c r="C47" i="122"/>
  <c r="C51" i="122"/>
  <c r="C55" i="122"/>
  <c r="C58" i="122"/>
  <c r="C63" i="122"/>
  <c r="C67" i="122"/>
  <c r="C71" i="122"/>
  <c r="C75" i="122"/>
  <c r="C79" i="122"/>
  <c r="C83" i="122"/>
  <c r="C87" i="122"/>
  <c r="C91" i="122"/>
  <c r="C95" i="122"/>
  <c r="C99" i="122"/>
  <c r="C103" i="122"/>
  <c r="C107" i="122"/>
  <c r="C111" i="122"/>
  <c r="C115" i="122"/>
  <c r="C119" i="122"/>
  <c r="C123" i="122"/>
  <c r="C127" i="122"/>
  <c r="C131" i="122"/>
  <c r="C135" i="122"/>
  <c r="C137" i="122"/>
  <c r="C142" i="122"/>
  <c r="C146" i="122"/>
  <c r="C150" i="122"/>
  <c r="C154" i="122"/>
  <c r="C158" i="122"/>
  <c r="C162" i="122"/>
  <c r="C166" i="122"/>
  <c r="C170" i="122"/>
  <c r="C174" i="122"/>
  <c r="C8" i="122"/>
  <c r="C24" i="122"/>
  <c r="C36" i="122"/>
  <c r="C49" i="122"/>
  <c r="C61" i="122"/>
  <c r="C73" i="122"/>
  <c r="C85" i="122"/>
  <c r="C97" i="122"/>
  <c r="C109" i="122"/>
  <c r="C117" i="122"/>
  <c r="C125" i="122"/>
  <c r="C138" i="122"/>
  <c r="C148" i="122"/>
  <c r="C164" i="122"/>
  <c r="C3" i="122"/>
  <c r="C7" i="122"/>
  <c r="C11" i="122"/>
  <c r="C14" i="122"/>
  <c r="C19" i="122"/>
  <c r="C23" i="122"/>
  <c r="C27" i="122"/>
  <c r="C31" i="122"/>
  <c r="C35" i="122"/>
  <c r="C40" i="122"/>
  <c r="C43" i="122"/>
  <c r="C48" i="122"/>
  <c r="C52" i="122"/>
  <c r="C56" i="122"/>
  <c r="C60" i="122"/>
  <c r="C64" i="122"/>
  <c r="C68" i="122"/>
  <c r="C72" i="122"/>
  <c r="C76" i="122"/>
  <c r="C80" i="122"/>
  <c r="C84" i="122"/>
  <c r="C88" i="122"/>
  <c r="C92" i="122"/>
  <c r="C96" i="122"/>
  <c r="C102" i="122"/>
  <c r="C104" i="122"/>
  <c r="C108" i="122"/>
  <c r="C112" i="122"/>
  <c r="C116" i="122"/>
  <c r="C120" i="122"/>
  <c r="C124" i="122"/>
  <c r="C128" i="122"/>
  <c r="C132" i="122"/>
  <c r="C136" i="122"/>
  <c r="C139" i="122"/>
  <c r="C143" i="122"/>
  <c r="C147" i="122"/>
  <c r="C152" i="122"/>
  <c r="C155" i="122"/>
  <c r="C159" i="122"/>
  <c r="C163" i="122"/>
  <c r="C167" i="122"/>
  <c r="C171" i="122"/>
  <c r="C175" i="122"/>
  <c r="C4" i="122"/>
  <c r="C16" i="122"/>
  <c r="C28" i="122"/>
  <c r="C39" i="122"/>
  <c r="C54" i="122"/>
  <c r="C65" i="122"/>
  <c r="C77" i="122"/>
  <c r="C89" i="122"/>
  <c r="C100" i="122"/>
  <c r="C113" i="122"/>
  <c r="C129" i="122"/>
  <c r="C140" i="122"/>
  <c r="C153" i="122"/>
  <c r="C160" i="122"/>
  <c r="C172" i="122"/>
</calcChain>
</file>

<file path=xl/comments1.xml><?xml version="1.0" encoding="utf-8"?>
<comments xmlns="http://schemas.openxmlformats.org/spreadsheetml/2006/main">
  <authors>
    <author>daniel kottow</author>
  </authors>
  <commentList>
    <comment ref="C1" authorId="0" shapeId="0">
      <text>
        <r>
          <rPr>
            <sz val="9"/>
            <color indexed="81"/>
            <rFont val="Tahoma"/>
            <family val="2"/>
          </rPr>
          <t>URL http://api.donkeylift.com/demo/sales_sandwich.db</t>
        </r>
      </text>
    </comment>
  </commentList>
</comments>
</file>

<file path=xl/comments2.xml><?xml version="1.0" encoding="utf-8"?>
<comments xmlns="http://schemas.openxmlformats.org/spreadsheetml/2006/main">
  <authors>
    <author>daniel kottow</author>
  </authors>
  <commentList>
    <comment ref="A1" authorId="0" shapeId="0">
      <text>
        <r>
          <rPr>
            <sz val="9"/>
            <color indexed="81"/>
            <rFont val="Tahoma"/>
            <family val="2"/>
          </rPr>
          <t>URL http://api.donkeylift.com/demo/sales_sandwich/customers.rows?$filter=modified_on ge '2015-10-13 21:34:33'</t>
        </r>
      </text>
    </comment>
  </commentList>
</comments>
</file>

<file path=xl/comments3.xml><?xml version="1.0" encoding="utf-8"?>
<comments xmlns="http://schemas.openxmlformats.org/spreadsheetml/2006/main">
  <authors>
    <author>daniel kottow</author>
  </authors>
  <commentList>
    <comment ref="A1" authorId="0" shapeId="0">
      <text>
        <r>
          <rPr>
            <sz val="9"/>
            <color indexed="81"/>
            <rFont val="Tahoma"/>
            <family val="2"/>
          </rPr>
          <t>URL http://api.donkeylift.com/demo/sales_sandwich/products.rows</t>
        </r>
      </text>
    </comment>
  </commentList>
</comments>
</file>

<file path=xl/comments4.xml><?xml version="1.0" encoding="utf-8"?>
<comments xmlns="http://schemas.openxmlformats.org/spreadsheetml/2006/main">
  <authors>
    <author>daniel kottow</author>
  </authors>
  <commentList>
    <comment ref="A1" authorId="0" shapeId="0">
      <text>
        <r>
          <rPr>
            <sz val="9"/>
            <color indexed="81"/>
            <rFont val="Tahoma"/>
            <family val="2"/>
          </rPr>
          <t>URL http://api.donkeylift.com/demo/sales_sandwich/orders.rows?$filter=modified_on gt '2015-03-19 12:50:07'&amp;$orderby=modified_on asc</t>
        </r>
      </text>
    </comment>
    <comment ref="G1" authorId="0" shapeId="0">
      <text>
        <r>
          <rPr>
            <sz val="9"/>
            <color indexed="81"/>
            <rFont val="Tahoma"/>
            <family val="2"/>
          </rPr>
          <t>FK customer_id</t>
        </r>
      </text>
    </comment>
  </commentList>
</comments>
</file>

<file path=xl/comments5.xml><?xml version="1.0" encoding="utf-8"?>
<comments xmlns="http://schemas.openxmlformats.org/spreadsheetml/2006/main">
  <authors>
    <author>daniel kottow</author>
  </authors>
  <commentList>
    <comment ref="A1" authorId="0" shapeId="0">
      <text>
        <r>
          <rPr>
            <sz val="9"/>
            <color indexed="81"/>
            <rFont val="Tahoma"/>
            <family val="2"/>
          </rPr>
          <t>URL http://api.donkeylift.com/demo/sales_sandwich/products_in_orders.rows?$orderby=modified_on asc&amp;$filter=orders.order_date btwn '2014-01-01'%2C'2014-12-31' and modified_on gt '2014-12-26 21:11:21'</t>
        </r>
      </text>
    </comment>
    <comment ref="F1" authorId="0" shapeId="0">
      <text>
        <r>
          <rPr>
            <sz val="9"/>
            <color indexed="81"/>
            <rFont val="Tahoma"/>
            <family val="2"/>
          </rPr>
          <t>FK order_id</t>
        </r>
      </text>
    </comment>
    <comment ref="G1" authorId="0" shapeId="0">
      <text>
        <r>
          <rPr>
            <sz val="9"/>
            <color indexed="81"/>
            <rFont val="Tahoma"/>
            <family val="2"/>
          </rPr>
          <t>FK product_id</t>
        </r>
      </text>
    </comment>
  </commentList>
</comments>
</file>

<file path=xl/sharedStrings.xml><?xml version="1.0" encoding="utf-8"?>
<sst xmlns="http://schemas.openxmlformats.org/spreadsheetml/2006/main" count="14147" uniqueCount="4524">
  <si>
    <t>Tables</t>
  </si>
  <si>
    <t>Parents</t>
  </si>
  <si>
    <t>Children</t>
  </si>
  <si>
    <t>Joined Tables</t>
  </si>
  <si>
    <t>Table Fields</t>
  </si>
  <si>
    <t>status</t>
  </si>
  <si>
    <t>id</t>
  </si>
  <si>
    <t>name</t>
  </si>
  <si>
    <t>email</t>
  </si>
  <si>
    <t>modified_by</t>
  </si>
  <si>
    <t>modified_on</t>
  </si>
  <si>
    <t>price</t>
  </si>
  <si>
    <t>customers</t>
  </si>
  <si>
    <t>orders</t>
  </si>
  <si>
    <t>products</t>
  </si>
  <si>
    <t>products_in_orders</t>
  </si>
  <si>
    <t>products_x000D_
orders</t>
  </si>
  <si>
    <t>customers_x000D_
products_x000D_
orders_x000D_
products_in_orders</t>
  </si>
  <si>
    <t>products.name</t>
  </si>
  <si>
    <t>VARCHAR</t>
  </si>
  <si>
    <t>products.price</t>
  </si>
  <si>
    <t>NUMERIC(8,2)</t>
  </si>
  <si>
    <t>products.modified_by</t>
  </si>
  <si>
    <t>VARCHAR(64)</t>
  </si>
  <si>
    <t>products.modified_on</t>
  </si>
  <si>
    <t>DATETIME</t>
  </si>
  <si>
    <t>customers.id</t>
  </si>
  <si>
    <t>INTEGER</t>
  </si>
  <si>
    <t>customers.name</t>
  </si>
  <si>
    <t>customers.email</t>
  </si>
  <si>
    <t>VARCHAR(256)</t>
  </si>
  <si>
    <t>customers.modified_by</t>
  </si>
  <si>
    <t>customers.modified_on</t>
  </si>
  <si>
    <t>products.id</t>
  </si>
  <si>
    <t>orders.id</t>
  </si>
  <si>
    <t>orders.order_date</t>
  </si>
  <si>
    <t>DATE</t>
  </si>
  <si>
    <t>orders.customer_id</t>
  </si>
  <si>
    <t>orders.total_amount</t>
  </si>
  <si>
    <t>orders.modified_by</t>
  </si>
  <si>
    <t>orders.modified_on</t>
  </si>
  <si>
    <t>products_in_orders.id</t>
  </si>
  <si>
    <t>products_in_orders.order_id</t>
  </si>
  <si>
    <t>products_in_orders.product_id</t>
  </si>
  <si>
    <t>products_in_orders.unit_price</t>
  </si>
  <si>
    <t>products_in_orders.quantity</t>
  </si>
  <si>
    <t>products_in_orders.modified_by</t>
  </si>
  <si>
    <t>products_in_orders.modified_on</t>
  </si>
  <si>
    <t>order_date</t>
  </si>
  <si>
    <t>total_amount</t>
  </si>
  <si>
    <t>ref</t>
  </si>
  <si>
    <t>unit_price</t>
  </si>
  <si>
    <t>quantity</t>
  </si>
  <si>
    <t>(7)</t>
  </si>
  <si>
    <t>Actions</t>
  </si>
  <si>
    <t>Save</t>
  </si>
  <si>
    <t>Reset</t>
  </si>
  <si>
    <t>Database</t>
  </si>
  <si>
    <t>customers_ref</t>
  </si>
  <si>
    <t>orders_ref</t>
  </si>
  <si>
    <t>products_ref</t>
  </si>
  <si>
    <t>sales_sandwich</t>
  </si>
  <si>
    <t>sales_test</t>
  </si>
  <si>
    <t>products.description</t>
  </si>
  <si>
    <t>products.origin</t>
  </si>
  <si>
    <t>Anne Slater nibh@Donec.org(100)</t>
  </si>
  <si>
    <t>Anne Slater</t>
  </si>
  <si>
    <t>nibh@Donec.org</t>
  </si>
  <si>
    <t>www</t>
  </si>
  <si>
    <t>Zorita Rutledge augue.eu.tellus@egestasAliquam.ca(99)</t>
  </si>
  <si>
    <t>Zorita Rutledge</t>
  </si>
  <si>
    <t>augue.eu.tellus@egestasAliquam.ca</t>
  </si>
  <si>
    <t>user12</t>
  </si>
  <si>
    <t>Morgan Hoffman nec.ante@adipiscingelit.net(98)</t>
  </si>
  <si>
    <t>Morgan Hoffman</t>
  </si>
  <si>
    <t>nec.ante@adipiscingelit.net</t>
  </si>
  <si>
    <t>admin</t>
  </si>
  <si>
    <t>Yvonne Brewer cursus.non.egestas@adipiscingnon.com(97)</t>
  </si>
  <si>
    <t>Yvonne Brewer</t>
  </si>
  <si>
    <t>cursus.non.egestas@adipiscingnon.com</t>
  </si>
  <si>
    <t>Benedict Todd tristique@Donec.co.uk(96)</t>
  </si>
  <si>
    <t>Benedict Todd</t>
  </si>
  <si>
    <t>tristique@Donec.co.uk</t>
  </si>
  <si>
    <t>Madeson Silva dictum@aliquetvelvulputate.edu(95)</t>
  </si>
  <si>
    <t>Madeson Silva</t>
  </si>
  <si>
    <t>dictum@aliquetvelvulputate.edu</t>
  </si>
  <si>
    <t>Vivian Mendoza dignissim.lacus.Aliquam@Nullam.org(94)</t>
  </si>
  <si>
    <t>Vivian Mendoza</t>
  </si>
  <si>
    <t>dignissim.lacus.Aliquam@Nullam.org</t>
  </si>
  <si>
    <t>Lois Valdez nisi.magna.sed@arcuVestibulumante.edu(93)</t>
  </si>
  <si>
    <t>Lois Valdez</t>
  </si>
  <si>
    <t>nisi.magna.sed@arcuVestibulumante.edu</t>
  </si>
  <si>
    <t>Marny Boyer Aliquam.gravida@inaliquet.net(92)</t>
  </si>
  <si>
    <t>Marny Boyer</t>
  </si>
  <si>
    <t>Aliquam.gravida@inaliquet.net</t>
  </si>
  <si>
    <t>Doris Valdez sit@nonquamPellentesque.net(91)</t>
  </si>
  <si>
    <t>Doris Valdez</t>
  </si>
  <si>
    <t>sit@nonquamPellentesque.net</t>
  </si>
  <si>
    <t>Prescott Nelson ultrices.posuere.cubilia@metusAeneansed.edu(90)</t>
  </si>
  <si>
    <t>Prescott Nelson</t>
  </si>
  <si>
    <t>ultrices.posuere.cubilia@metusAeneansed.edu</t>
  </si>
  <si>
    <t>Jonah Griffin enim.Curabitur@Maecenas.com(89)</t>
  </si>
  <si>
    <t>Jonah Griffin</t>
  </si>
  <si>
    <t>enim.Curabitur@Maecenas.com</t>
  </si>
  <si>
    <t>Cheryl Edwards neque.venenatis@egestasAliquam.co.uk(88)</t>
  </si>
  <si>
    <t>Cheryl Edwards</t>
  </si>
  <si>
    <t>neque.venenatis@egestasAliquam.co.uk</t>
  </si>
  <si>
    <t>Cadman Huffman magna.Suspendisse@inconsectetueripsum.org(87)</t>
  </si>
  <si>
    <t>Cadman Huffman</t>
  </si>
  <si>
    <t>magna.Suspendisse@inconsectetueripsum.org</t>
  </si>
  <si>
    <t>Sigourney Ramsey ut@Intinciduntcongue.edu(86)</t>
  </si>
  <si>
    <t>Sigourney Ramsey</t>
  </si>
  <si>
    <t>ut@Intinciduntcongue.edu</t>
  </si>
  <si>
    <t>Alexa Herring mi@variuset.net(85)</t>
  </si>
  <si>
    <t>Alexa Herring</t>
  </si>
  <si>
    <t>mi@variuset.net</t>
  </si>
  <si>
    <t>Donna Molina Donec.porttitor@fames.com(84)</t>
  </si>
  <si>
    <t>Donna Molina</t>
  </si>
  <si>
    <t>Donec.porttitor@fames.com</t>
  </si>
  <si>
    <t>Serina Booker amet.faucibus.ut@magna.net(83)</t>
  </si>
  <si>
    <t>Serina Booker</t>
  </si>
  <si>
    <t>amet.faucibus.ut@magna.net</t>
  </si>
  <si>
    <t>Buffy Jennings tellus@pharetra.net(82)</t>
  </si>
  <si>
    <t>Buffy Jennings</t>
  </si>
  <si>
    <t>tellus@pharetra.net</t>
  </si>
  <si>
    <t>Claudia Crane ipsum@viverraMaecenas.org(81)</t>
  </si>
  <si>
    <t>Claudia Crane</t>
  </si>
  <si>
    <t>ipsum@viverraMaecenas.org</t>
  </si>
  <si>
    <t>Armando Le mattis.semper@luctuset.co.uk(80)</t>
  </si>
  <si>
    <t>Armando Le</t>
  </si>
  <si>
    <t>mattis.semper@luctuset.co.uk</t>
  </si>
  <si>
    <t>Abigail Shepard lobortis.Class.aptent@Suspendisseac.com(79)</t>
  </si>
  <si>
    <t>Abigail Shepard</t>
  </si>
  <si>
    <t>lobortis.Class.aptent@Suspendisseac.com</t>
  </si>
  <si>
    <t>Donovan Gomez ullamcorper.eu@anteblandit.net(78)</t>
  </si>
  <si>
    <t>Donovan Gomez</t>
  </si>
  <si>
    <t>ullamcorper.eu@anteblandit.net</t>
  </si>
  <si>
    <t>Mariko Cameron magna@luctus.net(77)</t>
  </si>
  <si>
    <t>Mariko Cameron</t>
  </si>
  <si>
    <t>magna@luctus.net</t>
  </si>
  <si>
    <t>Yuri Oneal Aliquam.vulputate.ullamcorper@disparturientmontes.co.uk(76)</t>
  </si>
  <si>
    <t>Yuri Oneal</t>
  </si>
  <si>
    <t>Aliquam.vulputate.ullamcorper@disparturientmontes.co.uk</t>
  </si>
  <si>
    <t>Mary Moore sem@egestasa.co.uk(75)</t>
  </si>
  <si>
    <t>Mary Moore</t>
  </si>
  <si>
    <t>sem@egestasa.co.uk</t>
  </si>
  <si>
    <t>Tate Lowery urna.Nunc.quis@nequeNullamut.edu(74)</t>
  </si>
  <si>
    <t>Tate Lowery</t>
  </si>
  <si>
    <t>urna.Nunc.quis@nequeNullamut.edu</t>
  </si>
  <si>
    <t>Zeus Trujillo scelerisque.mollis@id.ca(73)</t>
  </si>
  <si>
    <t>Zeus Trujillo</t>
  </si>
  <si>
    <t>scelerisque.mollis@id.ca</t>
  </si>
  <si>
    <t>Galvin Becker et.ipsum.cursus@Nulla.net(72)</t>
  </si>
  <si>
    <t>Galvin Becker</t>
  </si>
  <si>
    <t>et.ipsum.cursus@Nulla.net</t>
  </si>
  <si>
    <t>Kendall Rocha quis@maurisut.com(71)</t>
  </si>
  <si>
    <t>Kendall Rocha</t>
  </si>
  <si>
    <t>quis@maurisut.com</t>
  </si>
  <si>
    <t>Scarlett Odonnell orci@lacusQuisqueimperdiet.edu(70)</t>
  </si>
  <si>
    <t>Scarlett Odonnell</t>
  </si>
  <si>
    <t>orci@lacusQuisqueimperdiet.edu</t>
  </si>
  <si>
    <t>Karleigh Jacobson massa.non.ante@Fusce.co.uk(69)</t>
  </si>
  <si>
    <t>Karleigh Jacobson</t>
  </si>
  <si>
    <t>massa.non.ante@Fusce.co.uk</t>
  </si>
  <si>
    <t>Hayley Foster laoreet.ipsum@quismassaMauris.com(68)</t>
  </si>
  <si>
    <t>Hayley Foster</t>
  </si>
  <si>
    <t>laoreet.ipsum@quismassaMauris.com</t>
  </si>
  <si>
    <t>Yetta Duke sed@sapiengravidanon.edu(67)</t>
  </si>
  <si>
    <t>Yetta Duke</t>
  </si>
  <si>
    <t>sed@sapiengravidanon.edu</t>
  </si>
  <si>
    <t>Christine Medina lobortis.Class.aptent@nonnisi.co.uk(66)</t>
  </si>
  <si>
    <t>Christine Medina</t>
  </si>
  <si>
    <t>lobortis.Class.aptent@nonnisi.co.uk</t>
  </si>
  <si>
    <t>Lesley Keith vitae.diam.Proin@nuncid.com(65)</t>
  </si>
  <si>
    <t>Lesley Keith</t>
  </si>
  <si>
    <t>vitae.diam.Proin@nuncid.com</t>
  </si>
  <si>
    <t>Martin Dunlap tempus.scelerisque@Vestibulumuteros.org(64)</t>
  </si>
  <si>
    <t>Martin Dunlap</t>
  </si>
  <si>
    <t>tempus.scelerisque@Vestibulumuteros.org</t>
  </si>
  <si>
    <t>Mannix Owen a.malesuada@semperet.com(63)</t>
  </si>
  <si>
    <t>Mannix Owen</t>
  </si>
  <si>
    <t>a.malesuada@semperet.com</t>
  </si>
  <si>
    <t>Stacey Kirk hendrerit.consectetuer.cursus@Nuncuterat.ca(62)</t>
  </si>
  <si>
    <t>Stacey Kirk</t>
  </si>
  <si>
    <t>hendrerit.consectetuer.cursus@Nuncuterat.ca</t>
  </si>
  <si>
    <t>Sloane Goodwin Proin@Utnecurna.org(61)</t>
  </si>
  <si>
    <t>Sloane Goodwin</t>
  </si>
  <si>
    <t>Proin@Utnecurna.org</t>
  </si>
  <si>
    <t>Harrison Klein non.quam.Pellentesque@nonjusto.edu(60)</t>
  </si>
  <si>
    <t>Harrison Klein</t>
  </si>
  <si>
    <t>non.quam.Pellentesque@nonjusto.edu</t>
  </si>
  <si>
    <t>Mariam Juarez fermentum.convallis.ligula@Integer.org(59)</t>
  </si>
  <si>
    <t>Mariam Juarez</t>
  </si>
  <si>
    <t>fermentum.convallis.ligula@Integer.org</t>
  </si>
  <si>
    <t>Jescie Peck sagittis.augue.eu@felisorciadipiscing.edu(58)</t>
  </si>
  <si>
    <t>Jescie Peck</t>
  </si>
  <si>
    <t>sagittis.augue.eu@felisorciadipiscing.edu</t>
  </si>
  <si>
    <t>Alice Bray consequat.nec@mattissemperdui.ca(57)</t>
  </si>
  <si>
    <t>Alice Bray</t>
  </si>
  <si>
    <t>consequat.nec@mattissemperdui.ca</t>
  </si>
  <si>
    <t>Mohammad Carrillo aliquet.libero.Integer@at.ca(56)</t>
  </si>
  <si>
    <t>Mohammad Carrillo</t>
  </si>
  <si>
    <t>aliquet.libero.Integer@at.ca</t>
  </si>
  <si>
    <t>Aristotle Avery ipsum@eunibhvulputate.com(55)</t>
  </si>
  <si>
    <t>Aristotle Avery</t>
  </si>
  <si>
    <t>ipsum@eunibhvulputate.com</t>
  </si>
  <si>
    <t>Lucius Gallagher gravida.molestie@fermentumfermentumarcu.ca(54)</t>
  </si>
  <si>
    <t>Lucius Gallagher</t>
  </si>
  <si>
    <t>gravida.molestie@fermentumfermentumarcu.ca</t>
  </si>
  <si>
    <t>Aspen Fuentes velit@pharetra.edu(53)</t>
  </si>
  <si>
    <t>Aspen Fuentes</t>
  </si>
  <si>
    <t>velit@pharetra.edu</t>
  </si>
  <si>
    <t>Angelica Ortiz justo.nec@nec.edu(52)</t>
  </si>
  <si>
    <t>Angelica Ortiz</t>
  </si>
  <si>
    <t>justo.nec@nec.edu</t>
  </si>
  <si>
    <t>Clio Carter hendrerit@nuncQuisqueornare.org(51)</t>
  </si>
  <si>
    <t>Clio Carter</t>
  </si>
  <si>
    <t>hendrerit@nuncQuisqueornare.org</t>
  </si>
  <si>
    <t>April Buckley massa.Integer.vitae@pharetraQuisque.ca(50)</t>
  </si>
  <si>
    <t>April Buckley</t>
  </si>
  <si>
    <t>massa.Integer.vitae@pharetraQuisque.ca</t>
  </si>
  <si>
    <t>Nayda Shields sem@Phasellusliberomauris.edu(49)</t>
  </si>
  <si>
    <t>Nayda Shields</t>
  </si>
  <si>
    <t>sem@Phasellusliberomauris.edu</t>
  </si>
  <si>
    <t>Alma Salas Nunc@nullavulputate.co.uk(48)</t>
  </si>
  <si>
    <t>Alma Salas</t>
  </si>
  <si>
    <t>Nunc@nullavulputate.co.uk</t>
  </si>
  <si>
    <t>Eugenia Roman Integer.in@Aenean.com(47)</t>
  </si>
  <si>
    <t>Eugenia Roman</t>
  </si>
  <si>
    <t>Integer.in@Aenean.com</t>
  </si>
  <si>
    <t>Dale Fry magna.Suspendisse.tristique@ante.org(46)</t>
  </si>
  <si>
    <t>Dale Fry</t>
  </si>
  <si>
    <t>magna.Suspendisse.tristique@ante.org</t>
  </si>
  <si>
    <t>Gabriel Carlson id.ante.Nunc@sedleo.com(45)</t>
  </si>
  <si>
    <t>Gabriel Carlson</t>
  </si>
  <si>
    <t>id.ante.Nunc@sedleo.com</t>
  </si>
  <si>
    <t>Marah West est.Nunc.ullamcorper@pellentesque.co.uk(44)</t>
  </si>
  <si>
    <t>Marah West</t>
  </si>
  <si>
    <t>est.Nunc.ullamcorper@pellentesque.co.uk</t>
  </si>
  <si>
    <t>Dane Stafford mi@porttitortellus.org(43)</t>
  </si>
  <si>
    <t>Dane Stafford</t>
  </si>
  <si>
    <t>mi@porttitortellus.org</t>
  </si>
  <si>
    <t>Bernard Cash nunc.sit.amet@posuereat.co.uk(42)</t>
  </si>
  <si>
    <t>Bernard Cash</t>
  </si>
  <si>
    <t>nunc.sit.amet@posuereat.co.uk</t>
  </si>
  <si>
    <t>Ora Mann orci@Loremipsumdolor.org(41)</t>
  </si>
  <si>
    <t>Ora Mann</t>
  </si>
  <si>
    <t>orci@Loremipsumdolor.org</t>
  </si>
  <si>
    <t>Lillian Larsen tristique.senectus@nuncsed.com(40)</t>
  </si>
  <si>
    <t>Lillian Larsen</t>
  </si>
  <si>
    <t>tristique.senectus@nuncsed.com</t>
  </si>
  <si>
    <t>Tashya Osborne vitae.dolor.Donec@ac.co.uk(39)</t>
  </si>
  <si>
    <t>Tashya Osborne</t>
  </si>
  <si>
    <t>vitae.dolor.Donec@ac.co.uk</t>
  </si>
  <si>
    <t>Renee Adkins Nulla.dignissim.Maecenas@ipsum.net(38)</t>
  </si>
  <si>
    <t>Renee Adkins</t>
  </si>
  <si>
    <t>Nulla.dignissim.Maecenas@ipsum.net</t>
  </si>
  <si>
    <t>Irene Carver leo.in@neque.co.uk(37)</t>
  </si>
  <si>
    <t>Irene Carver</t>
  </si>
  <si>
    <t>leo.in@neque.co.uk</t>
  </si>
  <si>
    <t>Belle Short mauris.id@montesnascetur.com(36)</t>
  </si>
  <si>
    <t>Belle Short</t>
  </si>
  <si>
    <t>mauris.id@montesnascetur.com</t>
  </si>
  <si>
    <t>Zane Parrish lectus@massa.co.uk(35)</t>
  </si>
  <si>
    <t>Zane Parrish</t>
  </si>
  <si>
    <t>lectus@massa.co.uk</t>
  </si>
  <si>
    <t>Melvin Finch feugiat.nec.diam@laoreetipsumCurabitur.ca(34)</t>
  </si>
  <si>
    <t>Melvin Finch</t>
  </si>
  <si>
    <t>feugiat.nec.diam@laoreetipsumCurabitur.ca</t>
  </si>
  <si>
    <t>Adrienne Sandoval orci.adipiscing.non@estac.co.uk(33)</t>
  </si>
  <si>
    <t>Adrienne Sandoval</t>
  </si>
  <si>
    <t>orci.adipiscing.non@estac.co.uk</t>
  </si>
  <si>
    <t>John Drake Curae.Donec@Cras.ca(32)</t>
  </si>
  <si>
    <t>John Drake</t>
  </si>
  <si>
    <t>Curae.Donec@Cras.ca</t>
  </si>
  <si>
    <t>Indira Suarez dignissim@pharetraNam.net(31)</t>
  </si>
  <si>
    <t>Indira Suarez</t>
  </si>
  <si>
    <t>dignissim@pharetraNam.net</t>
  </si>
  <si>
    <t>Rhonda Curtis lorem.lorem@nibhAliquam.ca(30)</t>
  </si>
  <si>
    <t>Rhonda Curtis</t>
  </si>
  <si>
    <t>lorem.lorem@nibhAliquam.ca</t>
  </si>
  <si>
    <t>Ivy Livingston elit.Nulla.facilisi@semmollis.net(29)</t>
  </si>
  <si>
    <t>Ivy Livingston</t>
  </si>
  <si>
    <t>elit.Nulla.facilisi@semmollis.net</t>
  </si>
  <si>
    <t>Ferris Erickson adipiscing@scelerisquenequesed.edu(28)</t>
  </si>
  <si>
    <t>Ferris Erickson</t>
  </si>
  <si>
    <t>adipiscing@scelerisquenequesed.edu</t>
  </si>
  <si>
    <t>Cameron Burton ipsum@anteiaculis.edu(27)</t>
  </si>
  <si>
    <t>Cameron Burton</t>
  </si>
  <si>
    <t>ipsum@anteiaculis.edu</t>
  </si>
  <si>
    <t>Cherokee Tanner odio.tristique.pharetra@conubianostraper.ca(26)</t>
  </si>
  <si>
    <t>Cherokee Tanner</t>
  </si>
  <si>
    <t>odio.tristique.pharetra@conubianostraper.ca</t>
  </si>
  <si>
    <t>Ulysses Hudson arcu.Aliquam.ultrices@faucibusorciluctus.org(25)</t>
  </si>
  <si>
    <t>Ulysses Hudson</t>
  </si>
  <si>
    <t>arcu.Aliquam.ultrices@faucibusorciluctus.org</t>
  </si>
  <si>
    <t>Quinn Ewing et.arcu.imperdiet@eratin.com(24)</t>
  </si>
  <si>
    <t>Quinn Ewing</t>
  </si>
  <si>
    <t>et.arcu.imperdiet@eratin.com</t>
  </si>
  <si>
    <t>Akeem Kennedy tincidunt.nibh@orcitinciduntadipiscing.net(23)</t>
  </si>
  <si>
    <t>Akeem Kennedy</t>
  </si>
  <si>
    <t>tincidunt.nibh@orcitinciduntadipiscing.net</t>
  </si>
  <si>
    <t>Madeline Reynolds feugiat@lectusante.net(22)</t>
  </si>
  <si>
    <t>Madeline Reynolds</t>
  </si>
  <si>
    <t>feugiat@lectusante.net</t>
  </si>
  <si>
    <t>Lionel Vargas egestas.a.scelerisque@facilisisfacilisismagna.co.uk(21)</t>
  </si>
  <si>
    <t>Lionel Vargas</t>
  </si>
  <si>
    <t>egestas.a.scelerisque@facilisisfacilisismagna.co.uk</t>
  </si>
  <si>
    <t>Wade Coleman auctor@velitQuisque.co.uk(20)</t>
  </si>
  <si>
    <t>Wade Coleman</t>
  </si>
  <si>
    <t>auctor@velitQuisque.co.uk</t>
  </si>
  <si>
    <t>Iona Simpson metus@elementumlorem.org(19)</t>
  </si>
  <si>
    <t>Iona Simpson</t>
  </si>
  <si>
    <t>metus@elementumlorem.org</t>
  </si>
  <si>
    <t>Hermione Maldonado augue.malesuada.malesuada@lorem.edu(18)</t>
  </si>
  <si>
    <t>Hermione Maldonado</t>
  </si>
  <si>
    <t>augue.malesuada.malesuada@lorem.edu</t>
  </si>
  <si>
    <t>Stuart Vega commodo.hendrerit.Donec@et.net(17)</t>
  </si>
  <si>
    <t>Stuart Vega</t>
  </si>
  <si>
    <t>commodo.hendrerit.Donec@et.net</t>
  </si>
  <si>
    <t>Tanek Santos consequat.auctor.nunc@natoquepenatibus.net(16)</t>
  </si>
  <si>
    <t>Tanek Santos</t>
  </si>
  <si>
    <t>consequat.auctor.nunc@natoquepenatibus.net</t>
  </si>
  <si>
    <t>Bruce Woods non.luctus@NuncmaurisMorbi.com(15)</t>
  </si>
  <si>
    <t>Bruce Woods</t>
  </si>
  <si>
    <t>non.luctus@NuncmaurisMorbi.com</t>
  </si>
  <si>
    <t>Cameron Rivera Ut.nec.urna@odioPhasellus.org(14)</t>
  </si>
  <si>
    <t>Cameron Rivera</t>
  </si>
  <si>
    <t>Ut.nec.urna@odioPhasellus.org</t>
  </si>
  <si>
    <t>Uta Workman vitae.sodales@mattis.com(13)</t>
  </si>
  <si>
    <t>Uta Workman</t>
  </si>
  <si>
    <t>vitae.sodales@mattis.com</t>
  </si>
  <si>
    <t>Rhoda Jacobson pellentesque.eget@orciluctus.co.uk(12)</t>
  </si>
  <si>
    <t>Rhoda Jacobson</t>
  </si>
  <si>
    <t>pellentesque.eget@orciluctus.co.uk</t>
  </si>
  <si>
    <t>Oprah Horton quis.diam.Pellentesque@ultriciesadipiscing.ca(11)</t>
  </si>
  <si>
    <t>Oprah Horton</t>
  </si>
  <si>
    <t>quis.diam.Pellentesque@ultriciesadipiscing.ca</t>
  </si>
  <si>
    <t>Blossom Mosley consectetuer.ipsum.nunc@egestasblanditNam.org(10)</t>
  </si>
  <si>
    <t>Blossom Mosley</t>
  </si>
  <si>
    <t>consectetuer.ipsum.nunc@egestasblanditNam.org</t>
  </si>
  <si>
    <t>Yoshi Bennett mauris@Crasconvallis.com(9)</t>
  </si>
  <si>
    <t>Yoshi Bennett</t>
  </si>
  <si>
    <t>mauris@Crasconvallis.com</t>
  </si>
  <si>
    <t>Shelly Bridges non.justo@dictum.ca(8)</t>
  </si>
  <si>
    <t>Shelly Bridges</t>
  </si>
  <si>
    <t>non.justo@dictum.ca</t>
  </si>
  <si>
    <t>Adrian Dodson Fusce@magnaPraesentinterdum.net(7)</t>
  </si>
  <si>
    <t>Adrian Dodson</t>
  </si>
  <si>
    <t>Fusce@magnaPraesentinterdum.net</t>
  </si>
  <si>
    <t>Hanna Simpson eu@idrisus.com(6)</t>
  </si>
  <si>
    <t>Hanna Simpson</t>
  </si>
  <si>
    <t>eu@idrisus.com</t>
  </si>
  <si>
    <t>Maile Torres Sed.pharetra@nectempus.edu(5)</t>
  </si>
  <si>
    <t>Colby Clay pharetra@porttitorinterdumSed.ca(4)</t>
  </si>
  <si>
    <t>Colby Clay</t>
  </si>
  <si>
    <t>pharetra@porttitorinterdumSed.ca</t>
  </si>
  <si>
    <t>Rhoda Vance diam.dictum@rutrumjustoPraesent.ca(3)</t>
  </si>
  <si>
    <t>Rhoda Vance</t>
  </si>
  <si>
    <t>diam.dictum@rutrumjustoPraesent.ca</t>
  </si>
  <si>
    <t>Theodore Mills ligula.Donec.luctus@Vivamusnon.org(2)</t>
  </si>
  <si>
    <t>Theodore Mills</t>
  </si>
  <si>
    <t>ligula.Donec.luctus@Vivamusnon.org</t>
  </si>
  <si>
    <t>Colt Hart eu.nibh.vulputate@semeget.net(1)</t>
  </si>
  <si>
    <t>Colt Hart</t>
  </si>
  <si>
    <t>eu.nibh.vulputate@semeget.net</t>
  </si>
  <si>
    <t>Refresh</t>
  </si>
  <si>
    <t>origin</t>
  </si>
  <si>
    <t>description</t>
  </si>
  <si>
    <t>Zapiekanka(1174)</t>
  </si>
  <si>
    <t>Zapiekanka</t>
  </si>
  <si>
    <t>Poland</t>
  </si>
  <si>
    <t>A halved baguette or other bread usually topped with mushrooms and cheese, ham or other meats, and vegetables</t>
  </si>
  <si>
    <t>Yakisoba-pan(1173)</t>
  </si>
  <si>
    <t>Yakisoba-pan</t>
  </si>
  <si>
    <t>Japan</t>
  </si>
  <si>
    <t>A hot dog bun stuffed with fried noodles, frequently topped with pickles, such as beni shoga, with mayonnaise</t>
  </si>
  <si>
    <t>Wurstbrot (sausage bread)(1172)</t>
  </si>
  <si>
    <t>Wurstbrot (sausage bread)</t>
  </si>
  <si>
    <t>Germany</t>
  </si>
  <si>
    <t>A simple and common German sandwich prepared with thin slices of lunch meat or sausage, sometimes buttered.</t>
  </si>
  <si>
    <t>Wrap(1171)</t>
  </si>
  <si>
    <t>Wrap</t>
  </si>
  <si>
    <t/>
  </si>
  <si>
    <t>Flat bread (often a tortilla) tightly wrapped around the sandwich filling with the ends tucked in to form a neat bundle. Fillings can vary widely.</t>
  </si>
  <si>
    <t>Welsh rarebit(1170)</t>
  </si>
  <si>
    <t>Welsh rarebit</t>
  </si>
  <si>
    <t>United Kingdom</t>
  </si>
  <si>
    <t>A hot melted cheese sauce, poured over slices (or other pieces) of toasted bread. The hot cheese sauce may also be served in a bowl accompanied by the toast.</t>
  </si>
  <si>
    <t>Vegetable(1169)</t>
  </si>
  <si>
    <t>Vegetable</t>
  </si>
  <si>
    <t>Many types of vegetables are used to prepare vegetable sandwiches.</t>
  </si>
  <si>
    <t>Vegemite(1168)</t>
  </si>
  <si>
    <t>Vegemite</t>
  </si>
  <si>
    <t>Australia</t>
  </si>
  <si>
    <t>Vegemite is a dark brown Australian food paste made from used brewers' yeast extract, a by-product of beer manufacturing, various vegetables, wheat, and spice additives. It is a spread for sandwiches, toast, crumpets, and cracker biscuits, as well as a filling for pastries.</t>
  </si>
  <si>
    <t>Vada pav(1167)</t>
  </si>
  <si>
    <t>Vada pav</t>
  </si>
  <si>
    <t>India</t>
  </si>
  <si>
    <t>A potato fritter coated in chickpea flour (batata vada) in a bun</t>
  </si>
  <si>
    <t>Tuna(1166)</t>
  </si>
  <si>
    <t>Tuna</t>
  </si>
  <si>
    <t>United States</t>
  </si>
  <si>
    <t>Usually made with tuna salad, which may include mayonnaise, sweetcorn, cucumber, or celery. Other common variations include the tuna boat and tuna melt.</t>
  </si>
  <si>
    <t>Tripleta(1165)</t>
  </si>
  <si>
    <t>Tripleta</t>
  </si>
  <si>
    <t>Puerto Rico</t>
  </si>
  <si>
    <t>Although there are numerous variations, the main distinction is a combination of three meats, typically grilled, such as beef (usually churrasco steak or cube steak), roast pork (pernil), chicken, and ham. Condiments may include some combination of mustard, ketchup, and mayonnaise, often combined to create a special sauce. Popular toppings include thin crispy fried potato sticks or shoestring potatoes, thinly sliced cabbage, lettuce, onion, tomato, pickles, and Swiss cheese. The sandwich is often toasted in a sandwich press.</t>
  </si>
  <si>
    <t>Tramezzino(1164)</t>
  </si>
  <si>
    <t>Tramezzino</t>
  </si>
  <si>
    <t>Italy</t>
  </si>
  <si>
    <t>Triangular white bread with the crusts removed, with fillings such as tuna and olive and prosciutto, served in Italian bars throughout the day</t>
  </si>
  <si>
    <t>Torta ahogada(1163)</t>
  </si>
  <si>
    <t>Torta ahogada</t>
  </si>
  <si>
    <t>México (Guadalajara)</t>
  </si>
  <si>
    <t>Birote bread (similar to bolillo) filled with "carnitas" (deep-fried pork), shredded chicken or other meats, beans and cheese. The torta is then dipped in a very hot tomato and dried chile de árbol sauce and topped with pickled sliced onions.</t>
  </si>
  <si>
    <t>Torta(1162)</t>
  </si>
  <si>
    <t>Torta</t>
  </si>
  <si>
    <t>México</t>
  </si>
  <si>
    <t>A mexican roll (either telera or bolillo) spread with mayo and/or refried beans and stuffed with various sliced meats, cheeses, vegetables (usually tomatoes, onions and avocado) and your choice of pickled jalapeños or chipotle peppers. It can either be made ahead and tightly wrapped for a packed lunch or (if made to order) grilled on both sides with some butter.</t>
  </si>
  <si>
    <t>Tongue toast(1161)</t>
  </si>
  <si>
    <t>Tongue toast</t>
  </si>
  <si>
    <t>Sautéed beef tongue and scrambled eggs, served open-faced</t>
  </si>
  <si>
    <t>Tofu Sandwich(1160)</t>
  </si>
  <si>
    <t>Tofu Sandwich</t>
  </si>
  <si>
    <t>Tofu, typically broiled or baked, with vegetables.</t>
  </si>
  <si>
    <t>Toastie(1159)</t>
  </si>
  <si>
    <t>Toastie</t>
  </si>
  <si>
    <t>Two slices of bread with various fillings, toasted in a sandwich toaster.</t>
  </si>
  <si>
    <t>Toast Hawaii(1158)</t>
  </si>
  <si>
    <t>Toast Hawaii</t>
  </si>
  <si>
    <t>A slice of toast with ham, a maraschino cherry in the middle of a pineapple slice, and cheese, grilled from above, so the cheese starts to melt.</t>
  </si>
  <si>
    <t>Toast(1157)</t>
  </si>
  <si>
    <t>Toast</t>
  </si>
  <si>
    <t>UK</t>
  </si>
  <si>
    <t>A thin slice of toast between two thin slices of bread with a layer of butter, and salt and pepper to taste.</t>
  </si>
  <si>
    <t>TLT (Tempeh, Lettuce, and Tomato)(1156)</t>
  </si>
  <si>
    <t>TLT (Tempeh, Lettuce, and Tomato)</t>
  </si>
  <si>
    <t>Vegan version of the BLT: smoky baked tempeh, lettuce, tomato, and avocado, served on toasted sourdough bread</t>
  </si>
  <si>
    <t>Tea(1155)</t>
  </si>
  <si>
    <t>Tea</t>
  </si>
  <si>
    <t>Thinly sliced white bread with crusts removed, lightly buttered, containing a light spread of cream cheese or mayonnaise mixture, and often radishes, cucumber, asparagus, or watercress. Other fillings may be pimento cheese, ham with mustard, smoked salmon, fruit jam, curried chicken, and egg salad.</t>
  </si>
  <si>
    <t>Tavern(1154)</t>
  </si>
  <si>
    <t>Tavern</t>
  </si>
  <si>
    <t>Common in Iowa, consists of a mixture of unseasoned ground beef and sauteed onions, sometimes topped with pickles, ketchup, and mustard, on a bun</t>
  </si>
  <si>
    <t>Submarine/Sub/Baguette(1153)</t>
  </si>
  <si>
    <t>Submarine/Sub/Baguette</t>
  </si>
  <si>
    <t>A generic sandwich served on a long French or Italian roll which may contain a wide variety of sliced meats, vegetables, and condiments, including lettuce, tomato, sweet peppers, onions, olives, and mushrooms. Also known regionally as a hero, a hoagie, a grinder, or a zep, among other names. In the United Kingdom it is named a baguette, after the French bread used to make it.</t>
  </si>
  <si>
    <t>Steak(1152)</t>
  </si>
  <si>
    <t>Steak</t>
  </si>
  <si>
    <t>Prepared with cooked steak, served on bread or a roll. Steak sandwiches may include toppings such as cheese, onions, mushrooms, bell peppers, hot peppers, tomatoes, and in some instances fried eggs, cole slaw, or french fries.</t>
  </si>
  <si>
    <t>Steak burger(1151)</t>
  </si>
  <si>
    <t>Steak burger</t>
  </si>
  <si>
    <t>Typically prepared with ground, sliced or minced beefsteak meat. Additional meats are also used.</t>
  </si>
  <si>
    <t>Steak bomb(1150)</t>
  </si>
  <si>
    <t>Steak bomb</t>
  </si>
  <si>
    <t>A grilled, over-stuffed submarine roll, containing shaved steak, and topped with salami, melted provolone, sautéed onions, and bell peppers.</t>
  </si>
  <si>
    <t>St. Paul(1149)</t>
  </si>
  <si>
    <t>St. Paul</t>
  </si>
  <si>
    <t>St. Louis, Missouri, United States</t>
  </si>
  <si>
    <t>An egg foo young patty (containing bean sprouts and minced white onions), dill pickle slices, white onion, mayonnaise, lettuce, and tomato on white bread</t>
  </si>
  <si>
    <t>Spiedie(1148)</t>
  </si>
  <si>
    <t>Spiedie</t>
  </si>
  <si>
    <t>Marinated cubes of chicken, pork, lamb, veal, venison, or beef, grilled on a spit, and served in a bun</t>
  </si>
  <si>
    <t>Souvlaki(1147)</t>
  </si>
  <si>
    <t>Souvlaki</t>
  </si>
  <si>
    <t>Greece</t>
  </si>
  <si>
    <t>A sizzling skewer of lamb, beef, pork, or chicken roasted, shaved off the spit, and marinade ranging from hot barbecue to sweet, all laid out on a rolled pita bread, sprinkled with your choice of lettuce, tomato, cheese, red onion, and oregano, and doused with tzatziki sauce.</t>
  </si>
  <si>
    <t>Sol over Gudhjem(1146)</t>
  </si>
  <si>
    <t>Sol over Gudhjem</t>
  </si>
  <si>
    <t>Denmark</t>
  </si>
  <si>
    <t>An open-faced sandwich on rugbrød, with smoked herring, chives, and a raw egg yolk</t>
  </si>
  <si>
    <t>Smørrebrød(1145)</t>
  </si>
  <si>
    <t>Smørrebrød</t>
  </si>
  <si>
    <t>Open-faced, buttered dark rye bread with cold cuts, pieces of meat or fish, cheese, or spreads</t>
  </si>
  <si>
    <t>Smörgåstårta(1144)</t>
  </si>
  <si>
    <t>Smörgåstårta</t>
  </si>
  <si>
    <t>Sweden</t>
  </si>
  <si>
    <t>Multiple layers of white or light rye bread containing creamy fillings, such as egg and mayonnaise, liver paté, olives, shrimp, ham, various cold cuts, caviar, tomato, cucumber, cheese, and smoked salmon</t>
  </si>
  <si>
    <t>Sloppy joe (New Jersey)(1143)</t>
  </si>
  <si>
    <t>Sloppy joe (New Jersey)</t>
  </si>
  <si>
    <t>A triple decker rye bread sandwich made with one or more types of sliced deli meat, such as turkey, ham, pastrami, corned beef, roast beef, or sliced beef tongue, along with Swiss cheese, coleslaw, and Russian dressing</t>
  </si>
  <si>
    <t>Sloppy joe(1142)</t>
  </si>
  <si>
    <t>Sloppy joe</t>
  </si>
  <si>
    <t>Ground meat, usually beef, cooked with seasoned tomato sauce and served on a round bun.</t>
  </si>
  <si>
    <t>Slider(1141)</t>
  </si>
  <si>
    <t>Slider</t>
  </si>
  <si>
    <t>Basically a miniature hamburger about three inches in diameter, but may also contain other ingredients</t>
  </si>
  <si>
    <t>Shuco(1140)</t>
  </si>
  <si>
    <t>Shuco</t>
  </si>
  <si>
    <t>Guatemala</t>
  </si>
  <si>
    <t>A dry hot dog bun containing guacamole, sliced cabbage, ketchup, mustard and mayonnaise. It's usually served with a sausage, but it can also be ordered with churrasco or adobado beef. Chopped onions and a variety of hot sauces are also available for the sandwich.</t>
  </si>
  <si>
    <t>Shawarma(1139)</t>
  </si>
  <si>
    <t>Shawarma</t>
  </si>
  <si>
    <t>The Levant</t>
  </si>
  <si>
    <t>Flatbread with fillings of beef, spinach, tomatoes, cucumber, and tahini sauce, wrapped and grilled.</t>
  </si>
  <si>
    <t>Sausage(1138)</t>
  </si>
  <si>
    <t>Sausage</t>
  </si>
  <si>
    <t>United Kingdom and Germany</t>
  </si>
  <si>
    <t>A sausage on a roll or bread, served with a variety of sauces and toppings.</t>
  </si>
  <si>
    <t>Salt beef bagel(1137)</t>
  </si>
  <si>
    <t>Salt beef bagel</t>
  </si>
  <si>
    <t>Especially noted from Beigel Bake in Brick Lane, east London.</t>
  </si>
  <si>
    <t>De miga(1136)</t>
  </si>
  <si>
    <t>De miga</t>
  </si>
  <si>
    <t>Argentina</t>
  </si>
  <si>
    <t>Made with single-, double-, or triple-layered, buttered, thin white bread with crust removed, toasted or untoasted, containing thinly sliced meat, as well as eggs, cheese, tomatoes, green peppers, lettuce, olives, and sometimes other vegetables.</t>
  </si>
  <si>
    <t>Sandwich loaf(1135)</t>
  </si>
  <si>
    <t>Sandwich loaf</t>
  </si>
  <si>
    <t>Alternating layers of bread and filling frosted to resemble a layer cake</t>
  </si>
  <si>
    <t>Sailor sandwich(1134)</t>
  </si>
  <si>
    <t>Sailor sandwich</t>
  </si>
  <si>
    <t>United States (Richmond, Virginia)</t>
  </si>
  <si>
    <t>Hot pastrami, grilled knockwurst, melted Swiss and hot mustard on rye bread</t>
  </si>
  <si>
    <t>Runza(1133)</t>
  </si>
  <si>
    <t>Runza</t>
  </si>
  <si>
    <t>A bun filled with a mixture of (usually) loose meat, cabbage, and cheese. The fillings are baked inside the bread, similar to a kolache. Popular in the Midwestern United States, especially Nebraska.</t>
  </si>
  <si>
    <t>Rou jia mo(1132)</t>
  </si>
  <si>
    <t>Rou jia mo</t>
  </si>
  <si>
    <t>China</t>
  </si>
  <si>
    <t>Stewed pork, chopped finely, and stuffed in mo, a kind of flatbread</t>
  </si>
  <si>
    <t>Roti john(1131)</t>
  </si>
  <si>
    <t>Roti john</t>
  </si>
  <si>
    <t>Malaysia</t>
  </si>
  <si>
    <t>Basic ingredients are eggs, chopped onions, sambal paste, salt, and pepper, cooked as an omelette with the bread added on top before it's fully cooked. Many variations include canned sardines, chicken, beef, or mutton. Garnished with mayo, chili sauce, and cheese.</t>
  </si>
  <si>
    <t>Reuben(1130)</t>
  </si>
  <si>
    <t>Reuben</t>
  </si>
  <si>
    <t>Corned beef, sauerkraut, Swiss cheese, topped with Russian or Thousand Island dressing, on rye bread, then grilled</t>
  </si>
  <si>
    <t>Pulled pork sandwich(1129)</t>
  </si>
  <si>
    <t>Pulled pork sandwich</t>
  </si>
  <si>
    <t>Southern United States</t>
  </si>
  <si>
    <t>Form of barbecue in which pork is cooked using a slow cook method until the meat becomes tender enough that it can be "pulled", or easily broken into individual pieces. The pork is often topped with barbecue sauce and vinegar- or mayonnaise-based coleslaw depending on the region</t>
  </si>
  <si>
    <t>Pudgy Pie(1128)</t>
  </si>
  <si>
    <t>Pudgy Pie</t>
  </si>
  <si>
    <t>This sandwich can be made in a pan. Margarine on the outside, pizza sauce and fillings on the inside. The term "pudgy pie" is sometimes used to refer to pie irons, a gadget used for campfire cooking.</t>
  </si>
  <si>
    <t>Prosperity Sandwich(1127)</t>
  </si>
  <si>
    <t>Prosperity Sandwich</t>
  </si>
  <si>
    <t>United States (St. Louis)</t>
  </si>
  <si>
    <t>Ham and turkey topped with broiled cheese. Sometimes includes bacon and tomato.</t>
  </si>
  <si>
    <t>Primanti(1126)</t>
  </si>
  <si>
    <t>Primanti</t>
  </si>
  <si>
    <t>Pittsburgh, Pennsylvania, United States</t>
  </si>
  <si>
    <t>Selection of grilled meats topped with french fries, coleslaw, and tomato on Italian bread</t>
  </si>
  <si>
    <t>Prawn roll(1125)</t>
  </si>
  <si>
    <t>Prawn roll</t>
  </si>
  <si>
    <t>Pork tenderloin(1124)</t>
  </si>
  <si>
    <t>Pork tenderloin</t>
  </si>
  <si>
    <t>A thin, tenderized, deep-fried pork loin, served on a bun.</t>
  </si>
  <si>
    <t>Pork chop bun(1123)</t>
  </si>
  <si>
    <t>Pork chop bun</t>
  </si>
  <si>
    <t>Macau</t>
  </si>
  <si>
    <t>A popular dish in Macau, the bun is extremely crisp outside and very soft inside, containing a freshly fried pork chop.</t>
  </si>
  <si>
    <t>Porilainen(1122)</t>
  </si>
  <si>
    <t>Porilainen</t>
  </si>
  <si>
    <t>Finland</t>
  </si>
  <si>
    <t>A half-inch slice of thick sausage, usually with diced red or sweet onion, sliced pickles, ketchup, mustard, and sometimes mayonnaise, on white bread</t>
  </si>
  <si>
    <t>Polish boy(1121)</t>
  </si>
  <si>
    <t>Polish boy</t>
  </si>
  <si>
    <t>United States (Cleveland, Ohio)</t>
  </si>
  <si>
    <t>Kielbasa sausage in a bun, covered with french fries, barbecue sauce (or hot sauce), and coleslaw</t>
  </si>
  <si>
    <t>Po' boy(1120)</t>
  </si>
  <si>
    <t>Po' boy</t>
  </si>
  <si>
    <t>A crusty bread loaf typically filled with fried seafood or roast beef.</t>
  </si>
  <si>
    <t>Ploughman's lunch(1119)</t>
  </si>
  <si>
    <t>Ploughman's lunch</t>
  </si>
  <si>
    <t>A cold meal originating in the United Kingdom, commonly served in pubs. Its core components are (cheddar) cheese, ploughman's pickle, and bread. It is traditionally eaten with beer.</t>
  </si>
  <si>
    <t>Pljeskavica(1118)</t>
  </si>
  <si>
    <t>Pljeskavica</t>
  </si>
  <si>
    <t>Balkans</t>
  </si>
  <si>
    <t>A patty dish popular in the Balkan region of Southeastern Europe, a sandwich utilizes the Pljeskavica patty and bread.</t>
  </si>
  <si>
    <t>Pistolette(1117)</t>
  </si>
  <si>
    <t>Pistolette</t>
  </si>
  <si>
    <t>A stuffed and fried bread roll (sometimes called stuffed pistolettes) in the Cajun areas around Lafayette. This also refers to a type of submarine-shaped bread about half the size of a baguette that is popular in New Orleans for Vietnamese bánh mì and other sandwiches.</t>
  </si>
  <si>
    <t>Pimento cheese(1116)</t>
  </si>
  <si>
    <t>Pimento cheese</t>
  </si>
  <si>
    <t>A common food preparation in the Southern United States, a spread or relish made with cheese, mayonnaise, pimentos, salt and pepper, blended to either a smooth or chunky paste. Regional variations incorporate additional ingredients. Also eaten in the United Kingdom (see "Tea" in this list) and the Philippines.</t>
  </si>
  <si>
    <t>Pebete(1115)</t>
  </si>
  <si>
    <t>Pebete</t>
  </si>
  <si>
    <t>A simple Argentine sandwich, traditionally filled with cheese, cured meat, tomato, and mayonnaise. Pebete actually refers to the bread used for the sandwich - a soft oval bun with a spongy inside, and a thin toasted crust.</t>
  </si>
  <si>
    <t>Peanut butter and jelly(1114)</t>
  </si>
  <si>
    <t>Peanut butter and jelly</t>
  </si>
  <si>
    <t>Jam is often used in place of jelly. Also known as a PB&amp;J.</t>
  </si>
  <si>
    <t>Patty melt(1113)</t>
  </si>
  <si>
    <t>Patty melt</t>
  </si>
  <si>
    <t>Consists of a hamburger patty, pieces of sautéed or grilled onion, and Cheddar or Swiss cheese between two slices of bread</t>
  </si>
  <si>
    <t>Panini(1112)</t>
  </si>
  <si>
    <t>Panini</t>
  </si>
  <si>
    <t>In Italy, panino is the word for a sandwich made from bread other than sliced bread, in which case Italians call it a tramezzino. Examples of bread types used are ciabatta, rosetta and baguette. The bread is cut horizontally and filled with deli ingredients such as salami, ham, cheese, mortadella, or other food, and is sometimes pressed by a warming grill. In the United States, United Kingdom, and Canada, the term panini is used to refer to a long pressed and toasted sandwich; there is widespread availability and use of sandwich presses, often known as "panini presses".</t>
  </si>
  <si>
    <t>Pan-bagnat(1111)</t>
  </si>
  <si>
    <t>Pan-bagnat</t>
  </si>
  <si>
    <t>France</t>
  </si>
  <si>
    <t>Round bread (bread bagnats) topped with green salad, tomatoes, hard-boiled eggs, tuna, anchovies, cucumbers, fava beans, artichokes, green peppers, radishes, onions, basil, and black olives. Condiments may include garlic, vinegar, olive oil, salt, and pepper. Served chilled.</t>
  </si>
  <si>
    <t>Pambazo(1110)</t>
  </si>
  <si>
    <t>Pambazo</t>
  </si>
  <si>
    <t>Mexico</t>
  </si>
  <si>
    <t>Made with pambazo bread dipped in a red guajillo pepper sauce and filled with potatoes and chorizo.</t>
  </si>
  <si>
    <t>Open-faced sandwich(1109)</t>
  </si>
  <si>
    <t>Open-faced sandwich</t>
  </si>
  <si>
    <t>Nordic</t>
  </si>
  <si>
    <t>Consists of a single slice of bread with one or more food items on top. See also pizza.</t>
  </si>
  <si>
    <t>Naan sandwich(1108)</t>
  </si>
  <si>
    <t>Naan sandwich</t>
  </si>
  <si>
    <t>Pakistan</t>
  </si>
  <si>
    <t>Beef on naan bread.</t>
  </si>
  <si>
    <t>Muffuletta(1107)</t>
  </si>
  <si>
    <t>Muffuletta</t>
  </si>
  <si>
    <t>Originated in New Orleans' Italian-American community, this contains meats, cheeses, and olive salad on a round bun</t>
  </si>
  <si>
    <t>Mother-in-law(1106)</t>
  </si>
  <si>
    <t>Mother-in-law</t>
  </si>
  <si>
    <t>A hot dog bun containing a Chicago-style corn-roll tamale, topped with chili</t>
  </si>
  <si>
    <t>Mortadella(1105)</t>
  </si>
  <si>
    <t>Mortadella</t>
  </si>
  <si>
    <t>Any sandwich containing mortadella, a large Italian sausage</t>
  </si>
  <si>
    <t>Montreal-style smoked meat(1104)</t>
  </si>
  <si>
    <t>Montreal-style smoked meat</t>
  </si>
  <si>
    <t>Canada</t>
  </si>
  <si>
    <t>A sandwich made from cured and smoked brisket with yellow mustard, usually on rye bread.</t>
  </si>
  <si>
    <t>Monte Cristo(1103)</t>
  </si>
  <si>
    <t>Monte Cristo</t>
  </si>
  <si>
    <t>Sliced ham and cheese (usually Emmental or Gruyère) between slices of French toast and batter-fried. In some regions it is sprinkled with powdered sugar and served with jelly or jam). In other regions (New England), it is served savory with French mustard and no powdered sugar.</t>
  </si>
  <si>
    <t>Montadito(1102)</t>
  </si>
  <si>
    <t>Montadito</t>
  </si>
  <si>
    <t>Spain</t>
  </si>
  <si>
    <t>Small, usually grilled, and may contain a variety of fillings. Some bars offer a variety of 200 different types of these sandwiches.</t>
  </si>
  <si>
    <t>Mollete(1101)</t>
  </si>
  <si>
    <t>Mollete</t>
  </si>
  <si>
    <t>Spain and Mexico</t>
  </si>
  <si>
    <t>A typical food of Mexico and a kind of bread in Spain. In Mexico, Molletes are prepared with melted cheese and beans with other ingredients, such as salsa, ham, or bacon.</t>
  </si>
  <si>
    <t>Mettbrötchen(1100)</t>
  </si>
  <si>
    <t>Mettbrötchen</t>
  </si>
  <si>
    <t>Open sandwich consisting of a sliced bun, topped with Mett (seasoned minced pork without bacon), frequently with a garnish of raw onion rings or diced raw onion</t>
  </si>
  <si>
    <t>Melt(1099)</t>
  </si>
  <si>
    <t>Melt</t>
  </si>
  <si>
    <t>A generic sandwich containing a filling and a layer of cheese, grilled or fried until the cheese is melted</t>
  </si>
  <si>
    <t>Mitraillette(1098)</t>
  </si>
  <si>
    <t>Mitraillette</t>
  </si>
  <si>
    <t>Belgium</t>
  </si>
  <si>
    <t>French fries and fried meat with sauce on a demi-baguette.</t>
  </si>
  <si>
    <t>Medianoche(1097)</t>
  </si>
  <si>
    <t>Medianoche</t>
  </si>
  <si>
    <t>Cuba</t>
  </si>
  <si>
    <t>Roast pork, ham, mustard, Swiss cheese, and dill pickles served on sweet bread.</t>
  </si>
  <si>
    <t>Meatball(1096)</t>
  </si>
  <si>
    <t>Meatball</t>
  </si>
  <si>
    <t>Meatballs in marinara sauce, with melted Parmesan or provolone cheese, on a long bun or section of Italian loaf. Might include Italian-style accompaniments such as bell peppers, basil, or Italian-dressed lettuce</t>
  </si>
  <si>
    <t>Martino(1095)</t>
  </si>
  <si>
    <t>Martino</t>
  </si>
  <si>
    <t>Filet américain (steak tartare) with Worcestershire sauce, pickles, onions, peppers, and martino sauce</t>
  </si>
  <si>
    <t>Marmite(1094)</t>
  </si>
  <si>
    <t>Marmite</t>
  </si>
  <si>
    <t>Marmite spread thinly with butter or margarine onto toast or bread</t>
  </si>
  <si>
    <t>Luther burger(1093)</t>
  </si>
  <si>
    <t>Luther burger</t>
  </si>
  <si>
    <t>A hamburger or cheeseburger on glazed doughnuts instead of a bun</t>
  </si>
  <si>
    <t>Lox(1092)</t>
  </si>
  <si>
    <t>Lox</t>
  </si>
  <si>
    <t>Lox on a bagel with cream cheese, thinly sliced onion, capers, and sometimes sliced tomato</t>
  </si>
  <si>
    <t>Lobster roll(1091)</t>
  </si>
  <si>
    <t>Lobster roll</t>
  </si>
  <si>
    <t>Northeastern United States</t>
  </si>
  <si>
    <t>Lobster meat tossed with either mayonnaise ("cold") or drawn butter ("hot") stuffed into a slit opening at the top of a grilled bread roll or hot dog bun.</t>
  </si>
  <si>
    <t>Limburger sandwich(1090)</t>
  </si>
  <si>
    <t>Limburger sandwich</t>
  </si>
  <si>
    <t>They are typically prepared with buttered rye bread, Limburger cheese, sliced onion and mustard. Pictured is Limburger cheese and bread.</t>
  </si>
  <si>
    <t>Lettuce(1089)</t>
  </si>
  <si>
    <t>Lettuce</t>
  </si>
  <si>
    <t>Lettuce and mayonnaise</t>
  </si>
  <si>
    <t>Leberkäse(1088)</t>
  </si>
  <si>
    <t>Leberkäse</t>
  </si>
  <si>
    <t>Bavaria</t>
  </si>
  <si>
    <t>A meatloaf-like dish which, despite the name, contains neither liver nor cheese. It is commonly served on a Kaiser roll with mustard.</t>
  </si>
  <si>
    <t>Kottenbutter(1087)</t>
  </si>
  <si>
    <t>Kottenbutter</t>
  </si>
  <si>
    <t>Buttered brown bread with smoked pork sausage (Kottenwurst), fresh onion rings, and spicy mustard</t>
  </si>
  <si>
    <t>Kokoretsi(1086)</t>
  </si>
  <si>
    <t>Kokoretsi</t>
  </si>
  <si>
    <t>Lamb or goat intestines, containing seasoned offal</t>
  </si>
  <si>
    <t>Katsu sando(1085)</t>
  </si>
  <si>
    <t>Katsu sando</t>
  </si>
  <si>
    <t>Breaded, deep-fried pork cutlet (tonkatsu)</t>
  </si>
  <si>
    <t>Jucy Lucy(1084)</t>
  </si>
  <si>
    <t>Jucy Lucy</t>
  </si>
  <si>
    <t>United States (Minneapolis, Minnesota)</t>
  </si>
  <si>
    <t>A cheeseburger with the cheese inside the meat patty rather than on top</t>
  </si>
  <si>
    <t>Jibarito(1083)</t>
  </si>
  <si>
    <t>Jibarito</t>
  </si>
  <si>
    <t>Meat, cheese, lettuce, and tomato, between flattened, fried green plantains (instead of bread), with garlic-flavored mayonnaise</t>
  </si>
  <si>
    <t>Jambon-beurre(1082)</t>
  </si>
  <si>
    <t>Jambon-beurre</t>
  </si>
  <si>
    <t>A French baguette with butter and ham. Also known as "Parisien," it is the most popular sandwich in France.</t>
  </si>
  <si>
    <t>Jam(1081)</t>
  </si>
  <si>
    <t>Jam</t>
  </si>
  <si>
    <t>Buttered bread, with jam (traditionally strawberry), normally eaten at lunchtime or as a quick snack, may also be eaten at breakfast or for high tea</t>
  </si>
  <si>
    <t>Italiano(1080)</t>
  </si>
  <si>
    <t>Italiano</t>
  </si>
  <si>
    <t>Chile</t>
  </si>
  <si>
    <t>Not a sandwich, it refers to a set of toppings to put in a sandwich, refers to the colors of the Italian flag: red (tomato), white (mayonnaise) and green (avocado)</t>
  </si>
  <si>
    <t>Italian beef(1079)</t>
  </si>
  <si>
    <t>Italian beef</t>
  </si>
  <si>
    <t>United States (Chicago, Illinois)</t>
  </si>
  <si>
    <t>Thin slices of seasoned, juicy roast beef, often garnished with giardiniera or Italian sweet peppers, on a dense, long Italian-style roll</t>
  </si>
  <si>
    <t>Ice cream(1078)</t>
  </si>
  <si>
    <t>Ice cream</t>
  </si>
  <si>
    <t>Vanilla ice cream between thin biscuits, cookies or slices of cake, normally chocolate</t>
  </si>
  <si>
    <t>Hot turkey(1077)</t>
  </si>
  <si>
    <t>Hot turkey</t>
  </si>
  <si>
    <t>Often open-faced, sliced turkey on white bread drenched in turkey gravy, often served with mashed potatoes. These are sometimes served at Hofbrau-style restaurants.</t>
  </si>
  <si>
    <t>Hot chicken(1076)</t>
  </si>
  <si>
    <t>Hot chicken</t>
  </si>
  <si>
    <t>Quebec, Canada</t>
  </si>
  <si>
    <t>Coarsely shredded or sliced chicken, sandwiched between two pieces of sliced bread, and completely covered with gravy.</t>
  </si>
  <si>
    <t>Hot brown(1075)</t>
  </si>
  <si>
    <t>Hot brown</t>
  </si>
  <si>
    <t>United States (Louisville, Kentucky)</t>
  </si>
  <si>
    <t>Open-faced with turkey and bacon, topped with mornay sauce, and baked or broiled</t>
  </si>
  <si>
    <t>Horseshoe(1074)</t>
  </si>
  <si>
    <t>Horseshoe</t>
  </si>
  <si>
    <t>Springfield, Illinois, United States</t>
  </si>
  <si>
    <t>A thick-sliced, toasted, open-faced sandwich, it usually contains hamburger patties or ham, but other meat, such as deep-fried pork tenderloin, grilled or fried chicken breast, and fried fish filets, can be used. The meat is topped with french fries and covered with a cheese sauce.</t>
  </si>
  <si>
    <t>Hamdog(1073)</t>
  </si>
  <si>
    <t>Hamdog</t>
  </si>
  <si>
    <t>A hot dog wrapped in a beef patty, deep-fried, then covered with chili, a few french fries, and a fried egg</t>
  </si>
  <si>
    <t>Hamburger(1072)</t>
  </si>
  <si>
    <t>Hamburger</t>
  </si>
  <si>
    <t>A ground beef patty, often with vegetables, sauces and other meats, usually on a round bun.</t>
  </si>
  <si>
    <t>Ham and egg bun(1071)</t>
  </si>
  <si>
    <t>Ham and egg bun</t>
  </si>
  <si>
    <t>Hong Kong</t>
  </si>
  <si>
    <t>Sliced Danish canned ham with sliced scrambled egg sheet in a halved sweet bun</t>
  </si>
  <si>
    <t>Ham and cheese(1070)</t>
  </si>
  <si>
    <t>Ham and cheese</t>
  </si>
  <si>
    <t>A common sandwich prepared with ham and sliced cheese. Additional ingredients may include lettuce, tomato, mayonnaise, and other ingredients.</t>
  </si>
  <si>
    <t>Ham(1069)</t>
  </si>
  <si>
    <t>Ham</t>
  </si>
  <si>
    <t>May be accompanied by cheese or salad. Condiments such as mustard, mayonnaise, or pickle may be present.</t>
  </si>
  <si>
    <t>Hagelslag or vlokken(1068)</t>
  </si>
  <si>
    <t>Hagelslag or vlokken</t>
  </si>
  <si>
    <t>The Netherlands</t>
  </si>
  <si>
    <t>Chocolate sprinkles or flakes usually served on buttered bread</t>
  </si>
  <si>
    <t>Gyro(1067)</t>
  </si>
  <si>
    <t>Gyro</t>
  </si>
  <si>
    <t>Pita gyro or "psomaki gyro," depending on the type of bread used, includes meat roasted on a vertical spit, with tomato, potatoes, raw, often red onion and tzatziki sauce, wrapped in pita or sandwich bread.</t>
  </si>
  <si>
    <t>Guajolota(1066)</t>
  </si>
  <si>
    <t>Guajolota</t>
  </si>
  <si>
    <t>Mexico (Mexico City)</t>
  </si>
  <si>
    <t>A tamale in a mexican bolillo roll. A very common morning street food in Mexico City. It is also called torta de tamal</t>
  </si>
  <si>
    <t>Gerber(1065)</t>
  </si>
  <si>
    <t>Gerber</t>
  </si>
  <si>
    <t>Half section of Italian or French bread with garlic butter, containing ham, provel or provolone cheese, topped with paprika, then toasted</t>
  </si>
  <si>
    <t>Gatsby(1064)</t>
  </si>
  <si>
    <t>Gatsby</t>
  </si>
  <si>
    <t>South Africa</t>
  </si>
  <si>
    <t>A deli-style sandwich similar to the hoagie, often containing french fries, with other variations, prepared with masala steak, chicken, polony, Vienna sausages, calamari, fish, or chargrilled steak</t>
  </si>
  <si>
    <t>Ftira(1063)</t>
  </si>
  <si>
    <t>Ftira</t>
  </si>
  <si>
    <t>Malta</t>
  </si>
  <si>
    <t>A traditional Maltese sandwich made on a large round piece of Maltese ftira bread, topped with tomato paste, tuna, capers, and red onions.</t>
  </si>
  <si>
    <t>Fruit(1062)</t>
  </si>
  <si>
    <t>Fruit</t>
  </si>
  <si>
    <t>Global</t>
  </si>
  <si>
    <t>Fruit, often fruits such as banana, fig or pineapple served on bread, often with mayonnaise in the United States.</t>
  </si>
  <si>
    <t>Fried brain(1061)</t>
  </si>
  <si>
    <t>Fried brain</t>
  </si>
  <si>
    <t>Sliced calves' brain on sliced bread</t>
  </si>
  <si>
    <t>French dip(1060)</t>
  </si>
  <si>
    <t>French dip</t>
  </si>
  <si>
    <t>Thinly sliced roast beef on a baguette, served hot, usually au jus (with juice)</t>
  </si>
  <si>
    <t>Francesinha poveira(1059)</t>
  </si>
  <si>
    <t>Francesinha poveira</t>
  </si>
  <si>
    <t>Portugal</t>
  </si>
  <si>
    <t>A bun with wet-cured ham, linguiça, and cheese, sauced with butter or margarine, piri-piri, and port wine, whiskey, cognac, or brandy</t>
  </si>
  <si>
    <t>Francesinha(1058)</t>
  </si>
  <si>
    <t>Francesinha</t>
  </si>
  <si>
    <t>Wet-cured ham, linguiça, fresh sausage (chipolata), steak or other roast meat, topped with melted cheese, a hot thick tomato, and beer sauce</t>
  </si>
  <si>
    <t>Fluffernutter(1057)</t>
  </si>
  <si>
    <t>Fluffernutter</t>
  </si>
  <si>
    <t>Peanut butter and marshmallow creme. Pictured is a fluffernutter sandwich prior to being assembled.</t>
  </si>
  <si>
    <t>Fool's Gold Loaf(1056)</t>
  </si>
  <si>
    <t>Fool's Gold Loaf</t>
  </si>
  <si>
    <t>Colorado, United States</t>
  </si>
  <si>
    <t>Consists of a single warmed, hollowed-out loaf of bread filled with one jar of creamy peanut butter, one jar of grape jelly, and a pound of bacon. In 1976, Elvis Presley and some of his friends flew to Colorado to consume them.</t>
  </si>
  <si>
    <t>Fischbrötchen(1055)</t>
  </si>
  <si>
    <t>Fischbrötchen</t>
  </si>
  <si>
    <t>Crusty bread rolls filled with fish (most commonly Bismarck or soused herring) and onions</t>
  </si>
  <si>
    <t>Falafel(1054)</t>
  </si>
  <si>
    <t>Falafel</t>
  </si>
  <si>
    <t>Middle East</t>
  </si>
  <si>
    <t>Deep-fried balls of ground, seasoned chickpeas topped with salad vegetables, hot sauce, tahini-based sauces, and pickled vegetables, wrapped in or added to the pocket of a split-open pita bread.</t>
  </si>
  <si>
    <t>Fairy bread(1053)</t>
  </si>
  <si>
    <t>Fairy bread</t>
  </si>
  <si>
    <t>Australia and New Zealand</t>
  </si>
  <si>
    <t>White bread with nonpareils (= 'sprinkles' (U.S.) or 'hundreds and thousands' (U.K.)) on a spread of butter. Often cut into squares or triangles.</t>
  </si>
  <si>
    <t>Egg(1052)</t>
  </si>
  <si>
    <t>Egg</t>
  </si>
  <si>
    <t>Worldwide</t>
  </si>
  <si>
    <t>Generic sandwich: This contains eggs, usually sliced hard boiled eggs or egg salad, but may be made with fried or (more rarely) scrambled egg, topped with the local roe spread, locally called kaviar.</t>
  </si>
  <si>
    <t>Elvis sandwich(1051)</t>
  </si>
  <si>
    <t>Elvis sandwich</t>
  </si>
  <si>
    <t>Peanut butter, banana, and bacon</t>
  </si>
  <si>
    <t>Dyrlægens natmad(1050)</t>
  </si>
  <si>
    <t>Dyrlægens natmad</t>
  </si>
  <si>
    <t>On a piece of dark rye bread, a layer of leverpostej, topped with a slice of salt beef and a slice of meat aspic, topped with raw onion rings and garden cress.</t>
  </si>
  <si>
    <t>Dynamite(1049)</t>
  </si>
  <si>
    <t>Dynamite</t>
  </si>
  <si>
    <t>United States (Woonsocket, Rhode Island)</t>
  </si>
  <si>
    <t>Made of ground beef, tomato sauces, spices and many onions and peppers. It is a popular food served at local family gatherings and fundraising benefits, usually made in large quantities.</t>
  </si>
  <si>
    <t>Doubles(1048)</t>
  </si>
  <si>
    <t>Doubles</t>
  </si>
  <si>
    <t>Trinidad and Tobago</t>
  </si>
  <si>
    <t>Two flat fried bara (bread), containing curried chickpeas or garbanzo beans</t>
  </si>
  <si>
    <t>Donkey burger(1047)</t>
  </si>
  <si>
    <t>Donkey burger</t>
  </si>
  <si>
    <t>Chopped or shredded savory donkey meat in a bun, sold in Baoding, Hebei Province as street food, and also in high-end restaurants</t>
  </si>
  <si>
    <t>Doner kebab(1046)</t>
  </si>
  <si>
    <t>Doner kebab</t>
  </si>
  <si>
    <t>Turkey</t>
  </si>
  <si>
    <t>Doner kebab is meat cooked on a vertical spit, normally veal or beef but also may be a mixture of these with lamb, and sometimes chicken. This may be served wrapped in a flatbread such as lavash or pita, or as a sandwich.</t>
  </si>
  <si>
    <t>Denver(1045)</t>
  </si>
  <si>
    <t>Denver</t>
  </si>
  <si>
    <t>A sandwich containing a Denver omelette</t>
  </si>
  <si>
    <t>Deli sandwich(1044)</t>
  </si>
  <si>
    <t>Deli sandwich</t>
  </si>
  <si>
    <t>This sandwich may be ordered at a deli; choices include type of bread (toasted or untoasted,) type of meat (cold cut), type of sliced cheese, vegetable fillings (lettuce, tomato, onion, etc.), and condiments</t>
  </si>
  <si>
    <t>Dagwood(1043)</t>
  </si>
  <si>
    <t>Dagwood</t>
  </si>
  <si>
    <t>Multiple layers containing a wide variety of meats and condiments, named for Dagwood Bumstead of the comic strip Blondie</t>
  </si>
  <si>
    <t>Cudighi(1042)</t>
  </si>
  <si>
    <t>Cudighi</t>
  </si>
  <si>
    <t>Spicy cudighi (a Michigan variety of Cotechino Italian sausage), on a long, hard roll, often topped with mozzarella and tomato sauce</t>
  </si>
  <si>
    <t>Cucumber(1041)</t>
  </si>
  <si>
    <t>Cucumber</t>
  </si>
  <si>
    <t>Two thin slices of crustless, lightly buttered white bread, containing paper-thin slices of peeled cucumber</t>
  </si>
  <si>
    <t>Cuban(1040)</t>
  </si>
  <si>
    <t>Cuban</t>
  </si>
  <si>
    <t>United States (Tampa, Florida) and Cuba</t>
  </si>
  <si>
    <t>Ham, roasted pork, Swiss cheese, pickles, mustard, and sometimes Genoa salami on Cuban bread, usually pressed and warmed in a plancha</t>
  </si>
  <si>
    <t>Croque-madame(1039)</t>
  </si>
  <si>
    <t>Croque-madame</t>
  </si>
  <si>
    <t>Same as a croque-monsieur, but with a fried egg on top.</t>
  </si>
  <si>
    <t>Croque-monsieur(1038)</t>
  </si>
  <si>
    <t>Croque-monsieur</t>
  </si>
  <si>
    <t>A grilled ham and cheese (typically Emmental or Gruyère) sandwich, sometimes coated in a mornay or béchamel sauce</t>
  </si>
  <si>
    <t>Crisp(1037)</t>
  </si>
  <si>
    <t>Crisp</t>
  </si>
  <si>
    <t>Crisps and occasionally pickles on white bread</t>
  </si>
  <si>
    <t>Corned beef(1036)</t>
  </si>
  <si>
    <t>Corned beef</t>
  </si>
  <si>
    <t>Corned beef often served with a condiment such as pickle or mustard.</t>
  </si>
  <si>
    <t>Club(1035)</t>
  </si>
  <si>
    <t>Club</t>
  </si>
  <si>
    <t>A triple-decker sandwich made with sliced turkey or chicken, bacon, tomato, and lettuce; usually contains mayonnaise</t>
  </si>
  <si>
    <t>Churrasco(1034)</t>
  </si>
  <si>
    <t>Churrasco</t>
  </si>
  <si>
    <t>Thinly cut steak, grilled and served on a toasted bun. It can be served with almost any other ingredient, in which case its name changes to "churrasco+the new ingredient" (e.g.: churrasco palta = churrasco and avocado)</t>
  </si>
  <si>
    <t>Chow mein(1033)</t>
  </si>
  <si>
    <t>Chow mein</t>
  </si>
  <si>
    <t>A brown gravy base and chow mein mixture on a hamburger-style bun</t>
  </si>
  <si>
    <t>Choripán(1032)</t>
  </si>
  <si>
    <t>Choripán</t>
  </si>
  <si>
    <t>South America, Caribbean</t>
  </si>
  <si>
    <t>Grilled chorizo, usually served on a crusty roll with salsa-type condiments, such as pebre, salsa criolla, or chimichurri. Morcipán is a variety of this using black pudding or blood sausage.</t>
  </si>
  <si>
    <t>Chivito(1031)</t>
  </si>
  <si>
    <t>Chivito</t>
  </si>
  <si>
    <t>Uruguay</t>
  </si>
  <si>
    <t>Filet mignon with mozzarella, tomatoes, mayonnaise, and commonly bacon, black or green olives, fried or hardboiled eggs, and ham</t>
  </si>
  <si>
    <t>Chipped beef(1030)</t>
  </si>
  <si>
    <t>Chipped beef</t>
  </si>
  <si>
    <t>U.S. military cuisine</t>
  </si>
  <si>
    <t>A sandwich prepared with thinly sliced or pressed salted and dried beef. Some chipped beef is smoked to add flavor.</t>
  </si>
  <si>
    <t>Chip butty(1029)</t>
  </si>
  <si>
    <t>Chip butty</t>
  </si>
  <si>
    <t>Sliced white bread (or a large, flat bread roll) filled with chips, usually sprinkled with salt and vinegar or tomato ketchup.</t>
  </si>
  <si>
    <t>Chili burger(1028)</t>
  </si>
  <si>
    <t>Chili burger</t>
  </si>
  <si>
    <t>A hamburger, with the patty topped with chili con carne</t>
  </si>
  <si>
    <t>Chickpea salad(1027)</t>
  </si>
  <si>
    <t>Chickpea salad</t>
  </si>
  <si>
    <t>Chickpea salad is a vegan sandwich filling with a texture similar to tuna salad. Chickpea salad consists of mashed up chickpeas, vegenaise, onions, and other seasonings. Some versions also include tuna.</t>
  </si>
  <si>
    <t>Chicken schnitzel(1026)</t>
  </si>
  <si>
    <t>Chicken schnitzel</t>
  </si>
  <si>
    <t>A sandwich of crumbed, pan-fried chicken fillet, on buttered bread, with shredded iceberg lettuce and mayonnaise.</t>
  </si>
  <si>
    <t>Chicken salad(1025)</t>
  </si>
  <si>
    <t>Chicken salad</t>
  </si>
  <si>
    <t>A sandwich prepared with chicken salad as a filling.</t>
  </si>
  <si>
    <t>Chicken(1024)</t>
  </si>
  <si>
    <t>Chicken</t>
  </si>
  <si>
    <t>A chicken sandwich can contain chicken cooked in a variety of ways. In the United States, common forms of chicken sandwiches include the grilled chicken breast sandwich, the fried chicken breast sandwich, the chicken salad sandwich, and the shredded (or barbeque) chicken sandwich.</t>
  </si>
  <si>
    <t>Cheesesteak(1023)</t>
  </si>
  <si>
    <t>Cheesesteak</t>
  </si>
  <si>
    <t>United States (Philadelphia, Pennsylvania)</t>
  </si>
  <si>
    <t>Thinly sliced steak and melted cheese in a long roll, also known as a Philadelphia or Philly cheesesteak.</t>
  </si>
  <si>
    <t>Cheese and pickle(1022)</t>
  </si>
  <si>
    <t>Cheese and pickle</t>
  </si>
  <si>
    <t>Slices of cheese (typically Cheddar) and pickle (a sweet, vinegary chutney with the most popular brand being Branston), sandwiched between two slices of bread.</t>
  </si>
  <si>
    <t>Cheese(1021)</t>
  </si>
  <si>
    <t>Cheese</t>
  </si>
  <si>
    <t>Made with one or more varieties of cheese. When toasted (pictured), it is commonly referred to as a "grilled cheese sandwich."</t>
  </si>
  <si>
    <t>Chacarero(1020)</t>
  </si>
  <si>
    <t>Chacarero</t>
  </si>
  <si>
    <t>Thinly sliced churrasco-style steak, or lomito-style pork, with tomatoes, green beans, and green chiles, served on a round roll</t>
  </si>
  <si>
    <t>Cemita(1019)</t>
  </si>
  <si>
    <t>Cemita</t>
  </si>
  <si>
    <t>Sliced avocado, meat, white cheese, onions, and red sauce (salsa roja), on a fluffy sesame-seeded egg roll, originally from the city of Puebla.</t>
  </si>
  <si>
    <t>Butterbrot(1018)</t>
  </si>
  <si>
    <t>Butterbrot</t>
  </si>
  <si>
    <t>Single, open-faced, containing butter as the common ingredient, with sweet or savory toppings depending on the meal</t>
  </si>
  <si>
    <t>Bun kebab(1017)</t>
  </si>
  <si>
    <t>Bun kebab</t>
  </si>
  <si>
    <t>Consists of a shallow-fried, spicy patty, onions, and chutney or raita in a hamburger or hot dog bun.</t>
  </si>
  <si>
    <t>Broodje kroket(1016)</t>
  </si>
  <si>
    <t>Broodje kroket</t>
  </si>
  <si>
    <t>A soft bread roll containing a ragout-based croquette, often eaten with mustard.</t>
  </si>
  <si>
    <t>British Rail(1015)</t>
  </si>
  <si>
    <t>British Rail</t>
  </si>
  <si>
    <t>A dated reference to the poor quality of catering on the now-defunct British Rail, this refers to any poor-quality sandwich, often stale.</t>
  </si>
  <si>
    <t>Breakfast(1014)</t>
  </si>
  <si>
    <t>Breakfast</t>
  </si>
  <si>
    <t>Typically a scrambled or fried egg, cheese, and a sausage patty or other breakfast meat, served on a biscuit or English muffin</t>
  </si>
  <si>
    <t>Breakfast roll(1013)</t>
  </si>
  <si>
    <t>Breakfast roll</t>
  </si>
  <si>
    <t>United Kingdom and Ireland</t>
  </si>
  <si>
    <t>A convenience dish on a variety of bread rolls, containing such breakfast items as sausages, bacon, white or black pudding, mushrooms, tomatoes, hash browns, and fried eggs, often eaten with ketchup or brown sauce</t>
  </si>
  <si>
    <t>Bosna(1012)</t>
  </si>
  <si>
    <t>Bosna</t>
  </si>
  <si>
    <t>Austria</t>
  </si>
  <si>
    <t>Usually grilled on white bread, containing a bratwurst sausage, onions, and a blend of tomato ketchup, mustard, and curry powder</t>
  </si>
  <si>
    <t>Bologna sandwich(1011)</t>
  </si>
  <si>
    <t>Bologna sandwich</t>
  </si>
  <si>
    <t>Pre-sliced and sometimes fried bologna sausage between slices of white bread, with various condiments such as ketchup, mustard, and mayonnaise.</t>
  </si>
  <si>
    <t>BLT(1010)</t>
  </si>
  <si>
    <t>BLT</t>
  </si>
  <si>
    <t>Named for its ingredients: bacon, lettuce, and tomato. Often served on toasted sliced bread spread with mayonnaise.</t>
  </si>
  <si>
    <t>Beef on weck(1009)</t>
  </si>
  <si>
    <t>Beef on weck</t>
  </si>
  <si>
    <t>Roast beef on a Kummelweck roll</t>
  </si>
  <si>
    <t>Bauru(1008)</t>
  </si>
  <si>
    <t>Bauru</t>
  </si>
  <si>
    <t>Brazil</t>
  </si>
  <si>
    <t>Melted cheese, roast beef, tomato, and pickled cucumber in a hollowed-out French roll</t>
  </si>
  <si>
    <t>Barros Luco(1007)</t>
  </si>
  <si>
    <t>Barros Luco</t>
  </si>
  <si>
    <t>Beef (usually thin-cut steak) and cheese</t>
  </si>
  <si>
    <t>Barros Jarpa(1006)</t>
  </si>
  <si>
    <t>Barros Jarpa</t>
  </si>
  <si>
    <t>Ham and cheese, usually mantecoso, which is similar to farmer cheese</t>
  </si>
  <si>
    <t>Barbecue(1005)</t>
  </si>
  <si>
    <t>Barbecue</t>
  </si>
  <si>
    <t>Served on a bun, with chopped, sliced, or shredded meat (pulled pork, beef, or chicken typically), and sometimes topped with coleslaw</t>
  </si>
  <si>
    <t>Bánh mì(1004)</t>
  </si>
  <si>
    <t>Bánh mì</t>
  </si>
  <si>
    <t>Vietnam</t>
  </si>
  <si>
    <t>Filling is typically meat, but can contain a wide range of foods, including sardines, tofu, pâté, or eggs. Served on an airy baguette with pickled carrots, cilantro and peppers.</t>
  </si>
  <si>
    <t>Baked bean(1003)</t>
  </si>
  <si>
    <t>Baked bean</t>
  </si>
  <si>
    <t>Canned baked beans on white or brown bread, sometimes with butter.</t>
  </si>
  <si>
    <t>Bacon, egg and cheese(1002)</t>
  </si>
  <si>
    <t>Bacon, egg and cheese</t>
  </si>
  <si>
    <t>A breakfast sandwich, usually with fried or scrambled egg</t>
  </si>
  <si>
    <t>Bacon(1001)</t>
  </si>
  <si>
    <t>Bacon</t>
  </si>
  <si>
    <t>Often eaten with ketchup or brown sauce</t>
  </si>
  <si>
    <t>2014-01-01 Colby Clay(419)</t>
  </si>
  <si>
    <t>2014-01-02 Iona Simpson(383)</t>
  </si>
  <si>
    <t>2014-01-04 Prescott Nelson(857)</t>
  </si>
  <si>
    <t>2014-01-04 Colby Clay(693)</t>
  </si>
  <si>
    <t>2014-01-04 Stuart Vega(208)</t>
  </si>
  <si>
    <t>2014-01-04 Colby Clay(505)</t>
  </si>
  <si>
    <t>2014-01-04 Wade Coleman(107)</t>
  </si>
  <si>
    <t>2014-01-04 Zeus Trujillo(548)</t>
  </si>
  <si>
    <t>2014-01-04 Prescott Nelson(747)</t>
  </si>
  <si>
    <t>2014-01-05 Kendall Rocha(300)</t>
  </si>
  <si>
    <t>2014-01-05 Donovan Gomez(1003)</t>
  </si>
  <si>
    <t>2014-01-05 Christine Medina(722)</t>
  </si>
  <si>
    <t>2014-01-07 John Drake(784)</t>
  </si>
  <si>
    <t>2014-01-08 Vivian Mendoza(377)</t>
  </si>
  <si>
    <t>2014-01-08 Nayda Shields(869)</t>
  </si>
  <si>
    <t>2014-01-09 Vivian Mendoza(326)</t>
  </si>
  <si>
    <t>2014-01-10 Adrian Dodson(364)</t>
  </si>
  <si>
    <t>2014-01-11 Madeline Reynolds(622)</t>
  </si>
  <si>
    <t>2014-01-11 Aristotle Avery(495)</t>
  </si>
  <si>
    <t>2014-01-11 Rhonda Curtis(403)</t>
  </si>
  <si>
    <t>2014-01-12 Madeline Reynolds(80)</t>
  </si>
  <si>
    <t>2014-01-12 Cameron Rivera(865)</t>
  </si>
  <si>
    <t>2014-01-13 Nayda Shields(1023)</t>
  </si>
  <si>
    <t>2014-01-13 Christine Medina(883)</t>
  </si>
  <si>
    <t>2014-01-14 Angelica Ortiz(350)</t>
  </si>
  <si>
    <t>2014-01-14 Uta Workman(628)</t>
  </si>
  <si>
    <t>2014-01-14 Uta Workman(268)</t>
  </si>
  <si>
    <t>2014-01-15 Mariko Cameron(677)</t>
  </si>
  <si>
    <t>2014-01-15 Martin Dunlap(226)</t>
  </si>
  <si>
    <t>2014-01-15 Nayda Shields(900)</t>
  </si>
  <si>
    <t>2014-01-16 Nayda Shields(397)</t>
  </si>
  <si>
    <t>2014-01-16 Clio Carter(626)</t>
  </si>
  <si>
    <t>2014-01-16 Christine Medina(1155)</t>
  </si>
  <si>
    <t>2014-01-17 Nayda Shields(683)</t>
  </si>
  <si>
    <t>2014-01-17 Zeus Trujillo(320)</t>
  </si>
  <si>
    <t>2014-01-18 Hermione Maldonado(198)</t>
  </si>
  <si>
    <t>2014-01-18 Adrian Dodson(9)</t>
  </si>
  <si>
    <t>2014-01-19 Abigail Shepard(125)</t>
  </si>
  <si>
    <t>2014-01-19 Indira Suarez(648)</t>
  </si>
  <si>
    <t>2014-01-19 Belle Short(1186)</t>
  </si>
  <si>
    <t>2014-01-19 Belle Short(1127)</t>
  </si>
  <si>
    <t>2014-01-21 Stacey Kirk(259)</t>
  </si>
  <si>
    <t>2014-01-22 Cameron Rivera(730)</t>
  </si>
  <si>
    <t>2014-01-22 Nayda Shields(699)</t>
  </si>
  <si>
    <t>2014-01-22 Ora Mann(1100)</t>
  </si>
  <si>
    <t>2014-01-23 John Drake(962)</t>
  </si>
  <si>
    <t>2014-01-24 Galvin Becker(678)</t>
  </si>
  <si>
    <t>2014-01-24 Madeline Reynolds(856)</t>
  </si>
  <si>
    <t>2014-01-24 Dane Stafford(550)</t>
  </si>
  <si>
    <t>2014-01-24 Zane Parrish(305)</t>
  </si>
  <si>
    <t>2014-01-27 Belle Short(1088)</t>
  </si>
  <si>
    <t>2014-01-27 Cameron Rivera(1004)</t>
  </si>
  <si>
    <t>2014-01-28 Nayda Shields(725)</t>
  </si>
  <si>
    <t>2014-01-28 Tanek Santos(129)</t>
  </si>
  <si>
    <t>2014-01-28 Gabriel Carlson(537)</t>
  </si>
  <si>
    <t>2014-01-28 Lionel Vargas(271)</t>
  </si>
  <si>
    <t>2014-01-29 Lesley Keith(174)</t>
  </si>
  <si>
    <t>2014-01-29 Anne Slater(302)</t>
  </si>
  <si>
    <t>2014-01-30 Nayda Shields(1073)</t>
  </si>
  <si>
    <t>2014-01-30 Belle Short(1149)</t>
  </si>
  <si>
    <t>2014-01-31 Galvin Becker(348)</t>
  </si>
  <si>
    <t>2014-01-31 Hanna Simpson(369)</t>
  </si>
  <si>
    <t>2014-02-01 Ora Mann(1163)</t>
  </si>
  <si>
    <t>2014-02-02 Harrison Klein(545)</t>
  </si>
  <si>
    <t>2014-02-02 Dane Stafford(532)</t>
  </si>
  <si>
    <t>2014-02-03 Blossom Mosley(117)</t>
  </si>
  <si>
    <t>2014-02-04 Madeline Reynolds(1182)</t>
  </si>
  <si>
    <t>2014-02-04 Belle Short(986)</t>
  </si>
  <si>
    <t>2014-02-04 Morgan Hoffman(22)</t>
  </si>
  <si>
    <t>2014-02-05 Donovan Gomez(1160)</t>
  </si>
  <si>
    <t>2014-02-05 Adrian Dodson(570)</t>
  </si>
  <si>
    <t>2014-02-06 Yoshi Bennett(482)</t>
  </si>
  <si>
    <t>2014-02-06 Angelica Ortiz(345)</t>
  </si>
  <si>
    <t>2014-02-06 Hanna Simpson(475)</t>
  </si>
  <si>
    <t>2014-02-07 Prescott Nelson(924)</t>
  </si>
  <si>
    <t>2014-02-10 Prescott Nelson(1164)</t>
  </si>
  <si>
    <t>2014-02-10 Lillian Larsen(670)</t>
  </si>
  <si>
    <t>2014-02-10 Alma Salas(634)</t>
  </si>
  <si>
    <t>2014-02-11 Belle Short(1130)</t>
  </si>
  <si>
    <t>2014-02-12 Bernard Cash(902)</t>
  </si>
  <si>
    <t>2014-02-12 Alexa Herring(4)</t>
  </si>
  <si>
    <t>2014-02-12 Lionel Vargas(161)</t>
  </si>
  <si>
    <t>2014-02-13 Belle Short(762)</t>
  </si>
  <si>
    <t>2014-02-14 Alice Bray(65)</t>
  </si>
  <si>
    <t>2014-02-15 Mariko Cameron(607)</t>
  </si>
  <si>
    <t>2014-02-15 Aristotle Avery(324)</t>
  </si>
  <si>
    <t>2014-02-16 Angelica Ortiz(385)</t>
  </si>
  <si>
    <t>2014-02-17 Colt Hart(138)</t>
  </si>
  <si>
    <t>2014-02-17 Madeline Reynolds(1087)</t>
  </si>
  <si>
    <t>2014-02-19 Tanek Santos(200)</t>
  </si>
  <si>
    <t>2014-02-19 Buffy Jennings(181)</t>
  </si>
  <si>
    <t>2014-02-21 Nayda Shields(849)</t>
  </si>
  <si>
    <t>2014-02-21 Ora Mann(1052)</t>
  </si>
  <si>
    <t>2014-02-22 Uta Workman(292)</t>
  </si>
  <si>
    <t>2014-02-23 Ora Mann(832)</t>
  </si>
  <si>
    <t>2014-02-23 Donovan Gomez(756)</t>
  </si>
  <si>
    <t>2014-02-23 Harrison Klein(230)</t>
  </si>
  <si>
    <t>2014-02-23 Gabriel Carlson(687)</t>
  </si>
  <si>
    <t>2014-02-24 Lionel Vargas(298)</t>
  </si>
  <si>
    <t>2014-02-25 Yvonne Brewer(144)</t>
  </si>
  <si>
    <t>2014-02-26 Donovan Gomez(855)</t>
  </si>
  <si>
    <t>2014-02-28 Christine Medina(1117)</t>
  </si>
  <si>
    <t>2014-02-28 Colby Clay(641)</t>
  </si>
  <si>
    <t>2014-02-28 Cameron Burton(158)</t>
  </si>
  <si>
    <t>2014-02-28 Tanek Santos(666)</t>
  </si>
  <si>
    <t>2014-02-28 Uta Workman(523)</t>
  </si>
  <si>
    <t>2014-02-28 Alma Salas(353)</t>
  </si>
  <si>
    <t>2014-03-01 Donovan Gomez(907)</t>
  </si>
  <si>
    <t>2014-03-04 Irene Carver(66)</t>
  </si>
  <si>
    <t>2014-03-05 Bernard Cash(1195)</t>
  </si>
  <si>
    <t>2014-03-05 Tanek Santos(40)</t>
  </si>
  <si>
    <t>2014-03-09 Cameron Rivera(913)</t>
  </si>
  <si>
    <t>2014-03-09 Nayda Shields(870)</t>
  </si>
  <si>
    <t>2014-03-11 Ora Mann(529)</t>
  </si>
  <si>
    <t>2014-03-11 Christine Medina(970)</t>
  </si>
  <si>
    <t>2014-03-13 Clio Carter(386)</t>
  </si>
  <si>
    <t>2014-03-13 Maile Torres(88)</t>
  </si>
  <si>
    <t>2014-03-14 Donovan Gomez(927)</t>
  </si>
  <si>
    <t>2014-03-15 Adrian Dodson(77)</t>
  </si>
  <si>
    <t>2014-03-15 Madeline Reynolds(957)</t>
  </si>
  <si>
    <t>2014-03-16 Lois Valdez(540)</t>
  </si>
  <si>
    <t>2014-03-16 Alexa Herring(141)</t>
  </si>
  <si>
    <t>2014-03-18 Bernard Cash(782)</t>
  </si>
  <si>
    <t>2014-03-18 Prescott Nelson(783)</t>
  </si>
  <si>
    <t>2014-03-18 Cameron Rivera(709)</t>
  </si>
  <si>
    <t>2014-03-18 Ulysses Hudson(27)</t>
  </si>
  <si>
    <t>2014-03-19 Indira Suarez(221)</t>
  </si>
  <si>
    <t>2014-03-19 Wade Coleman(664)</t>
  </si>
  <si>
    <t>2014-03-20 Bernard Cash(1162)</t>
  </si>
  <si>
    <t>2014-03-20 Ivy Livingston(414)</t>
  </si>
  <si>
    <t>2014-03-21 Stuart Vega(451)</t>
  </si>
  <si>
    <t>2014-03-21 Abigail Shepard(199)</t>
  </si>
  <si>
    <t>2014-03-23 Alma Salas(201)</t>
  </si>
  <si>
    <t>2014-03-23 Anne Slater(306)</t>
  </si>
  <si>
    <t>2014-03-23 Christine Medina(833)</t>
  </si>
  <si>
    <t>2014-03-24 Belle Short(749)</t>
  </si>
  <si>
    <t>2014-03-24 Mariko Cameron(420)</t>
  </si>
  <si>
    <t>2014-03-24 Colby Clay(412)</t>
  </si>
  <si>
    <t>2014-03-24 Cameron Rivera(987)</t>
  </si>
  <si>
    <t>2014-03-25 Bernard Cash(1006)</t>
  </si>
  <si>
    <t>2014-03-26 Claudia Crane(365)</t>
  </si>
  <si>
    <t>2014-03-26 Stuart Vega(413)</t>
  </si>
  <si>
    <t>2014-03-26 Madeline Reynolds(815)</t>
  </si>
  <si>
    <t>2014-03-27 Alma Salas(595)</t>
  </si>
  <si>
    <t>2014-03-28 Hanna Simpson(476)</t>
  </si>
  <si>
    <t>2014-03-28 Wade Coleman(269)</t>
  </si>
  <si>
    <t>2014-03-31 Nayda Shields(1064)</t>
  </si>
  <si>
    <t>2014-04-01 Mary Moore(36)</t>
  </si>
  <si>
    <t>2014-04-01 Dane Stafford(284)</t>
  </si>
  <si>
    <t>2014-04-01 Nayda Shields(917)</t>
  </si>
  <si>
    <t>2014-04-01 Donovan Gomez(1045)</t>
  </si>
  <si>
    <t>2014-04-01 Alma Salas(213)</t>
  </si>
  <si>
    <t>2014-04-02 Cameron Rivera(866)</t>
  </si>
  <si>
    <t>2014-04-02 Prescott Nelson(894)</t>
  </si>
  <si>
    <t>2014-04-03 Christine Medina(1169)</t>
  </si>
  <si>
    <t>2014-04-03 Vivian Mendoza(609)</t>
  </si>
  <si>
    <t>2014-04-04 Gabriel Carlson(663)</t>
  </si>
  <si>
    <t>2014-04-04 Ora Mann(13)</t>
  </si>
  <si>
    <t>2014-04-05 Christine Medina(1194)</t>
  </si>
  <si>
    <t>2014-04-06 Zeus Trujillo(308)</t>
  </si>
  <si>
    <t>2014-04-06 Angelica Ortiz(623)</t>
  </si>
  <si>
    <t>2014-04-06 Christine Medina(711)</t>
  </si>
  <si>
    <t>2014-04-07 Dane Stafford(25)</t>
  </si>
  <si>
    <t>2014-04-08 Iona Simpson(278)</t>
  </si>
  <si>
    <t>2014-04-08 Clio Carter(294)</t>
  </si>
  <si>
    <t>2014-04-11 Mariko Cameron(502)</t>
  </si>
  <si>
    <t>2014-04-12 Blossom Mosley(616)</t>
  </si>
  <si>
    <t>2014-04-12 Kendall Rocha(608)</t>
  </si>
  <si>
    <t>2014-04-12 Tate Lowery(356)</t>
  </si>
  <si>
    <t>2014-04-13 Iona Simpson(255)</t>
  </si>
  <si>
    <t>2014-04-14 Irene Carver(30)</t>
  </si>
  <si>
    <t>2014-04-14 Bernard Cash(821)</t>
  </si>
  <si>
    <t>2014-04-15 Claudia Crane(20)</t>
  </si>
  <si>
    <t>2014-04-15 Adrienne Sandoval(170)</t>
  </si>
  <si>
    <t>2014-04-16 Ora Mann(946)</t>
  </si>
  <si>
    <t>2014-04-16 Donovan Gomez(811)</t>
  </si>
  <si>
    <t>2014-04-17 John Drake(897)</t>
  </si>
  <si>
    <t>2014-04-17 Ora Mann(779)</t>
  </si>
  <si>
    <t>2014-04-17 Iona Simpson(101)</t>
  </si>
  <si>
    <t>2014-04-18 Cadman Huffman(95)</t>
  </si>
  <si>
    <t>2014-04-18 Stuart Vega(183)</t>
  </si>
  <si>
    <t>2014-04-18 Ulysses Hudson(538)</t>
  </si>
  <si>
    <t>2014-04-19 Tanek Santos(669)</t>
  </si>
  <si>
    <t>2014-04-21 Prescott Nelson(1082)</t>
  </si>
  <si>
    <t>2014-04-22 Donovan Gomez(875)</t>
  </si>
  <si>
    <t>2014-04-23 Mariko Cameron(332)</t>
  </si>
  <si>
    <t>2014-04-23 Ivy Livingston(396)</t>
  </si>
  <si>
    <t>2014-04-24 Donovan Gomez(1116)</t>
  </si>
  <si>
    <t>2014-04-26 Prescott Nelson(911)</t>
  </si>
  <si>
    <t>2014-04-26 Ivy Livingston(673)</t>
  </si>
  <si>
    <t>2014-04-26 Adrian Dodson(76)</t>
  </si>
  <si>
    <t>2014-04-26 Ivy Livingston(487)</t>
  </si>
  <si>
    <t>2014-04-27 John Drake(1144)</t>
  </si>
  <si>
    <t>2014-04-27 Belle Short(1150)</t>
  </si>
  <si>
    <t>2014-04-29 Ora Mann(1151)</t>
  </si>
  <si>
    <t>2014-04-29 Christine Medina(814)</t>
  </si>
  <si>
    <t>2014-05-01 Lois Valdez(643)</t>
  </si>
  <si>
    <t>2014-05-02 Cameron Rivera(1093)</t>
  </si>
  <si>
    <t>2014-05-02 Tate Lowery(257)</t>
  </si>
  <si>
    <t>2014-05-02 Lionel Vargas(490)</t>
  </si>
  <si>
    <t>2014-05-03 Belle Short(1119)</t>
  </si>
  <si>
    <t>2014-05-04 Vivian Mendoza(521)</t>
  </si>
  <si>
    <t>2014-05-04 Tate Lowery(166)</t>
  </si>
  <si>
    <t>2014-05-05 Kendall Rocha(519)</t>
  </si>
  <si>
    <t>2014-05-06 Claudia Crane(682)</t>
  </si>
  <si>
    <t>2014-05-06 Belle Short(827)</t>
  </si>
  <si>
    <t>2014-05-07 Madeline Reynolds(830)</t>
  </si>
  <si>
    <t>2014-05-09 Ulysses Hudson(672)</t>
  </si>
  <si>
    <t>2014-05-09 Serina Booker(164)</t>
  </si>
  <si>
    <t>2014-05-10 Dane Stafford(445)</t>
  </si>
  <si>
    <t>2014-05-11 Bernard Cash(1101)</t>
  </si>
  <si>
    <t>2014-05-11 Belle Short(744)</t>
  </si>
  <si>
    <t>2014-05-12 Dane Stafford(429)</t>
  </si>
  <si>
    <t>2014-05-13 Armando Le(140)</t>
  </si>
  <si>
    <t>2014-05-14 Yoshi Bennett(654)</t>
  </si>
  <si>
    <t>2014-05-14 Colby Clay(600)</t>
  </si>
  <si>
    <t>2014-05-14 John Drake(785)</t>
  </si>
  <si>
    <t>2014-05-15 Lois Valdez(497)</t>
  </si>
  <si>
    <t>2014-05-15 Madeline Reynolds(872)</t>
  </si>
  <si>
    <t>2014-05-15 Bernard Cash(733)</t>
  </si>
  <si>
    <t>2014-05-17 Galvin Becker(657)</t>
  </si>
  <si>
    <t>2014-05-19 Indira Suarez(245)</t>
  </si>
  <si>
    <t>2014-05-20 Stacey Kirk(400)</t>
  </si>
  <si>
    <t>2014-05-20 Uta Workman(321)</t>
  </si>
  <si>
    <t>2014-05-20 Alexa Herring(197)</t>
  </si>
  <si>
    <t>2014-05-21 Alexa Herring(124)</t>
  </si>
  <si>
    <t>2014-05-22 Alma Salas(217)</t>
  </si>
  <si>
    <t>2014-05-23 Nayda Shields(787)</t>
  </si>
  <si>
    <t>2014-05-23 Madeline Reynolds(1189)</t>
  </si>
  <si>
    <t>2014-05-23 Lionel Vargas(527)</t>
  </si>
  <si>
    <t>2014-05-23 Kendall Rocha(585)</t>
  </si>
  <si>
    <t>2014-05-24 Madeline Reynolds(1056)</t>
  </si>
  <si>
    <t>2014-05-24 Cameron Rivera(934)</t>
  </si>
  <si>
    <t>2014-05-24 Christine Medina(984)</t>
  </si>
  <si>
    <t>2014-05-25 Ora Mann(498)</t>
  </si>
  <si>
    <t>2014-05-25 Donovan Gomez(1051)</t>
  </si>
  <si>
    <t>2014-05-26 Christine Medina(999)</t>
  </si>
  <si>
    <t>2014-05-26 Zane Parrish(499)</t>
  </si>
  <si>
    <t>2014-05-26 Colt Hart(127)</t>
  </si>
  <si>
    <t>2014-05-27 Galvin Becker(624)</t>
  </si>
  <si>
    <t>2014-05-28 Cameron Rivera(816)</t>
  </si>
  <si>
    <t>2014-05-28 Madeline Reynolds(1172)</t>
  </si>
  <si>
    <t>2014-05-28 Stacey Kirk(620)</t>
  </si>
  <si>
    <t>2014-05-30 Angelica Ortiz(484)</t>
  </si>
  <si>
    <t>2014-05-30 Nayda Shields(751)</t>
  </si>
  <si>
    <t>2014-05-31 Nayda Shields(839)</t>
  </si>
  <si>
    <t>2014-06-01 John Drake(1036)</t>
  </si>
  <si>
    <t>2014-06-01 Martin Dunlap(565)</t>
  </si>
  <si>
    <t>2014-06-02 Adrian Dodson(404)</t>
  </si>
  <si>
    <t>2014-06-03 Donovan Gomez(1054)</t>
  </si>
  <si>
    <t>2014-06-03 Theodore Mills(318)</t>
  </si>
  <si>
    <t>2014-06-03 Harrison Klein(450)</t>
  </si>
  <si>
    <t>2014-06-04 Indira Suarez(194)</t>
  </si>
  <si>
    <t>2014-06-06 Yoshi Bennett(354)</t>
  </si>
  <si>
    <t>2014-06-07 Zane Parrish(239)</t>
  </si>
  <si>
    <t>2014-06-08 Belle Short(1138)</t>
  </si>
  <si>
    <t>2014-06-08 Zeus Trujillo(60)</t>
  </si>
  <si>
    <t>2014-06-09 Madeson Silva(291)</t>
  </si>
  <si>
    <t>2014-06-09 Stuart Vega(589)</t>
  </si>
  <si>
    <t>2014-06-09 John Drake(1125)</t>
  </si>
  <si>
    <t>2014-06-10 Prescott Nelson(971)</t>
  </si>
  <si>
    <t>2014-06-10 Blossom Mosley(211)</t>
  </si>
  <si>
    <t>2014-06-10 Christine Medina(1013)</t>
  </si>
  <si>
    <t>2014-06-11 Madeson Silva(169)</t>
  </si>
  <si>
    <t>2014-06-12 Ulysses Hudson(119)</t>
  </si>
  <si>
    <t>2014-06-12 Donovan Gomez(1110)</t>
  </si>
  <si>
    <t>2014-06-14 John Drake(1029)</t>
  </si>
  <si>
    <t>2014-06-15 John Drake(770)</t>
  </si>
  <si>
    <t>2014-06-15 Prescott Nelson(5)</t>
  </si>
  <si>
    <t>2014-06-15 Bernard Cash(1076)</t>
  </si>
  <si>
    <t>2014-06-16 Armando Le(343)</t>
  </si>
  <si>
    <t>2014-06-16 Donovan Gomez(1057)</t>
  </si>
  <si>
    <t>2014-06-18 Serina Booker(207)</t>
  </si>
  <si>
    <t>2014-06-18 Claudia Crane(346)</t>
  </si>
  <si>
    <t>2014-06-19 Donovan Gomez(944)</t>
  </si>
  <si>
    <t>2014-06-19 Cameron Rivera(818)</t>
  </si>
  <si>
    <t>2014-06-20 Serina Booker(260)</t>
  </si>
  <si>
    <t>2014-06-20 Prescott Nelson(1199)</t>
  </si>
  <si>
    <t>2014-06-22 John Drake(1049)</t>
  </si>
  <si>
    <t>2014-06-22 Tanek Santos(576)</t>
  </si>
  <si>
    <t>2014-06-22 Dane Stafford(338)</t>
  </si>
  <si>
    <t>2014-06-22 Iona Simpson(344)</t>
  </si>
  <si>
    <t>2014-06-23 Madeline Reynolds(841)</t>
  </si>
  <si>
    <t>2014-06-23 John Drake(1167)</t>
  </si>
  <si>
    <t>2014-06-24 Dane Stafford(546)</t>
  </si>
  <si>
    <t>2014-06-25 Gabriel Carlson(379)</t>
  </si>
  <si>
    <t>2014-06-25 Nayda Shields(912)</t>
  </si>
  <si>
    <t>2014-06-25 Martin Dunlap(625)</t>
  </si>
  <si>
    <t>2014-06-25 Madeline Reynolds(564)</t>
  </si>
  <si>
    <t>2014-06-25 Christine Medina(1158)</t>
  </si>
  <si>
    <t>2014-06-27 Madeline Reynolds(853)</t>
  </si>
  <si>
    <t>2014-06-28 Armando Le(64)</t>
  </si>
  <si>
    <t>2014-06-28 Anne Slater(374)</t>
  </si>
  <si>
    <t>2014-06-29 Lois Valdez(594)</t>
  </si>
  <si>
    <t>2014-06-29 Rhonda Curtis(352)</t>
  </si>
  <si>
    <t>2014-06-29 Alma Salas(518)</t>
  </si>
  <si>
    <t>2014-06-30 Lionel Vargas(553)</t>
  </si>
  <si>
    <t>2014-06-30 Lois Valdez(438)</t>
  </si>
  <si>
    <t>2014-06-30 Harrison Klein(238)</t>
  </si>
  <si>
    <t>2014-06-30 Ora Mann(748)</t>
  </si>
  <si>
    <t>2014-06-30 Nayda Shields(1103)</t>
  </si>
  <si>
    <t>2014-07-01 Benedict Todd(478)</t>
  </si>
  <si>
    <t>2014-07-02 John Drake(788)</t>
  </si>
  <si>
    <t>2014-07-02 Prescott Nelson(729)</t>
  </si>
  <si>
    <t>2014-07-03 Madeline Reynolds(928)</t>
  </si>
  <si>
    <t>2014-07-03 Claudia Crane(690)</t>
  </si>
  <si>
    <t>2014-07-03 Nayda Shields(943)</t>
  </si>
  <si>
    <t>2014-07-03 Nayda Shields(1092)</t>
  </si>
  <si>
    <t>2014-07-05 Blossom Mosley(283)</t>
  </si>
  <si>
    <t>2014-07-08 Ivy Livingston(646)</t>
  </si>
  <si>
    <t>2014-07-08 Madeline Reynolds(887)</t>
  </si>
  <si>
    <t>2014-07-08 Yoshi Bennett(152)</t>
  </si>
  <si>
    <t>2014-07-08 Irene Carver(49)</t>
  </si>
  <si>
    <t>2014-07-09 Ora Mann(530)</t>
  </si>
  <si>
    <t>2014-07-09 Wade Coleman(137)</t>
  </si>
  <si>
    <t>2014-07-10 Galvin Becker(373)</t>
  </si>
  <si>
    <t>2014-07-10 Christine Medina(989)</t>
  </si>
  <si>
    <t>2014-07-11 April Buckley(584)</t>
  </si>
  <si>
    <t>2014-07-11 Cameron Rivera(1042)</t>
  </si>
  <si>
    <t>2014-07-12 Prescott Nelson(706)</t>
  </si>
  <si>
    <t>2014-07-12 Ulysses Hudson(573)</t>
  </si>
  <si>
    <t>2014-07-12 Iona Simpson(399)</t>
  </si>
  <si>
    <t>2014-07-13 Yoshi Bennett(567)</t>
  </si>
  <si>
    <t>2014-07-14 Zane Parrish(511)</t>
  </si>
  <si>
    <t>2014-07-14 Madeline Reynolds(1047)</t>
  </si>
  <si>
    <t>2014-07-14 Gabriel Carlson(674)</t>
  </si>
  <si>
    <t>2014-07-14 Dale Fry(272)</t>
  </si>
  <si>
    <t>2014-07-14 Madeline Reynolds(786)</t>
  </si>
  <si>
    <t>2014-07-14 Prescott Nelson(33)</t>
  </si>
  <si>
    <t>2014-07-15 Indira Suarez(449)</t>
  </si>
  <si>
    <t>2014-07-16 Harrison Klein(362)</t>
  </si>
  <si>
    <t>2014-07-16 Ulysses Hudson(395)</t>
  </si>
  <si>
    <t>2014-07-16 Bernard Cash(1106)</t>
  </si>
  <si>
    <t>2014-07-18 Nayda Shields(1183)</t>
  </si>
  <si>
    <t>2014-07-18 Hanna Simpson(680)</t>
  </si>
  <si>
    <t>2014-07-18 Prescott Nelson(1141)</t>
  </si>
  <si>
    <t>2014-07-18 Cameron Rivera(1007)</t>
  </si>
  <si>
    <t>2014-07-19 Prescott Nelson(1026)</t>
  </si>
  <si>
    <t>2014-07-20 Blossom Mosley(681)</t>
  </si>
  <si>
    <t>2014-07-20 Hayley Foster(237)</t>
  </si>
  <si>
    <t>2014-07-20 Yoshi Bennett(453)</t>
  </si>
  <si>
    <t>2014-07-20 Adrian Dodson(492)</t>
  </si>
  <si>
    <t>2014-07-20 Galvin Becker(256)</t>
  </si>
  <si>
    <t>2014-07-22 Ora Mann(969)</t>
  </si>
  <si>
    <t>2014-07-22 Gabriel Carlson(94)</t>
  </si>
  <si>
    <t>2014-07-24 Donovan Gomez(890)</t>
  </si>
  <si>
    <t>2014-07-25 Christine Medina(813)</t>
  </si>
  <si>
    <t>2014-07-26 Belle Short(1197)</t>
  </si>
  <si>
    <t>2014-07-26 Belle Short(993)</t>
  </si>
  <si>
    <t>2014-07-27 Yoshi Bennett(301)</t>
  </si>
  <si>
    <t>2014-07-27 Anne Slater(188)</t>
  </si>
  <si>
    <t>2014-07-27 Angelica Ortiz(539)</t>
  </si>
  <si>
    <t>2014-07-28 Ora Mann(758)</t>
  </si>
  <si>
    <t>2014-07-28 Belle Short(926)</t>
  </si>
  <si>
    <t>2014-07-28 Ora Mann(1011)</t>
  </si>
  <si>
    <t>2014-07-28 Colt Hart(182)</t>
  </si>
  <si>
    <t>2014-07-29 Prescott Nelson(1175)</t>
  </si>
  <si>
    <t>2014-07-30 Belle Short(1060)</t>
  </si>
  <si>
    <t>2014-07-31 Cameron Rivera(1137)</t>
  </si>
  <si>
    <t>2014-07-31 Sloane Goodwin(185)</t>
  </si>
  <si>
    <t>2014-08-01 Blossom Mosley(165)</t>
  </si>
  <si>
    <t>2014-08-04 Madeline Reynolds(1015)</t>
  </si>
  <si>
    <t>2014-08-04 Lois Valdez(218)</t>
  </si>
  <si>
    <t>2014-08-04 Indira Suarez(307)</t>
  </si>
  <si>
    <t>2014-08-05 Anne Slater(389)</t>
  </si>
  <si>
    <t>2014-08-07 Adrian Dodson(282)</t>
  </si>
  <si>
    <t>2014-08-08 April Buckley(331)</t>
  </si>
  <si>
    <t>2014-08-08 Aristotle Avery(552)</t>
  </si>
  <si>
    <t>2014-08-08 Donovan Gomez(721)</t>
  </si>
  <si>
    <t>2014-08-10 Adrian Dodson(212)</t>
  </si>
  <si>
    <t>2014-08-10 Alma Salas(542)</t>
  </si>
  <si>
    <t>2014-08-10 Tate Lowery(407)</t>
  </si>
  <si>
    <t>2014-08-10 Bernard Cash(847)</t>
  </si>
  <si>
    <t>2014-08-12 Madeline Reynolds(896)</t>
  </si>
  <si>
    <t>2014-08-12 Clio Carter(205)</t>
  </si>
  <si>
    <t>2014-08-13 Rhonda Curtis(580)</t>
  </si>
  <si>
    <t>2014-08-14 Ora Mann(1063)</t>
  </si>
  <si>
    <t>2014-08-14 Belle Short(810)</t>
  </si>
  <si>
    <t>2014-08-14 Belle Short(997)</t>
  </si>
  <si>
    <t>2014-08-14 Theodore Mills(381)</t>
  </si>
  <si>
    <t>2014-08-14 Hanna Simpson(351)</t>
  </si>
  <si>
    <t>2014-08-15 Nayda Shields(1070)</t>
  </si>
  <si>
    <t>2014-08-16 Alexa Herring(59)</t>
  </si>
  <si>
    <t>2014-08-16 Oprah Horton(154)</t>
  </si>
  <si>
    <t>2014-08-17 Ora Mann(905)</t>
  </si>
  <si>
    <t>2014-08-17 John Drake(819)</t>
  </si>
  <si>
    <t>2014-08-18 April Buckley(209)</t>
  </si>
  <si>
    <t>2014-08-18 Nayda Shields(918)</t>
  </si>
  <si>
    <t>2014-08-18 Ora Mann(735)</t>
  </si>
  <si>
    <t>2014-08-18 Nayda Shields(252)</t>
  </si>
  <si>
    <t>2014-08-18 Cameron Rivera(798)</t>
  </si>
  <si>
    <t>2014-08-19 Cameron Rivera(712)</t>
  </si>
  <si>
    <t>2014-08-19 Hanna Simpson(507)</t>
  </si>
  <si>
    <t>2014-08-19 Rhonda Curtis(275)</t>
  </si>
  <si>
    <t>2014-08-20 Ora Mann(58)</t>
  </si>
  <si>
    <t>2014-08-20 Bernard Cash(1109)</t>
  </si>
  <si>
    <t>2014-08-20 Vivian Mendoza(241)</t>
  </si>
  <si>
    <t>2014-08-22 Madeline Reynolds(877)</t>
  </si>
  <si>
    <t>2014-08-22 Ora Mann(1105)</t>
  </si>
  <si>
    <t>2014-08-23 Scarlett Odonnell(167)</t>
  </si>
  <si>
    <t>2014-08-23 Cameron Rivera(720)</t>
  </si>
  <si>
    <t>2014-08-24 Rhonda Curtis(50)</t>
  </si>
  <si>
    <t>2014-08-24 Vivian Mendoza(171)</t>
  </si>
  <si>
    <t>2014-08-24 Blossom Mosley(14)</t>
  </si>
  <si>
    <t>2014-08-25 Serina Booker(514)</t>
  </si>
  <si>
    <t>2014-08-25 Stacey Kirk(425)</t>
  </si>
  <si>
    <t>2014-08-26 Christine Medina(713)</t>
  </si>
  <si>
    <t>2014-08-26 Belle Short(895)</t>
  </si>
  <si>
    <t>2014-08-26 Ivy Livingston(493)</t>
  </si>
  <si>
    <t>2014-08-27 Serina Booker(466)</t>
  </si>
  <si>
    <t>2014-08-27 Jonah Griffin(560)</t>
  </si>
  <si>
    <t>2014-08-28 Nayda Shields(860)</t>
  </si>
  <si>
    <t>2014-08-28 Christine Medina(1157)</t>
  </si>
  <si>
    <t>2014-08-29 Bernard Cash(761)</t>
  </si>
  <si>
    <t>2014-08-29 Zane Parrish(223)</t>
  </si>
  <si>
    <t>2014-08-30 Prescott Nelson(908)</t>
  </si>
  <si>
    <t>2014-08-30 Ora Mann(799)</t>
  </si>
  <si>
    <t>2014-08-30 Nayda Shields(1028)</t>
  </si>
  <si>
    <t>2014-08-31 Christine Medina(1112)</t>
  </si>
  <si>
    <t>2014-08-31 Bernard Cash(885)</t>
  </si>
  <si>
    <t>2014-08-31 Mariam Juarez(47)</t>
  </si>
  <si>
    <t>2014-08-31 Iona Simpson(313)</t>
  </si>
  <si>
    <t>2014-08-31 Lois Valdez(508)</t>
  </si>
  <si>
    <t>2014-09-01 Mohammad Carrillo(44)</t>
  </si>
  <si>
    <t>2014-09-01 Claudia Crane(615)</t>
  </si>
  <si>
    <t>2014-09-01 Belle Short(829)</t>
  </si>
  <si>
    <t>2014-09-02 Stuart Vega(160)</t>
  </si>
  <si>
    <t>2014-09-02 Ora Mann(876)</t>
  </si>
  <si>
    <t>2014-09-03 Adrienne Sandoval(92)</t>
  </si>
  <si>
    <t>2014-09-04 Nayda Shields(234)</t>
  </si>
  <si>
    <t>2014-09-04 Morgan Hoffman(659)</t>
  </si>
  <si>
    <t>2014-09-04 Madeline Reynolds(930)</t>
  </si>
  <si>
    <t>2014-09-04 Ora Mann(312)</t>
  </si>
  <si>
    <t>2014-09-05 Zorita Rutledge(54)</t>
  </si>
  <si>
    <t>2014-09-06 Zane Parrish(637)</t>
  </si>
  <si>
    <t>2014-09-06 Adrian Dodson(229)</t>
  </si>
  <si>
    <t>2014-09-07 Donna Molina(105)</t>
  </si>
  <si>
    <t>2014-09-07 Stacey Kirk(684)</t>
  </si>
  <si>
    <t>2014-09-08 Ferris Erickson(327)</t>
  </si>
  <si>
    <t>2014-09-08 Benedict Todd(337)</t>
  </si>
  <si>
    <t>2014-09-09 Stacey Kirk(428)</t>
  </si>
  <si>
    <t>2014-09-09 Nayda Shields(938)</t>
  </si>
  <si>
    <t>2014-09-10 Cameron Rivera(966)</t>
  </si>
  <si>
    <t>2014-09-11 Benedict Todd(52)</t>
  </si>
  <si>
    <t>2014-09-12 Ulysses Hudson(459)</t>
  </si>
  <si>
    <t>2014-09-12 Prescott Nelson(1190)</t>
  </si>
  <si>
    <t>2014-09-13 Aristotle Avery(633)</t>
  </si>
  <si>
    <t>2014-09-14 Mannix Owen(24)</t>
  </si>
  <si>
    <t>2014-09-14 Jonah Griffin(243)</t>
  </si>
  <si>
    <t>2014-09-14 Ivy Livingston(638)</t>
  </si>
  <si>
    <t>2014-09-16 Lucius Gallagher(46)</t>
  </si>
  <si>
    <t>2014-09-17 Yoshi Bennett(415)</t>
  </si>
  <si>
    <t>2014-09-17 Angelica Ortiz(297)</t>
  </si>
  <si>
    <t>2014-09-18 Stuart Vega(392)</t>
  </si>
  <si>
    <t>2014-09-18 Irene Carver(98)</t>
  </si>
  <si>
    <t>2014-09-18 Zeus Trujillo(402)</t>
  </si>
  <si>
    <t>2014-09-21 Angelica Ortiz(69)</t>
  </si>
  <si>
    <t>2014-09-21 Claudia Crane(359)</t>
  </si>
  <si>
    <t>2014-09-22 John Drake(990)</t>
  </si>
  <si>
    <t>2014-09-23 Ferris Erickson(463)</t>
  </si>
  <si>
    <t>2014-09-23 Shelly Bridges(118)</t>
  </si>
  <si>
    <t>2014-09-23 Donovan Gomez(702)</t>
  </si>
  <si>
    <t>2014-09-24 Madeline Reynolds(903)</t>
  </si>
  <si>
    <t>2014-09-25 Cameron Rivera(726)</t>
  </si>
  <si>
    <t>2014-09-25 Bernard Cash(948)</t>
  </si>
  <si>
    <t>2014-09-26 Doris Valdez(149)</t>
  </si>
  <si>
    <t>2014-09-27 Wade Coleman(378)</t>
  </si>
  <si>
    <t>2014-09-27 Cameron Rivera(955)</t>
  </si>
  <si>
    <t>2014-09-27 Lionel Vargas(323)</t>
  </si>
  <si>
    <t>2014-09-28 Harrison Klein(394)</t>
  </si>
  <si>
    <t>2014-09-28 Blossom Mosley(510)</t>
  </si>
  <si>
    <t>2014-09-28 Donovan Gomez(939)</t>
  </si>
  <si>
    <t>2014-09-28 Donovan Gomez(774)</t>
  </si>
  <si>
    <t>2014-09-28 April Buckley(254)</t>
  </si>
  <si>
    <t>2014-09-30 Lionel Vargas(483)</t>
  </si>
  <si>
    <t>2014-09-30 Zeus Trujillo(206)</t>
  </si>
  <si>
    <t>2014-10-02 Adrian Dodson(405)</t>
  </si>
  <si>
    <t>2014-10-02 Iona Simpson(81)</t>
  </si>
  <si>
    <t>2014-10-03 Christine Medina(1008)</t>
  </si>
  <si>
    <t>2014-10-05 Cameron Rivera(759)</t>
  </si>
  <si>
    <t>2014-10-06 Bernard Cash(958)</t>
  </si>
  <si>
    <t>2014-10-06 Ora Mann(1143)</t>
  </si>
  <si>
    <t>2014-10-06 Alma Salas(314)</t>
  </si>
  <si>
    <t>2014-10-06 Lois Valdez(215)</t>
  </si>
  <si>
    <t>2014-10-06 Ulysses Hudson(592)</t>
  </si>
  <si>
    <t>2014-10-08 John Drake(1068)</t>
  </si>
  <si>
    <t>2014-10-09 Claudia Crane(195)</t>
  </si>
  <si>
    <t>2014-10-10 Prescott Nelson(873)</t>
  </si>
  <si>
    <t>2014-10-10 Christine Medina(1025)</t>
  </si>
  <si>
    <t>2014-10-10 Nayda Shields(660)</t>
  </si>
  <si>
    <t>2014-10-11 John Drake(1124)</t>
  </si>
  <si>
    <t>2014-10-11 Lucius Gallagher(32)</t>
  </si>
  <si>
    <t>2014-10-12 Nayda Shields(867)</t>
  </si>
  <si>
    <t>2014-10-13 Donovan Gomez(1188)</t>
  </si>
  <si>
    <t>2014-10-13 Christine Medina(112)</t>
  </si>
  <si>
    <t>2014-10-14 Madeline Reynolds(1050)</t>
  </si>
  <si>
    <t>2014-10-14 Anne Slater(500)</t>
  </si>
  <si>
    <t>2014-10-15 Christine Medina(919)</t>
  </si>
  <si>
    <t>2014-10-15 Belle Short(1033)</t>
  </si>
  <si>
    <t>2014-10-15 Ulysses Hudson(700)</t>
  </si>
  <si>
    <t>2014-10-17 John Drake(763)</t>
  </si>
  <si>
    <t>2014-10-17 Vivian Mendoza(177)</t>
  </si>
  <si>
    <t>2014-10-18 Prescott Nelson(991)</t>
  </si>
  <si>
    <t>2014-10-19 Tate Lowery(336)</t>
  </si>
  <si>
    <t>2014-10-19 Cameron Rivera(710)</t>
  </si>
  <si>
    <t>2014-10-19 Hanna Simpson(279)</t>
  </si>
  <si>
    <t>2014-10-20 Theodore Mills(376)</t>
  </si>
  <si>
    <t>2014-10-20 Christine Medina(1079)</t>
  </si>
  <si>
    <t>2014-10-20 Christine Medina(1095)</t>
  </si>
  <si>
    <t>2014-10-20 Uta Workman(172)</t>
  </si>
  <si>
    <t>2014-10-21 Donovan Gomez(757)</t>
  </si>
  <si>
    <t>2014-10-22 Adrian Dodson(388)</t>
  </si>
  <si>
    <t>2014-10-22 Mariam Juarez(159)</t>
  </si>
  <si>
    <t>2014-10-23 Ora Mann(656)</t>
  </si>
  <si>
    <t>2014-10-24 Madeson Silva(417)</t>
  </si>
  <si>
    <t>2014-10-24 Belle Short(1166)</t>
  </si>
  <si>
    <t>2014-10-24 Clio Carter(629)</t>
  </si>
  <si>
    <t>2014-10-26 Prescott Nelson(862)</t>
  </si>
  <si>
    <t>2014-10-26 Prescott Nelson(906)</t>
  </si>
  <si>
    <t>2014-10-27 Ora Mann(972)</t>
  </si>
  <si>
    <t>2014-10-27 Lois Valdez(265)</t>
  </si>
  <si>
    <t>2014-10-28 Colby Clay(281)</t>
  </si>
  <si>
    <t>2014-10-28 Madeline Reynolds(1136)</t>
  </si>
  <si>
    <t>2014-10-29 Prescott Nelson(130)</t>
  </si>
  <si>
    <t>2014-10-30 Ora Mann(216)</t>
  </si>
  <si>
    <t>2014-10-30 Ora Mann(1111)</t>
  </si>
  <si>
    <t>2014-10-31 Wade Coleman(489)</t>
  </si>
  <si>
    <t>2014-11-02 Armando Le(250)</t>
  </si>
  <si>
    <t>2014-11-03 Ivy Livingston(454)</t>
  </si>
  <si>
    <t>2014-11-03 Theodore Mills(266)</t>
  </si>
  <si>
    <t>2014-11-03 Gabriel Carlson(228)</t>
  </si>
  <si>
    <t>2014-11-04 Belle Short(1012)</t>
  </si>
  <si>
    <t>2014-11-05 Madeline Reynolds(222)</t>
  </si>
  <si>
    <t>2014-11-05 Tanek Santos(145)</t>
  </si>
  <si>
    <t>2014-11-05 John Drake(914)</t>
  </si>
  <si>
    <t>2014-11-06 Colby Clay(689)</t>
  </si>
  <si>
    <t>2014-11-06 Theodore Mills(528)</t>
  </si>
  <si>
    <t>2014-11-07 Cameron Rivera(1037)</t>
  </si>
  <si>
    <t>2014-11-07 Serina Booker(543)</t>
  </si>
  <si>
    <t>2014-11-08 Belle Short(996)</t>
  </si>
  <si>
    <t>2014-11-10 Bernard Cash(951)</t>
  </si>
  <si>
    <t>2014-11-11 Rhoda Jacobson(42)</t>
  </si>
  <si>
    <t>2014-11-14 Tanek Santos(474)</t>
  </si>
  <si>
    <t>2014-11-16 Galvin Becker(671)</t>
  </si>
  <si>
    <t>2014-11-16 Ora Mann(974)</t>
  </si>
  <si>
    <t>2014-11-16 Belle Short(1148)</t>
  </si>
  <si>
    <t>2014-11-16 Yoshi Bennett(83)</t>
  </si>
  <si>
    <t>2014-11-16 Ora Mann(525)</t>
  </si>
  <si>
    <t>2014-11-16 Indira Suarez(442)</t>
  </si>
  <si>
    <t>2014-11-18 Belle Short(837)</t>
  </si>
  <si>
    <t>2014-11-18 Serina Booker(639)</t>
  </si>
  <si>
    <t>2014-11-19 John Drake(704)</t>
  </si>
  <si>
    <t>2014-11-19 Donovan Gomez(766)</t>
  </si>
  <si>
    <t>2014-11-19 Nayda Shields(1096)</t>
  </si>
  <si>
    <t>2014-11-21 Cameron Rivera(1168)</t>
  </si>
  <si>
    <t>2014-11-22 Prescott Nelson(53)</t>
  </si>
  <si>
    <t>2014-11-25 Donovan Gomez(718)</t>
  </si>
  <si>
    <t>2014-11-25 Ulysses Hudson(577)</t>
  </si>
  <si>
    <t>2014-11-25 Cameron Rivera(1179)</t>
  </si>
  <si>
    <t>2014-11-27 Ora Mann(1156)</t>
  </si>
  <si>
    <t>2014-11-28 Christine Medina(1120)</t>
  </si>
  <si>
    <t>2014-11-28 Alice Bray(97)</t>
  </si>
  <si>
    <t>2014-11-30 Gabriel Carlson(233)</t>
  </si>
  <si>
    <t>2014-12-02 John Drake(1034)</t>
  </si>
  <si>
    <t>2014-12-02 Nayda Shields(843)</t>
  </si>
  <si>
    <t>2014-12-02 Alma Salas(477)</t>
  </si>
  <si>
    <t>2014-12-03 John Drake(1046)</t>
  </si>
  <si>
    <t>2014-12-03 Kendall Rocha(691)</t>
  </si>
  <si>
    <t>2014-12-04 Madeline Reynolds(1065)</t>
  </si>
  <si>
    <t>2014-12-04 Ora Mann(727)</t>
  </si>
  <si>
    <t>2014-12-05 Ulysses Hudson(219)</t>
  </si>
  <si>
    <t>2014-12-06 Donovan Gomez(920)</t>
  </si>
  <si>
    <t>2014-12-07 Bernard Cash(1118)</t>
  </si>
  <si>
    <t>2014-12-07 Vivian Mendoza(401)</t>
  </si>
  <si>
    <t>2014-12-09 Belle Short(1113)</t>
  </si>
  <si>
    <t>2014-12-10 Theodore Mills(85)</t>
  </si>
  <si>
    <t>2014-12-10 Christine Medina(975)</t>
  </si>
  <si>
    <t>2014-12-12 Belle Short(1161)</t>
  </si>
  <si>
    <t>2014-12-13 Dane Stafford(524)</t>
  </si>
  <si>
    <t>2014-12-14 Tashya Osborne(562)</t>
  </si>
  <si>
    <t>2014-12-14 Claudia Crane(421)</t>
  </si>
  <si>
    <t>2014-12-15 Zane Parrish(658)</t>
  </si>
  <si>
    <t>2014-12-15 Donovan Gomez(1193)</t>
  </si>
  <si>
    <t>2014-12-16 Tate Lowery(555)</t>
  </si>
  <si>
    <t>2014-12-16 Nayda Shields(949)</t>
  </si>
  <si>
    <t>2014-12-16 Colby Clay(309)</t>
  </si>
  <si>
    <t>2014-12-16 Ora Mann(1040)</t>
  </si>
  <si>
    <t>2014-12-16 Dane Stafford(605)</t>
  </si>
  <si>
    <t>2014-12-16 Indira Suarez(688)</t>
  </si>
  <si>
    <t>2014-12-17 Yoshi Bennett(549)</t>
  </si>
  <si>
    <t>2014-12-18 Bernard Cash(1022)</t>
  </si>
  <si>
    <t>2014-12-18 Lesley Keith(133)</t>
  </si>
  <si>
    <t>2014-12-18 Stacey Kirk(611)</t>
  </si>
  <si>
    <t>2014-12-19 Hayley Foster(90)</t>
  </si>
  <si>
    <t>2014-12-19 Yvonne Brewer(17)</t>
  </si>
  <si>
    <t>2014-12-19 Nayda Shields(846)</t>
  </si>
  <si>
    <t>2014-12-20 Cameron Rivera(1085)</t>
  </si>
  <si>
    <t>2014-12-20 Donovan Gomez(773)</t>
  </si>
  <si>
    <t>2014-12-20 John Drake(859)</t>
  </si>
  <si>
    <t>2014-12-21 Belle Short(976)</t>
  </si>
  <si>
    <t>2014-12-21 Dale Fry(304)</t>
  </si>
  <si>
    <t>2014-12-21 John Drake(945)</t>
  </si>
  <si>
    <t>2014-12-22 Anne Slater(698)</t>
  </si>
  <si>
    <t>2014-12-23 Indira Suarez(303)</t>
  </si>
  <si>
    <t>2014-12-23 John Drake(981)</t>
  </si>
  <si>
    <t>2014-12-24 Irene Carver(142)</t>
  </si>
  <si>
    <t>2014-12-24 Jescie Peck(139)</t>
  </si>
  <si>
    <t>2014-12-25 Tashya Osborne(411)</t>
  </si>
  <si>
    <t>2014-12-25 Nayda Shields(38)</t>
  </si>
  <si>
    <t>2014-12-25 Wade Coleman(559)</t>
  </si>
  <si>
    <t>2014-12-26 Yoshi Bennett(443)</t>
  </si>
  <si>
    <t>2014-12-26 Belle Short(1044)</t>
  </si>
  <si>
    <t>2014-12-27 Adrienne Sandoval(113)</t>
  </si>
  <si>
    <t>2014-12-29 Yoshi Bennett(636)</t>
  </si>
  <si>
    <t>2014-12-29 Colby Clay(224)</t>
  </si>
  <si>
    <t>2014-12-29 Anne Slater(102)</t>
  </si>
  <si>
    <t>2014-12-29 Vivian Mendoza(640)</t>
  </si>
  <si>
    <t>2014-12-30 Nayda Shields(947)</t>
  </si>
  <si>
    <t>2014-12-31 Nayda Shields(719)</t>
  </si>
  <si>
    <t>2014-12-31 Belle Short(1081)</t>
  </si>
  <si>
    <t>2014-12-31 Vivian Mendoza(632)</t>
  </si>
  <si>
    <t>2015-01-03 Donovan Gomez(823)</t>
  </si>
  <si>
    <t>2015-01-04 Ora Mann(1134)</t>
  </si>
  <si>
    <t>2015-01-04 Shelly Bridges(1391)</t>
  </si>
  <si>
    <t>2015-01-05 Ora Mann(1252)</t>
  </si>
  <si>
    <t>2015-01-05 Angelica Ortiz(1320)</t>
  </si>
  <si>
    <t>2015-01-05 John Drake(1429)</t>
  </si>
  <si>
    <t>2015-01-06 Karleigh Jacobson(1451)</t>
  </si>
  <si>
    <t>2015-01-06 Rhonda Curtis(1304)</t>
  </si>
  <si>
    <t>2015-01-06 Ivy Livingston(1257)</t>
  </si>
  <si>
    <t>2015-01-06 Armando Le(1305)</t>
  </si>
  <si>
    <t>2015-01-06 Stuart Vega(1390)</t>
  </si>
  <si>
    <t>2015-01-06 Lillian Larsen(551)</t>
  </si>
  <si>
    <t>2015-01-06 Indira Suarez(1282)</t>
  </si>
  <si>
    <t>2015-01-06 Stacey Kirk(1453)</t>
  </si>
  <si>
    <t>2015-01-07 John Drake(769)</t>
  </si>
  <si>
    <t>2015-01-07 Indira Suarez(1418)</t>
  </si>
  <si>
    <t>2015-01-07 Irene Carver(1484)</t>
  </si>
  <si>
    <t>2015-01-08 Alma Salas(288)</t>
  </si>
  <si>
    <t>2015-01-08 Stuart Vega(1364)</t>
  </si>
  <si>
    <t>2015-01-08 Rhonda Curtis(1430)</t>
  </si>
  <si>
    <t>2015-01-09 Angelica Ortiz(1316)</t>
  </si>
  <si>
    <t>2015-01-09 Cameron Rivera(1048)</t>
  </si>
  <si>
    <t>2015-01-09 Bruce Woods(1248)</t>
  </si>
  <si>
    <t>2015-01-09 Shelly Bridges(1285)</t>
  </si>
  <si>
    <t>2015-01-10 Karleigh Jacobson(1360)</t>
  </si>
  <si>
    <t>2015-01-10 Stacey Kirk(1486)</t>
  </si>
  <si>
    <t>2015-01-11 Donovan Gomez(956)</t>
  </si>
  <si>
    <t>2015-01-11 Belle Short(1153)</t>
  </si>
  <si>
    <t>2015-01-11 Bruce Woods(1222)</t>
  </si>
  <si>
    <t>2015-01-11 Martin Dunlap(574)</t>
  </si>
  <si>
    <t>2015-01-11 Iona Simpson(1437)</t>
  </si>
  <si>
    <t>2015-01-11 Cherokee Tanner(1351)</t>
  </si>
  <si>
    <t>2015-01-11 Jonah Griffin(1221)</t>
  </si>
  <si>
    <t>2015-01-11 John Drake(1378)</t>
  </si>
  <si>
    <t>2015-01-12 Prescott Nelson(1336)</t>
  </si>
  <si>
    <t>2015-01-12 Karleigh Jacobson(1387)</t>
  </si>
  <si>
    <t>2015-01-12 Adrian Dodson(432)</t>
  </si>
  <si>
    <t>2015-01-12 Marny Boyer(1416)</t>
  </si>
  <si>
    <t>2015-01-12 Harrison Klein(273)</t>
  </si>
  <si>
    <t>2015-01-12 Donovan Gomez(942)</t>
  </si>
  <si>
    <t>2015-01-12 Madeline Reynolds(791)</t>
  </si>
  <si>
    <t>2015-01-13 Bruce Woods(1449)</t>
  </si>
  <si>
    <t>2015-01-13 Indira Suarez(1224)</t>
  </si>
  <si>
    <t>2015-01-13 Anne Slater(1394)</t>
  </si>
  <si>
    <t>2015-01-14 Cameron Rivera(1001)</t>
  </si>
  <si>
    <t>2015-01-14 Prescott Nelson(1268)</t>
  </si>
  <si>
    <t>2015-01-14 Anne Slater(1375)</t>
  </si>
  <si>
    <t>2015-01-14 Yuri Oneal(1256)</t>
  </si>
  <si>
    <t>2015-01-14 John Drake(1439)</t>
  </si>
  <si>
    <t>2015-01-14 Armando Le(1347)</t>
  </si>
  <si>
    <t>2015-01-15 Armando Le(1462)</t>
  </si>
  <si>
    <t>2015-01-15 Bernard Cash(1181)</t>
  </si>
  <si>
    <t>2015-01-15 Donovan Gomez(953)</t>
  </si>
  <si>
    <t>2015-01-15 Donovan Gomez(888)</t>
  </si>
  <si>
    <t>2015-01-15 Indira Suarez(1442)</t>
  </si>
  <si>
    <t>2015-01-15 Dane Stafford(480)</t>
  </si>
  <si>
    <t>2015-01-15 Anne Slater(1246)</t>
  </si>
  <si>
    <t>2015-01-15 Indira Suarez(1441)</t>
  </si>
  <si>
    <t>2015-01-16 Ora Mann(739)</t>
  </si>
  <si>
    <t>2015-01-16 Maile Torres(1459)</t>
  </si>
  <si>
    <t>2015-01-16 Tashya Osborne(1385)</t>
  </si>
  <si>
    <t>2015-01-16 Galvin Becker(642)</t>
  </si>
  <si>
    <t>2015-01-16 Wade Coleman(1269)</t>
  </si>
  <si>
    <t>2015-01-16 Ora Mann(1299)</t>
  </si>
  <si>
    <t>2015-01-17 Jonah Griffin(1468)</t>
  </si>
  <si>
    <t>2015-01-17 Stuart Vega(1277)</t>
  </si>
  <si>
    <t>2015-01-17 Bruce Woods(1479)</t>
  </si>
  <si>
    <t>2015-01-17 Marny Boyer(1211)</t>
  </si>
  <si>
    <t>2015-01-17 Jonah Griffin(1319)</t>
  </si>
  <si>
    <t>2015-01-17 Prescott Nelson(1300)</t>
  </si>
  <si>
    <t>2015-01-17 Karleigh Jacobson(1424)</t>
  </si>
  <si>
    <t>2015-01-17 Stacey Kirk(1380)</t>
  </si>
  <si>
    <t>2015-01-17 Yvonne Brewer(55)</t>
  </si>
  <si>
    <t>2015-01-18 Jonah Griffin(1276)</t>
  </si>
  <si>
    <t>2015-01-18 Yuri Oneal(1259)</t>
  </si>
  <si>
    <t>2015-01-18 Indira Suarez(1341)</t>
  </si>
  <si>
    <t>2015-01-18 Bruce Woods(1350)</t>
  </si>
  <si>
    <t>2015-01-18 Stuart Vega(1469)</t>
  </si>
  <si>
    <t>2015-01-18 Iona Simpson(1245)</t>
  </si>
  <si>
    <t>2015-01-19 Lillian Larsen(1487)</t>
  </si>
  <si>
    <t>2015-01-19 Donovan Gomez(797)</t>
  </si>
  <si>
    <t>2015-01-19 Harrison Klein(1292)</t>
  </si>
  <si>
    <t>2015-01-19 Christine Medina(795)</t>
  </si>
  <si>
    <t>2015-01-20 Maile Torres(1317)</t>
  </si>
  <si>
    <t>2015-01-20 Scarlett Odonnell(162)</t>
  </si>
  <si>
    <t>2015-01-20 Lillian Larsen(1271)</t>
  </si>
  <si>
    <t>2015-01-20 Tashya Osborne(1209)</t>
  </si>
  <si>
    <t>2015-01-20 Cherokee Tanner(1241)</t>
  </si>
  <si>
    <t>2015-01-20 Nayda Shields(836)</t>
  </si>
  <si>
    <t>2015-01-20 Angelica Ortiz(1356)</t>
  </si>
  <si>
    <t>2015-01-20 Anne Slater(1480)</t>
  </si>
  <si>
    <t>2015-01-20 Jonah Griffin(1345)</t>
  </si>
  <si>
    <t>2015-01-20 Marny Boyer(1388)</t>
  </si>
  <si>
    <t>2015-01-20 Martin Dunlap(225)</t>
  </si>
  <si>
    <t>2015-01-20 Yuri Oneal(1255)</t>
  </si>
  <si>
    <t>2015-01-20 Harrison Klein(1460)</t>
  </si>
  <si>
    <t>2015-01-21 Wade Coleman(1365)</t>
  </si>
  <si>
    <t>2015-01-21 Donovan Gomez(776)</t>
  </si>
  <si>
    <t>2015-01-21 Zorita Rutledge(1444)</t>
  </si>
  <si>
    <t>2015-01-21 Ivy Livingston(1472)</t>
  </si>
  <si>
    <t>2015-01-21 Irene Carver(1446)</t>
  </si>
  <si>
    <t>2015-01-21 Madeline Reynolds(1184)</t>
  </si>
  <si>
    <t>2015-01-21 Tashya Osborne(1258)</t>
  </si>
  <si>
    <t>2015-01-22 Cameron Rivera(882)</t>
  </si>
  <si>
    <t>2015-01-22 Lionel Vargas(1376)</t>
  </si>
  <si>
    <t>2015-01-22 Cameron Rivera(1200)</t>
  </si>
  <si>
    <t>2015-01-22 Iona Simpson(1363)</t>
  </si>
  <si>
    <t>2015-01-22 Cherokee Tanner(1357)</t>
  </si>
  <si>
    <t>2015-01-22 Lillian Larsen(455)</t>
  </si>
  <si>
    <t>2015-01-22 Marny Boyer(1220)</t>
  </si>
  <si>
    <t>2015-01-22 Prescott Nelson(1333)</t>
  </si>
  <si>
    <t>2015-01-22 Armando Le(1294)</t>
  </si>
  <si>
    <t>2015-01-23 Ora Mann(1201)</t>
  </si>
  <si>
    <t>2015-01-23 Maile Torres(1432)</t>
  </si>
  <si>
    <t>2015-01-23 Cameron Burton(1414)</t>
  </si>
  <si>
    <t>2015-01-23 Gabriel Carlson(287)</t>
  </si>
  <si>
    <t>2015-01-23 Cameron Rivera(892)</t>
  </si>
  <si>
    <t>2015-01-23 Marny Boyer(1457)</t>
  </si>
  <si>
    <t>2015-01-23 Ora Mann(994)</t>
  </si>
  <si>
    <t>2015-01-23 Iona Simpson(1216)</t>
  </si>
  <si>
    <t>2015-01-24 Maile Torres(1272)</t>
  </si>
  <si>
    <t>2015-01-24 Rhonda Curtis(1328)</t>
  </si>
  <si>
    <t>2015-01-24 Angelica Ortiz(1409)</t>
  </si>
  <si>
    <t>2015-01-24 Ora Mann(1374)</t>
  </si>
  <si>
    <t>2015-01-24 Indira Suarez(1310)</t>
  </si>
  <si>
    <t>2015-01-25 Cherokee Tanner(1309)</t>
  </si>
  <si>
    <t>2015-01-25 Belle Short(980)</t>
  </si>
  <si>
    <t>2015-01-25 Aspen Fuentes(146)</t>
  </si>
  <si>
    <t>2015-01-26 Rhonda Curtis(78)</t>
  </si>
  <si>
    <t>2015-01-26 Iona Simpson(1367)</t>
  </si>
  <si>
    <t>2015-01-26 Morgan Hoffman(1254)</t>
  </si>
  <si>
    <t>2015-01-26 Ora Mann(764)</t>
  </si>
  <si>
    <t>2015-01-26 Serina Booker(513)</t>
  </si>
  <si>
    <t>2015-01-26 Indira Suarez(1290)</t>
  </si>
  <si>
    <t>2015-01-26 Nayda Shields(922)</t>
  </si>
  <si>
    <t>2015-01-26 Ora Mann(1128)</t>
  </si>
  <si>
    <t>2015-01-27 Marny Boyer(1435)</t>
  </si>
  <si>
    <t>2015-01-27 Ora Mann(1497)</t>
  </si>
  <si>
    <t>2015-01-27 Ora Mann(1411)</t>
  </si>
  <si>
    <t>2015-01-27 Aristotle Avery(330)</t>
  </si>
  <si>
    <t>2015-01-27 Prescott Nelson(1035)</t>
  </si>
  <si>
    <t>2015-01-27 Jonah Griffin(547)</t>
  </si>
  <si>
    <t>2015-01-28 Angelica Ortiz(68)</t>
  </si>
  <si>
    <t>2015-01-28 Lillian Larsen(1206)</t>
  </si>
  <si>
    <t>2015-01-28 Cameron Burton(1427)</t>
  </si>
  <si>
    <t>2015-01-28 Ora Mann(1098)</t>
  </si>
  <si>
    <t>2015-01-28 Tate Lowery(391)</t>
  </si>
  <si>
    <t>2015-01-29 Yuri Oneal(1443)</t>
  </si>
  <si>
    <t>2015-01-29 Quinn Ewing(1262)</t>
  </si>
  <si>
    <t>2015-01-29 Armando Le(1404)</t>
  </si>
  <si>
    <t>2015-01-29 Ivy Livingston(1236)</t>
  </si>
  <si>
    <t>2015-01-29 Ora Mann(1346)</t>
  </si>
  <si>
    <t>2015-01-29 Wade Coleman(1314)</t>
  </si>
  <si>
    <t>2015-01-29 Clio Carter(597)</t>
  </si>
  <si>
    <t>2015-01-29 Nayda Shields(954)</t>
  </si>
  <si>
    <t>2015-01-29 John Drake(1306)</t>
  </si>
  <si>
    <t>2015-01-30 Hanna Simpson(231)</t>
  </si>
  <si>
    <t>2015-01-30 Rhonda Curtis(1477)</t>
  </si>
  <si>
    <t>2015-01-30 Wade Coleman(1337)</t>
  </si>
  <si>
    <t>2015-01-30 Stuart Vega(1327)</t>
  </si>
  <si>
    <t>2015-01-31 Madeline Reynolds(743)</t>
  </si>
  <si>
    <t>2015-01-31 Anne Slater(1400)</t>
  </si>
  <si>
    <t>2015-01-31 Anne Slater(1202)</t>
  </si>
  <si>
    <t>2015-01-31 Angelica Ortiz(1353)</t>
  </si>
  <si>
    <t>2015-01-31 Vivian Mendoza(363)</t>
  </si>
  <si>
    <t>2015-02-01 Dale Fry(380)</t>
  </si>
  <si>
    <t>2015-02-01 Lillian Larsen(1230)</t>
  </si>
  <si>
    <t>2015-02-01 Bruce Woods(1332)</t>
  </si>
  <si>
    <t>2015-02-01 Nayda Shields(51)</t>
  </si>
  <si>
    <t>2015-02-01 Stacey Kirk(261)</t>
  </si>
  <si>
    <t>2015-02-01 Yuri Oneal(1228)</t>
  </si>
  <si>
    <t>2015-02-02 Ivy Livingston(1335)</t>
  </si>
  <si>
    <t>2015-02-02 Angelica Ortiz(1265)</t>
  </si>
  <si>
    <t>2015-02-02 Hanna Simpson(236)</t>
  </si>
  <si>
    <t>2015-02-02 Shelly Bridges(1237)</t>
  </si>
  <si>
    <t>2015-02-02 Bruce Woods(1275)</t>
  </si>
  <si>
    <t>2015-02-02 Christine Medina(781)</t>
  </si>
  <si>
    <t>2015-02-03 Angelica Ortiz(1261)</t>
  </si>
  <si>
    <t>2015-02-03 Bernard Cash(1077)</t>
  </si>
  <si>
    <t>2015-02-03 April Buckley(75)</t>
  </si>
  <si>
    <t>2015-02-03 Cameron Burton(1225)</t>
  </si>
  <si>
    <t>2015-02-04 Jonah Griffin(1281)</t>
  </si>
  <si>
    <t>2015-02-04 Rhonda Curtis(644)</t>
  </si>
  <si>
    <t>2015-02-04 Lionel Vargas(1398)</t>
  </si>
  <si>
    <t>2015-02-04 Donovan Gomez(1196)</t>
  </si>
  <si>
    <t>2015-02-04 Lois Valdez(572)</t>
  </si>
  <si>
    <t>2015-02-04 Cherokee Tanner(1270)</t>
  </si>
  <si>
    <t>2015-02-04 Morgan Hoffman(1361)</t>
  </si>
  <si>
    <t>2015-02-04 Anne Slater(1415)</t>
  </si>
  <si>
    <t>2015-02-04 April Buckley(635)</t>
  </si>
  <si>
    <t>2015-02-04 Wade Coleman(1475)</t>
  </si>
  <si>
    <t>2015-02-05 Wade Coleman(1467)</t>
  </si>
  <si>
    <t>2015-02-05 Lillian Larsen(1253)</t>
  </si>
  <si>
    <t>2015-02-05 Hanna Simpson(496)</t>
  </si>
  <si>
    <t>2015-02-05 Armando Le(1296)</t>
  </si>
  <si>
    <t>2015-02-05 Madeline Reynolds(789)</t>
  </si>
  <si>
    <t>2015-02-05 Shelly Bridges(1419)</t>
  </si>
  <si>
    <t>2015-02-06 Stuart Vega(1210)</t>
  </si>
  <si>
    <t>2015-02-06 Karleigh Jacobson(1214)</t>
  </si>
  <si>
    <t>2015-02-06 Quinn Ewing(1372)</t>
  </si>
  <si>
    <t>2015-02-06 Prescott Nelson(808)</t>
  </si>
  <si>
    <t>2015-02-07 Stuart Vega(1454)</t>
  </si>
  <si>
    <t>2015-02-07 John Drake(1287)</t>
  </si>
  <si>
    <t>2015-02-08 Ora Mann(963)</t>
  </si>
  <si>
    <t>2015-02-08 Blossom Mosley(70)</t>
  </si>
  <si>
    <t>2015-02-08 Zorita Rutledge(1283)</t>
  </si>
  <si>
    <t>2015-02-08 John Drake(1491)</t>
  </si>
  <si>
    <t>2015-02-08 Stacey Kirk(587)</t>
  </si>
  <si>
    <t>2015-02-08 Indira Suarez(1218)</t>
  </si>
  <si>
    <t>2015-02-08 Lillian Larsen(1232)</t>
  </si>
  <si>
    <t>2015-02-08 Lillian Larsen(1417)</t>
  </si>
  <si>
    <t>2015-02-08 Nayda Shields(668)</t>
  </si>
  <si>
    <t>2015-02-08 Ora Mann(822)</t>
  </si>
  <si>
    <t>2015-02-08 Prescott Nelson(959)</t>
  </si>
  <si>
    <t>2015-02-09 Jonah Griffin(1399)</t>
  </si>
  <si>
    <t>2015-02-09 Stacey Kirk(1408)</t>
  </si>
  <si>
    <t>2015-02-09 Prescott Nelson(1412)</t>
  </si>
  <si>
    <t>2015-02-09 Marny Boyer(1492)</t>
  </si>
  <si>
    <t>2015-02-09 Cherokee Tanner(1431)</t>
  </si>
  <si>
    <t>2015-02-09 Theodore Mills(695)</t>
  </si>
  <si>
    <t>2015-02-10 Dale Fry(460)</t>
  </si>
  <si>
    <t>2015-02-10 Hayley Foster(295)</t>
  </si>
  <si>
    <t>2015-02-10 Lionel Vargas(1470)</t>
  </si>
  <si>
    <t>2015-02-11 Karleigh Jacobson(1251)</t>
  </si>
  <si>
    <t>2015-02-11 Quinn Ewing(1263)</t>
  </si>
  <si>
    <t>2015-02-11 Lillian Larsen(1352)</t>
  </si>
  <si>
    <t>2015-02-11 Ivy Livingston(1212)</t>
  </si>
  <si>
    <t>2015-02-11 Yuri Oneal(1302)</t>
  </si>
  <si>
    <t>2015-02-12 Maile Torres(1426)</t>
  </si>
  <si>
    <t>2015-02-12 Harrison Klein(1397)</t>
  </si>
  <si>
    <t>2015-02-12 Bernard Cash(812)</t>
  </si>
  <si>
    <t>2015-02-12 Quinn Ewing(1226)</t>
  </si>
  <si>
    <t>2015-02-12 Lillian Larsen(1239)</t>
  </si>
  <si>
    <t>2015-02-13 Zeus Trujillo(319)</t>
  </si>
  <si>
    <t>2015-02-14 Cherokee Tanner(1498)</t>
  </si>
  <si>
    <t>2015-02-14 Donovan Gomez(1094)</t>
  </si>
  <si>
    <t>2015-02-14 Wade Coleman(1330)</t>
  </si>
  <si>
    <t>2015-02-15 Yuri Oneal(1402)</t>
  </si>
  <si>
    <t>2015-02-16 Tashya Osborne(1463)</t>
  </si>
  <si>
    <t>2015-02-16 Angelica Ortiz(1331)</t>
  </si>
  <si>
    <t>2015-02-16 Yuri Oneal(1301)</t>
  </si>
  <si>
    <t>2015-02-16 Ora Mann(1323)</t>
  </si>
  <si>
    <t>2015-02-16 Prescott Nelson(988)</t>
  </si>
  <si>
    <t>2015-02-17 Wade Coleman(1482)</t>
  </si>
  <si>
    <t>2015-02-17 Anne Slater(1266)</t>
  </si>
  <si>
    <t>2015-02-17 Armando Le(1249)</t>
  </si>
  <si>
    <t>2015-02-17 Lionel Vargas(1238)</t>
  </si>
  <si>
    <t>2015-02-18 Shelly Bridges(1473)</t>
  </si>
  <si>
    <t>2015-02-18 Ivy Livingston(1413)</t>
  </si>
  <si>
    <t>2015-02-19 April Buckley(627)</t>
  </si>
  <si>
    <t>2015-02-19 Christine Medina(967)</t>
  </si>
  <si>
    <t>2015-02-19 Christine Medina(1191)</t>
  </si>
  <si>
    <t>2015-02-19 Prescott Nelson(1215)</t>
  </si>
  <si>
    <t>2015-02-20 Bruce Woods(1229)</t>
  </si>
  <si>
    <t>2015-02-20 Stacey Kirk(1297)</t>
  </si>
  <si>
    <t>2015-02-20 Iona Simpson(617)</t>
  </si>
  <si>
    <t>2015-02-20 Blossom Mosley(263)</t>
  </si>
  <si>
    <t>2015-02-21 Ora Mann(708)</t>
  </si>
  <si>
    <t>2015-02-21 Armando Le(1458)</t>
  </si>
  <si>
    <t>2015-02-21 Marny Boyer(1461)</t>
  </si>
  <si>
    <t>2015-02-22 Zane Parrish(526)</t>
  </si>
  <si>
    <t>2015-02-22 Jonah Griffin(588)</t>
  </si>
  <si>
    <t>2015-02-23 Lillian Larsen(290)</t>
  </si>
  <si>
    <t>2015-02-23 Cherokee Tanner(1344)</t>
  </si>
  <si>
    <t>2015-02-23 Christine Medina(1140)</t>
  </si>
  <si>
    <t>2015-02-24 Ora Mann(1145)</t>
  </si>
  <si>
    <t>2015-02-24 Harrison Klein(1422)</t>
  </si>
  <si>
    <t>2015-02-24 Prescott Nelson(1401)</t>
  </si>
  <si>
    <t>2015-02-24 Armando Le(1420)</t>
  </si>
  <si>
    <t>2015-02-25 John Drake(723)</t>
  </si>
  <si>
    <t>2015-02-25 Maile Torres(1213)</t>
  </si>
  <si>
    <t>2015-02-25 Cherokee Tanner(1260)</t>
  </si>
  <si>
    <t>2015-02-26 Jonah Griffin(196)</t>
  </si>
  <si>
    <t>2015-02-26 Marah West(104)</t>
  </si>
  <si>
    <t>2015-02-26 Indira Suarez(1295)</t>
  </si>
  <si>
    <t>2015-02-26 Bernard Cash(731)</t>
  </si>
  <si>
    <t>2015-02-26 Alma Salas(122)</t>
  </si>
  <si>
    <t>2015-02-26 Nayda Shields(1017)</t>
  </si>
  <si>
    <t>2015-02-26 Tashya Osborne(1493)</t>
  </si>
  <si>
    <t>2015-02-27 Rhonda Curtis(1500)</t>
  </si>
  <si>
    <t>2015-02-27 Christine Medina(998)</t>
  </si>
  <si>
    <t>2015-02-27 Harrison Klein(1483)</t>
  </si>
  <si>
    <t>2015-02-27 Stuart Vega(1291)</t>
  </si>
  <si>
    <t>2015-02-28 Lionel Vargas(1273)</t>
  </si>
  <si>
    <t>2015-02-28 Jonah Griffin(1450)</t>
  </si>
  <si>
    <t>2015-02-28 Zane Parrish(220)</t>
  </si>
  <si>
    <t>2015-03-01 Lionel Vargas(1406)</t>
  </si>
  <si>
    <t>2015-03-01 Shelly Bridges(1280)</t>
  </si>
  <si>
    <t>2015-03-01 Rhonda Curtis(665)</t>
  </si>
  <si>
    <t>2015-03-01 Cherokee Tanner(1343)</t>
  </si>
  <si>
    <t>2015-03-02 Ivy Livingston(1308)</t>
  </si>
  <si>
    <t>2015-03-02 Bruce Woods(1393)</t>
  </si>
  <si>
    <t>2015-03-02 Iona Simpson(1207)</t>
  </si>
  <si>
    <t>2015-03-03 Ivy Livingston(1373)</t>
  </si>
  <si>
    <t>2015-03-03 John Drake(1383)</t>
  </si>
  <si>
    <t>2015-03-03 Angelica Ortiz(1312)</t>
  </si>
  <si>
    <t>2015-03-03 Kendall Rocha(128)</t>
  </si>
  <si>
    <t>2015-03-03 Ivy Livingston(1217)</t>
  </si>
  <si>
    <t>2015-03-03 Serina Booker(696)</t>
  </si>
  <si>
    <t>2015-03-04 Jonah Griffin(1267)</t>
  </si>
  <si>
    <t>2015-03-04 Marny Boyer(1466)</t>
  </si>
  <si>
    <t>2015-03-04 Irene Carver(1368)</t>
  </si>
  <si>
    <t>2015-03-05 Ora Mann(1433)</t>
  </si>
  <si>
    <t>2015-03-05 Ora Mann(1489)</t>
  </si>
  <si>
    <t>2015-03-05 Madeline Reynolds(242)</t>
  </si>
  <si>
    <t>2015-03-05 Stacey Kirk(1474)</t>
  </si>
  <si>
    <t>2015-03-05 Belle Short(1121)</t>
  </si>
  <si>
    <t>2015-03-05 Angelica Ortiz(464)</t>
  </si>
  <si>
    <t>2015-03-05 April Buckley(662)</t>
  </si>
  <si>
    <t>2015-03-05 Colby Clay(333)</t>
  </si>
  <si>
    <t>2015-03-06 Madeline Reynolds(1005)</t>
  </si>
  <si>
    <t>2015-03-06 Yoshi Bennett(416)</t>
  </si>
  <si>
    <t>2015-03-06 Armando Le(618)</t>
  </si>
  <si>
    <t>2015-03-06 Indira Suarez(1298)</t>
  </si>
  <si>
    <t>2015-03-06 Cameron Rivera(886)</t>
  </si>
  <si>
    <t>2015-03-06 Iona Simpson(1242)</t>
  </si>
  <si>
    <t>2015-03-06 Tashya Osborne(458)</t>
  </si>
  <si>
    <t>2015-03-06 Quinn Ewing(1371)</t>
  </si>
  <si>
    <t>2015-03-07 Lillian Larsen(473)</t>
  </si>
  <si>
    <t>2015-03-07 Angelica Ortiz(1235)</t>
  </si>
  <si>
    <t>2015-03-07 John Drake(968)</t>
  </si>
  <si>
    <t>2015-03-07 Irene Carver(39)</t>
  </si>
  <si>
    <t>2015-03-07 Irene Carver(1386)</t>
  </si>
  <si>
    <t>2015-03-07 Martin Dunlap(578)</t>
  </si>
  <si>
    <t>2015-03-07 Harrison Klein(1490)</t>
  </si>
  <si>
    <t>2015-03-08 Shelly Bridges(1366)</t>
  </si>
  <si>
    <t>2015-03-08 Mary Moore(131)</t>
  </si>
  <si>
    <t>2015-03-08 Harrison Klein(1234)</t>
  </si>
  <si>
    <t>2015-03-08 Madeline Reynolds(410)</t>
  </si>
  <si>
    <t>2015-03-08 Bernard Cash(1071)</t>
  </si>
  <si>
    <t>2015-03-08 Rhonda Curtis(1447)</t>
  </si>
  <si>
    <t>2015-03-08 Zeus Trujillo(270)</t>
  </si>
  <si>
    <t>2015-03-08 Maile Torres(1369)</t>
  </si>
  <si>
    <t>2015-03-08 Aristotle Avery(582)</t>
  </si>
  <si>
    <t>2015-03-08 Armando Le(1381)</t>
  </si>
  <si>
    <t>2015-03-09 Lionel Vargas(1279)</t>
  </si>
  <si>
    <t>2015-03-09 Morgan Hoffman(1379)</t>
  </si>
  <si>
    <t>2015-03-09 Angelica Ortiz(1334)</t>
  </si>
  <si>
    <t>2015-03-09 Lillian Larsen(486)</t>
  </si>
  <si>
    <t>2015-03-11 Stuart Vega(1392)</t>
  </si>
  <si>
    <t>2015-03-11 Hayley Foster(501)</t>
  </si>
  <si>
    <t>2015-03-11 Marny Boyer(1315)</t>
  </si>
  <si>
    <t>2015-03-11 Nayda Shields(778)</t>
  </si>
  <si>
    <t>2015-03-11 Lionel Vargas(1278)</t>
  </si>
  <si>
    <t>2015-03-12 Lillian Larsen(1307)</t>
  </si>
  <si>
    <t>2015-03-12 Irene Carver(1405)</t>
  </si>
  <si>
    <t>2015-03-12 Uta Workman(274)</t>
  </si>
  <si>
    <t>2015-03-12 Anne Slater(1205)</t>
  </si>
  <si>
    <t>2015-03-13 Armando Le(1495)</t>
  </si>
  <si>
    <t>2015-03-13 Prescott Nelson(1043)</t>
  </si>
  <si>
    <t>2015-03-13 Anne Slater(1478)</t>
  </si>
  <si>
    <t>2015-03-13 Irene Carver(1382)</t>
  </si>
  <si>
    <t>2015-03-14 Tashya Osborne(1339)</t>
  </si>
  <si>
    <t>2015-03-14 Cameron Burton(1227)</t>
  </si>
  <si>
    <t>2015-03-14 Bernard Cash(950)</t>
  </si>
  <si>
    <t>2015-03-14 Quinn Ewing(1471)</t>
  </si>
  <si>
    <t>2015-03-14 Jescie Peck(134)</t>
  </si>
  <si>
    <t>2015-03-14 Stuart Vega(1264)</t>
  </si>
  <si>
    <t>2015-03-15 Lillian Larsen(1476)</t>
  </si>
  <si>
    <t>2015-03-15 Tate Lowery(157)</t>
  </si>
  <si>
    <t>2015-03-15 Madeline Reynolds(891)</t>
  </si>
  <si>
    <t>2015-03-15 Shelly Bridges(191)</t>
  </si>
  <si>
    <t>2015-03-16 Ivy Livingston(1452)</t>
  </si>
  <si>
    <t>2015-03-16 Zeus Trujillo(262)</t>
  </si>
  <si>
    <t>2015-03-16 Indira Suarez(155)</t>
  </si>
  <si>
    <t>2015-03-16 Irene Carver(1203)</t>
  </si>
  <si>
    <t>2015-03-16 Yuri Oneal(1329)</t>
  </si>
  <si>
    <t>2015-03-16 Harrison Klein(1311)</t>
  </si>
  <si>
    <t>2015-03-16 Angelica Ortiz(509)</t>
  </si>
  <si>
    <t>2015-03-16 Anne Slater(1233)</t>
  </si>
  <si>
    <t>2015-03-17 Marny Boyer(1293)</t>
  </si>
  <si>
    <t>2015-03-17 Ora Mann(1384)</t>
  </si>
  <si>
    <t>2015-03-17 Rhonda Curtis(1321)</t>
  </si>
  <si>
    <t>2015-03-17 Wade Coleman(1440)</t>
  </si>
  <si>
    <t>2015-03-19 Ivy Livingston(1342)</t>
  </si>
  <si>
    <t>2015-03-19 Armando Le(1488)</t>
  </si>
  <si>
    <t>2015-03-19 Lillian Larsen(1362)</t>
  </si>
  <si>
    <t>2015-03-19 John Drake(148)</t>
  </si>
  <si>
    <t>2015-03-19 Wade Coleman(1421)</t>
  </si>
  <si>
    <t>2015-03-19 Belle Short(1091)</t>
  </si>
  <si>
    <t>2015-03-19 Tashya Osborne(1340)</t>
  </si>
  <si>
    <t>2015-03-19 Iona Simpson(1286)</t>
  </si>
  <si>
    <t>2015-03-19 Lionel Vargas(1204)</t>
  </si>
  <si>
    <t>2015-03-20 Quinn Ewing(1240)</t>
  </si>
  <si>
    <t>2015-03-21 Marny Boyer(1455)</t>
  </si>
  <si>
    <t>2015-03-22 Morgan Hoffman(1313)</t>
  </si>
  <si>
    <t>2015-03-22 Lionel Vargas(1288)</t>
  </si>
  <si>
    <t>2015-03-22 Ora Mann(1223)</t>
  </si>
  <si>
    <t>2015-03-22 Cameron Rivera(1133)</t>
  </si>
  <si>
    <t>2015-03-22 Karleigh Jacobson(1274)</t>
  </si>
  <si>
    <t>2015-03-23 Ivy Livingston(1396)</t>
  </si>
  <si>
    <t>2015-03-23 Lionel Vargas(1250)</t>
  </si>
  <si>
    <t>2015-03-23 Stacey Kirk(1465)</t>
  </si>
  <si>
    <t>2015-03-24 Shelly Bridges(1494)</t>
  </si>
  <si>
    <t>2015-03-24 Yuri Oneal(1395)</t>
  </si>
  <si>
    <t>2015-03-24 Belle Short(979)</t>
  </si>
  <si>
    <t>2015-03-24 Shelly Bridges(1208)</t>
  </si>
  <si>
    <t>2015-03-24 Nayda Shields(569)</t>
  </si>
  <si>
    <t>2015-03-25 Cherokee Tanner(1244)</t>
  </si>
  <si>
    <t>2015-03-26 Bruce Woods(1410)</t>
  </si>
  <si>
    <t>2015-03-26 Donovan Gomez(1122)</t>
  </si>
  <si>
    <t>2015-03-26 Yuri Oneal(1338)</t>
  </si>
  <si>
    <t>2015-03-26 Cameron Rivera(1198)</t>
  </si>
  <si>
    <t>2015-03-26 Christine Medina(1061)</t>
  </si>
  <si>
    <t>2015-03-26 Cherokee Tanner(1349)</t>
  </si>
  <si>
    <t>2015-03-27 Stuart Vega(1354)</t>
  </si>
  <si>
    <t>2015-03-27 Cherokee Tanner(1324)</t>
  </si>
  <si>
    <t>2015-03-27 Anne Slater(1423)</t>
  </si>
  <si>
    <t>2015-03-27 Wade Coleman(1289)</t>
  </si>
  <si>
    <t>2015-03-27 Jonah Griffin(1359)</t>
  </si>
  <si>
    <t>2015-03-27 Karleigh Jacobson(1358)</t>
  </si>
  <si>
    <t>2015-03-28 Maile Torres(1407)</t>
  </si>
  <si>
    <t>2015-03-28 Angelica Ortiz(1231)</t>
  </si>
  <si>
    <t>2015-03-28 Jonah Griffin(1389)</t>
  </si>
  <si>
    <t>2015-03-28 Cherokee Tanner(1348)</t>
  </si>
  <si>
    <t>2015-03-28 Irene Carver(1403)</t>
  </si>
  <si>
    <t>2015-03-28 Irene Carver(1355)</t>
  </si>
  <si>
    <t>2015-03-29 Cherokee Tanner(1219)</t>
  </si>
  <si>
    <t>2015-03-29 Ora Mann(1170)</t>
  </si>
  <si>
    <t>2015-03-29 Quinn Ewing(1284)</t>
  </si>
  <si>
    <t>2015-03-29 Stacey Kirk(1325)</t>
  </si>
  <si>
    <t>2015-03-29 Jonah Griffin(1377)</t>
  </si>
  <si>
    <t>2015-03-29 Zorita Rutledge(1428)</t>
  </si>
  <si>
    <t>2015-03-29 Anne Slater(192)</t>
  </si>
  <si>
    <t>2015-03-29 Tashya Osborne(1370)</t>
  </si>
  <si>
    <t>2015-03-30 Madeline Reynolds(868)</t>
  </si>
  <si>
    <t>2015-03-30 Maile Torres(1326)</t>
  </si>
  <si>
    <t>2015-03-31 Stuart Vega(1485)</t>
  </si>
  <si>
    <t>2015-03-31 Ora Mann(1247)</t>
  </si>
  <si>
    <t>2015-03-31 Wade Coleman(579)</t>
  </si>
  <si>
    <t>2015-03-31 Tashya Osborne(1303)</t>
  </si>
  <si>
    <t>2015-04-01 Ivy Livingston(1445)</t>
  </si>
  <si>
    <t>2015-04-02 Cameron Rivera(915)</t>
  </si>
  <si>
    <t>2015-04-02 Rhonda Curtis(1499)</t>
  </si>
  <si>
    <t>2015-04-02 Quinn Ewing(1425)</t>
  </si>
  <si>
    <t>2015-04-02 Cherokee Tanner(1243)</t>
  </si>
  <si>
    <t>2015-04-02 John Drake(705)</t>
  </si>
  <si>
    <t>2015-04-02 Anne Slater(1434)</t>
  </si>
  <si>
    <t>2015-04-03 Marny Boyer(1456)</t>
  </si>
  <si>
    <t>2015-04-03 Iona Simpson(1438)</t>
  </si>
  <si>
    <t>2015-04-03 Maile Torres(1448)</t>
  </si>
  <si>
    <t>2015-04-03 Prescott Nelson(1464)</t>
  </si>
  <si>
    <t>2015-04-03 Bernard Cash(753)</t>
  </si>
  <si>
    <t>2015-04-03 Zorita Rutledge(1318)</t>
  </si>
  <si>
    <t>2015-04-03 Stuart Vega(1496)</t>
  </si>
  <si>
    <t>2015-04-04 Ora Mann(1090)</t>
  </si>
  <si>
    <t>2015-04-04 Wade Coleman(1436)</t>
  </si>
  <si>
    <t>2015-04-04 Tashya Osborne(1481)</t>
  </si>
  <si>
    <t>2015-04-04 Karleigh Jacobson(1322)</t>
  </si>
  <si>
    <t>2015-04-06 Bernard Cash(707)</t>
  </si>
  <si>
    <t>2015-04-07 Belle Short(1135)</t>
  </si>
  <si>
    <t>2015-04-09 Ferris Erickson(586)</t>
  </si>
  <si>
    <t>2015-04-10 Benedict Todd(694)</t>
  </si>
  <si>
    <t>2015-04-11 Lionel Vargas(533)</t>
  </si>
  <si>
    <t>2015-04-12 Cameron Rivera(796)</t>
  </si>
  <si>
    <t>2015-04-13 Donovan Gomez(760)</t>
  </si>
  <si>
    <t>2015-04-13 Madeline Reynolds(901)</t>
  </si>
  <si>
    <t>2015-04-13 Bernard Cash(742)</t>
  </si>
  <si>
    <t>2015-04-14 Prescott Nelson(754)</t>
  </si>
  <si>
    <t>2015-04-14 Bernard Cash(881)</t>
  </si>
  <si>
    <t>2015-04-15 Serina Booker(676)</t>
  </si>
  <si>
    <t>2015-04-15 Gabriel Carlson(685)</t>
  </si>
  <si>
    <t>2015-04-16 Claudia Crane(568)</t>
  </si>
  <si>
    <t>2015-04-17 Adrian Dodson(583)</t>
  </si>
  <si>
    <t>2015-04-17 Donovan Gomez(745)</t>
  </si>
  <si>
    <t>2015-04-17 Tashya Osborne(606)</t>
  </si>
  <si>
    <t>2015-04-17 Belle Short(1058)</t>
  </si>
  <si>
    <t>2015-04-18 Gabriel Carlson(598)</t>
  </si>
  <si>
    <t>2015-04-19 Ora Mann(1075)</t>
  </si>
  <si>
    <t>2015-04-20 Cameron Rivera(952)</t>
  </si>
  <si>
    <t>2015-04-21 Madeline Reynolds(767)</t>
  </si>
  <si>
    <t>2015-04-21 Cameron Rivera(909)</t>
  </si>
  <si>
    <t>2015-04-22 Madeline Reynolds(893)</t>
  </si>
  <si>
    <t>2015-04-23 Belle Short(1072)</t>
  </si>
  <si>
    <t>2015-04-23 Christine Medina(874)</t>
  </si>
  <si>
    <t>2015-04-24 Bernard Cash(925)</t>
  </si>
  <si>
    <t>2015-04-25 Vivian Mendoza(504)</t>
  </si>
  <si>
    <t>2015-04-27 John Drake(985)</t>
  </si>
  <si>
    <t>2015-04-28 Bernard Cash(1142)</t>
  </si>
  <si>
    <t>2015-04-29 Nayda Shields(1083)</t>
  </si>
  <si>
    <t>2015-05-01 Prescott Nelson(1059)</t>
  </si>
  <si>
    <t>2015-05-02 Clio Carter(517)</t>
  </si>
  <si>
    <t>2015-05-02 John Drake(965)</t>
  </si>
  <si>
    <t>2015-05-04 Lionel Vargas(557)</t>
  </si>
  <si>
    <t>2015-05-04 Madeline Reynolds(768)</t>
  </si>
  <si>
    <t>2015-05-04 Nayda Shields(737)</t>
  </si>
  <si>
    <t>2015-05-04 Madeline Reynolds(826)</t>
  </si>
  <si>
    <t>2015-05-05 Christine Medina(831)</t>
  </si>
  <si>
    <t>2015-05-05 Dane Stafford(590)</t>
  </si>
  <si>
    <t>2015-05-06 Galvin Becker(675)</t>
  </si>
  <si>
    <t>2015-05-08 Cameron Rivera(852)</t>
  </si>
  <si>
    <t>2015-05-10 Prescott Nelson(746)</t>
  </si>
  <si>
    <t>2015-05-11 Theodore Mills(180)</t>
  </si>
  <si>
    <t>2015-05-11 Nayda Shields(854)</t>
  </si>
  <si>
    <t>2015-05-14 Prescott Nelson(794)</t>
  </si>
  <si>
    <t>2015-05-15 Ora Mann(851)</t>
  </si>
  <si>
    <t>2015-05-15 Ora Mann(1014)</t>
  </si>
  <si>
    <t>2015-05-16 Belle Short(780)</t>
  </si>
  <si>
    <t>2015-05-16 Prescott Nelson(1108)</t>
  </si>
  <si>
    <t>2015-05-17 Dane Stafford(630)</t>
  </si>
  <si>
    <t>2015-05-17 Prescott Nelson(1021)</t>
  </si>
  <si>
    <t>2015-05-18 Nayda Shields(978)</t>
  </si>
  <si>
    <t>2015-05-18 Ora Mann(863)</t>
  </si>
  <si>
    <t>2015-05-20 Christine Medina(982)</t>
  </si>
  <si>
    <t>2015-05-20 Serina Booker(596)</t>
  </si>
  <si>
    <t>2015-05-22 Christine Medina(1080)</t>
  </si>
  <si>
    <t>2015-05-23 John Drake(803)</t>
  </si>
  <si>
    <t>2015-05-23 Madeline Reynolds(801)</t>
  </si>
  <si>
    <t>2015-05-24 Indira Suarez(652)</t>
  </si>
  <si>
    <t>2015-05-26 Madeline Reynolds(973)</t>
  </si>
  <si>
    <t>2015-05-28 Prescott Nelson(1152)</t>
  </si>
  <si>
    <t>2015-05-29 Donovan Gomez(1089)</t>
  </si>
  <si>
    <t>2015-05-29 Clio Carter(556)</t>
  </si>
  <si>
    <t>2015-05-30 Madeson Silva(686)</t>
  </si>
  <si>
    <t>2015-05-30 Uta Workman(515)</t>
  </si>
  <si>
    <t>2015-06-01 Prescott Nelson(701)</t>
  </si>
  <si>
    <t>2015-06-02 Bernard Cash(805)</t>
  </si>
  <si>
    <t>2015-06-03 Vivian Mendoza(610)</t>
  </si>
  <si>
    <t>2015-06-06 Prescott Nelson(809)</t>
  </si>
  <si>
    <t>2015-06-07 Bernard Cash(923)</t>
  </si>
  <si>
    <t>2015-06-08 Wade Coleman(614)</t>
  </si>
  <si>
    <t>2015-06-10 Donovan Gomez(1146)</t>
  </si>
  <si>
    <t>2015-06-10 Madeline Reynolds(983)</t>
  </si>
  <si>
    <t>2015-06-10 Bernard Cash(1084)</t>
  </si>
  <si>
    <t>2015-06-13 Galvin Becker(602)</t>
  </si>
  <si>
    <t>2015-06-13 Christine Medina(898)</t>
  </si>
  <si>
    <t>2015-06-13 Belle Short(1019)</t>
  </si>
  <si>
    <t>2015-06-13 Christine Medina(935)</t>
  </si>
  <si>
    <t>2015-06-16 Prescott Nelson(933)</t>
  </si>
  <si>
    <t>2015-06-16 Madeline Reynolds(977)</t>
  </si>
  <si>
    <t>2015-06-16 Madeline Reynolds(910)</t>
  </si>
  <si>
    <t>2015-06-16 Cameron Rivera(817)</t>
  </si>
  <si>
    <t>2015-06-18 Ora Mann(1115)</t>
  </si>
  <si>
    <t>2015-06-19 Prescott Nelson(1002)</t>
  </si>
  <si>
    <t>2015-06-19 Ferris Erickson(554)</t>
  </si>
  <si>
    <t>2015-06-19 Belle Short(1099)</t>
  </si>
  <si>
    <t>2015-06-20 John Drake(1041)</t>
  </si>
  <si>
    <t>2015-06-21 Donovan Gomez(755)</t>
  </si>
  <si>
    <t>2015-06-22 Bernard Cash(738)</t>
  </si>
  <si>
    <t>2015-06-26 Christine Medina(916)</t>
  </si>
  <si>
    <t>2015-06-26 Tate Lowery(667)</t>
  </si>
  <si>
    <t>2015-06-27 Madeson Silva(612)</t>
  </si>
  <si>
    <t>2015-06-27 Ora Mann(1000)</t>
  </si>
  <si>
    <t>2015-06-29 Nayda Shields(844)</t>
  </si>
  <si>
    <t>2015-06-29 Bernard Cash(880)</t>
  </si>
  <si>
    <t>2015-07-02 Ora Mann(772)</t>
  </si>
  <si>
    <t>2015-07-02 Belle Short(1171)</t>
  </si>
  <si>
    <t>2015-07-02 Cameron Rivera(1173)</t>
  </si>
  <si>
    <t>2015-07-04 Nayda Shields(697)</t>
  </si>
  <si>
    <t>2015-07-04 Clio Carter(647)</t>
  </si>
  <si>
    <t>2015-07-04 Madeson Silva(650)</t>
  </si>
  <si>
    <t>2015-07-06 Nayda Shields(715)</t>
  </si>
  <si>
    <t>2015-07-09 Serina Booker(563)</t>
  </si>
  <si>
    <t>2015-07-10 Nayda Shields(1078)</t>
  </si>
  <si>
    <t>2015-07-11 Cameron Rivera(1031)</t>
  </si>
  <si>
    <t>2015-07-14 Belle Short(752)</t>
  </si>
  <si>
    <t>2015-07-14 Bernard Cash(775)</t>
  </si>
  <si>
    <t>2015-07-15 Anne Slater(503)</t>
  </si>
  <si>
    <t>2015-07-15 Nayda Shields(1139)</t>
  </si>
  <si>
    <t>2015-07-15 Jonah Griffin(520)</t>
  </si>
  <si>
    <t>2015-07-16 Yoshi Bennett(603)</t>
  </si>
  <si>
    <t>2015-07-17 Hayley Foster(655)</t>
  </si>
  <si>
    <t>2015-07-18 Christine Medina(820)</t>
  </si>
  <si>
    <t>2015-07-19 John Drake(936)</t>
  </si>
  <si>
    <t>2015-07-19 Ora Mann(992)</t>
  </si>
  <si>
    <t>2015-07-19 Lionel Vargas(575)</t>
  </si>
  <si>
    <t>2015-07-20 Christine Medina(1055)</t>
  </si>
  <si>
    <t>2015-07-20 Bernard Cash(806)</t>
  </si>
  <si>
    <t>2015-07-22 Madeline Reynolds(716)</t>
  </si>
  <si>
    <t>2015-07-25 Nayda Shields(842)</t>
  </si>
  <si>
    <t>2015-07-27 Ora Mann(1030)</t>
  </si>
  <si>
    <t>2015-07-28 Donovan Gomez(1066)</t>
  </si>
  <si>
    <t>2015-07-29 Madeline Reynolds(931)</t>
  </si>
  <si>
    <t>2015-07-30 Belle Short(771)</t>
  </si>
  <si>
    <t>2015-07-30 Christine Medina(1165)</t>
  </si>
  <si>
    <t>2015-07-30 Donovan Gomez(1129)</t>
  </si>
  <si>
    <t>2015-07-30 Nayda Shields(879)</t>
  </si>
  <si>
    <t>2015-07-31 Ora Mann(1086)</t>
  </si>
  <si>
    <t>2015-07-31 Lillian Larsen(601)</t>
  </si>
  <si>
    <t>2015-07-31 Bernard Cash(703)</t>
  </si>
  <si>
    <t>2015-08-02 Mariko Cameron(613)</t>
  </si>
  <si>
    <t>2015-08-03 Ivy Livingston(561)</t>
  </si>
  <si>
    <t>2015-08-03 Bernard Cash(1016)</t>
  </si>
  <si>
    <t>2015-08-03 Ferris Erickson(176)</t>
  </si>
  <si>
    <t>2015-08-04 Bernard Cash(1131)</t>
  </si>
  <si>
    <t>2015-08-05 Serina Booker(581)</t>
  </si>
  <si>
    <t>2015-08-05 Bernard Cash(1178)</t>
  </si>
  <si>
    <t>2015-08-07 Abigail Shepard(187)</t>
  </si>
  <si>
    <t>2015-08-11 Colby Clay(544)</t>
  </si>
  <si>
    <t>2015-08-12 Alma Salas(621)</t>
  </si>
  <si>
    <t>2015-08-13 Bernard Cash(804)</t>
  </si>
  <si>
    <t>2015-08-14 John Drake(1074)</t>
  </si>
  <si>
    <t>2015-08-16 Cameron Rivera(864)</t>
  </si>
  <si>
    <t>2015-08-17 Nayda Shields(765)</t>
  </si>
  <si>
    <t>2015-08-20 Ora Mann(1132)</t>
  </si>
  <si>
    <t>2015-08-20 Christine Medina(1185)</t>
  </si>
  <si>
    <t>2015-08-21 Aristotle Avery(692)</t>
  </si>
  <si>
    <t>2015-08-22 Bernard Cash(1104)</t>
  </si>
  <si>
    <t>2015-08-22 Stuart Vega(522)</t>
  </si>
  <si>
    <t>2015-08-24 Cameron Rivera(1180)</t>
  </si>
  <si>
    <t>2015-08-26 Nayda Shields(835)</t>
  </si>
  <si>
    <t>2015-08-26 Christine Medina(1027)</t>
  </si>
  <si>
    <t>2015-08-27 Cameron Rivera(790)</t>
  </si>
  <si>
    <t>2015-08-28 Cameron Rivera(800)</t>
  </si>
  <si>
    <t>2015-08-28 Nayda Shields(736)</t>
  </si>
  <si>
    <t>2015-08-28 Ora Mann(1126)</t>
  </si>
  <si>
    <t>2015-09-01 Nayda Shields(777)</t>
  </si>
  <si>
    <t>2015-09-02 Belle Short(899)</t>
  </si>
  <si>
    <t>2015-09-03 Clio Carter(566)</t>
  </si>
  <si>
    <t>2015-09-03 Nayda Shields(1114)</t>
  </si>
  <si>
    <t>2015-09-04 Ora Mann(964)</t>
  </si>
  <si>
    <t>2015-09-04 Cameron Rivera(1177)</t>
  </si>
  <si>
    <t>2015-09-04 Bernard Cash(1067)</t>
  </si>
  <si>
    <t>2015-09-06 Cameron Rivera(740)</t>
  </si>
  <si>
    <t>2015-09-08 Cameron Rivera(1154)</t>
  </si>
  <si>
    <t>2015-09-10 John Drake(995)</t>
  </si>
  <si>
    <t>2015-09-10 Tate Lowery(653)</t>
  </si>
  <si>
    <t>2015-09-12 Donovan Gomez(1009)</t>
  </si>
  <si>
    <t>2015-09-15 Cameron Rivera(850)</t>
  </si>
  <si>
    <t>2015-09-15 Yoshi Bennett(531)</t>
  </si>
  <si>
    <t>2015-09-17 Donovan Gomez(921)</t>
  </si>
  <si>
    <t>2015-09-17 Belle Short(1038)</t>
  </si>
  <si>
    <t>2015-09-19 Bernard Cash(1147)</t>
  </si>
  <si>
    <t>2015-09-21 Mariko Cameron(541)</t>
  </si>
  <si>
    <t>2015-09-21 Belle Short(714)</t>
  </si>
  <si>
    <t>2015-09-23 Lionel Vargas(558)</t>
  </si>
  <si>
    <t>2015-09-24 Belle Short(834)</t>
  </si>
  <si>
    <t>2015-09-24 Lois Valdez(506)</t>
  </si>
  <si>
    <t>2015-09-26 John Drake(728)</t>
  </si>
  <si>
    <t>2015-09-27 Donovan Gomez(792)</t>
  </si>
  <si>
    <t>2015-09-27 Madeline Reynolds(940)</t>
  </si>
  <si>
    <t>2015-09-27 Claudia Crane(534)</t>
  </si>
  <si>
    <t>2015-09-29 Serina Booker(536)</t>
  </si>
  <si>
    <t>2015-09-29 Bernard Cash(1102)</t>
  </si>
  <si>
    <t>2015-09-29 Christine Medina(845)</t>
  </si>
  <si>
    <t>2015-09-29 Bernard Cash(824)</t>
  </si>
  <si>
    <t>2015-09-30 John Drake(802)</t>
  </si>
  <si>
    <t>2015-10-01 Stuart Vega(512)</t>
  </si>
  <si>
    <t>2015-10-04 Madeson Silva(651)</t>
  </si>
  <si>
    <t>2015-10-05 Ora Mann(825)</t>
  </si>
  <si>
    <t>2015-10-08 Uta Workman(645)</t>
  </si>
  <si>
    <t>2015-10-08 John Drake(878)</t>
  </si>
  <si>
    <t>2015-10-08 Prescott Nelson(1159)</t>
  </si>
  <si>
    <t>2015-10-11 Bernard Cash(1107)</t>
  </si>
  <si>
    <t>2015-10-12 Zane Parrish(649)</t>
  </si>
  <si>
    <t>2015-10-12 Cameron Rivera(828)</t>
  </si>
  <si>
    <t>2015-10-13 Madeline Reynolds(848)</t>
  </si>
  <si>
    <t>2015-10-16 Bernard Cash(734)</t>
  </si>
  <si>
    <t>2015-10-18 Donovan Gomez(1018)</t>
  </si>
  <si>
    <t>2015-10-18 Prescott Nelson(1069)</t>
  </si>
  <si>
    <t>2015-10-19 John Drake(741)</t>
  </si>
  <si>
    <t>2015-10-22 Madeline Reynolds(599)</t>
  </si>
  <si>
    <t>2015-10-24 Christine Medina(1187)</t>
  </si>
  <si>
    <t>2015-10-24 Ora Mann(840)</t>
  </si>
  <si>
    <t>2015-10-24 Prescott Nelson(960)</t>
  </si>
  <si>
    <t>2015-10-24 John Drake(1097)</t>
  </si>
  <si>
    <t>2015-10-27 Nayda Shields(904)</t>
  </si>
  <si>
    <t>2015-10-27 Uta Workman(631)</t>
  </si>
  <si>
    <t>2015-10-28 Bernard Cash(1053)</t>
  </si>
  <si>
    <t>2015-10-28 Belle Short(717)</t>
  </si>
  <si>
    <t>2015-10-28 Lois Valdez(571)</t>
  </si>
  <si>
    <t>2015-10-30 Indira Suarez(516)</t>
  </si>
  <si>
    <t>2015-10-30 Ora Mann(1192)</t>
  </si>
  <si>
    <t>2015-10-31 Bernard Cash(1032)</t>
  </si>
  <si>
    <t>2015-11-01 John Drake(1039)</t>
  </si>
  <si>
    <t>2015-11-02 Ora Mann(1176)</t>
  </si>
  <si>
    <t>2015-11-02 Christine Medina(732)</t>
  </si>
  <si>
    <t>2015-11-02 Cameron Rivera(724)</t>
  </si>
  <si>
    <t>2015-11-03 Ora Mann(937)</t>
  </si>
  <si>
    <t>2015-11-03 Belle Short(750)</t>
  </si>
  <si>
    <t>2015-11-05 Ora Mann(871)</t>
  </si>
  <si>
    <t>2015-11-06 Madeline Reynolds(861)</t>
  </si>
  <si>
    <t>2015-11-07 Cameron Rivera(961)</t>
  </si>
  <si>
    <t>2015-11-08 Prescott Nelson(1062)</t>
  </si>
  <si>
    <t>2015-11-09 Galvin Becker(535)</t>
  </si>
  <si>
    <t>2015-11-09 Cameron Rivera(1174)</t>
  </si>
  <si>
    <t>2015-11-09 Madeline Reynolds(838)</t>
  </si>
  <si>
    <t>2015-11-10 Donovan Gomez(1010)</t>
  </si>
  <si>
    <t>2015-11-11 Cameron Rivera(932)</t>
  </si>
  <si>
    <t>2015-11-13 April Buckley(679)</t>
  </si>
  <si>
    <t>2015-11-13 Nayda Shields(858)</t>
  </si>
  <si>
    <t>2015-11-14 Christine Medina(889)</t>
  </si>
  <si>
    <t>2015-11-14 Donovan Gomez(1024)</t>
  </si>
  <si>
    <t>2015-11-16 Armando Le(619)</t>
  </si>
  <si>
    <t>2015-11-18 Cameron Rivera(1123)</t>
  </si>
  <si>
    <t>2015-11-19 Hayley Foster(593)</t>
  </si>
  <si>
    <t>2015-11-23 Cameron Rivera(807)</t>
  </si>
  <si>
    <t>2015-11-23 Zane Parrish(661)</t>
  </si>
  <si>
    <t>2015-11-24 Kendall Rocha(604)</t>
  </si>
  <si>
    <t>2015-11-24 Nayda Shields(1020)</t>
  </si>
  <si>
    <t>2015-11-25 Prescott Nelson(884)</t>
  </si>
  <si>
    <t>2015-11-27 Christine Medina(941)</t>
  </si>
  <si>
    <t>2015-11-29 Belle Short(793)</t>
  </si>
  <si>
    <t>2015-11-30 Serina Booker(591)</t>
  </si>
  <si>
    <t>2015-11-30 Ora Mann(929)</t>
  </si>
  <si>
    <t>(1451)</t>
  </si>
  <si>
    <t>(1452)</t>
  </si>
  <si>
    <t>(1453)</t>
  </si>
  <si>
    <t>(1314)</t>
  </si>
  <si>
    <t>(1315)</t>
  </si>
  <si>
    <t>(1316)</t>
  </si>
  <si>
    <t>(2844)</t>
  </si>
  <si>
    <t>(2845)</t>
  </si>
  <si>
    <t>(2846)</t>
  </si>
  <si>
    <t>(2847)</t>
  </si>
  <si>
    <t>(2335)</t>
  </si>
  <si>
    <t>(2336)</t>
  </si>
  <si>
    <t>(2337)</t>
  </si>
  <si>
    <t>(2338)</t>
  </si>
  <si>
    <t>(734)</t>
  </si>
  <si>
    <t>(735)</t>
  </si>
  <si>
    <t>(736)</t>
  </si>
  <si>
    <t>(1719)</t>
  </si>
  <si>
    <t>(1720)</t>
  </si>
  <si>
    <t>(389)</t>
  </si>
  <si>
    <t>(390)</t>
  </si>
  <si>
    <t>(391)</t>
  </si>
  <si>
    <t>(392)</t>
  </si>
  <si>
    <t>(1873)</t>
  </si>
  <si>
    <t>(1874)</t>
  </si>
  <si>
    <t>(1875)</t>
  </si>
  <si>
    <t>(2492)</t>
  </si>
  <si>
    <t>(1052)</t>
  </si>
  <si>
    <t>(3308)</t>
  </si>
  <si>
    <t>(3309)</t>
  </si>
  <si>
    <t>(3310)</t>
  </si>
  <si>
    <t>(3311)</t>
  </si>
  <si>
    <t>(3312)</t>
  </si>
  <si>
    <t>(2417)</t>
  </si>
  <si>
    <t>(2598)</t>
  </si>
  <si>
    <t>(2599)</t>
  </si>
  <si>
    <t>(2600)</t>
  </si>
  <si>
    <t>(2601)</t>
  </si>
  <si>
    <t>(2602)</t>
  </si>
  <si>
    <t>(2603)</t>
  </si>
  <si>
    <t>(1295)</t>
  </si>
  <si>
    <t>(1296)</t>
  </si>
  <si>
    <t>(1297)</t>
  </si>
  <si>
    <t>(1298)</t>
  </si>
  <si>
    <t>(1299)</t>
  </si>
  <si>
    <t>(2887)</t>
  </si>
  <si>
    <t>(2888)</t>
  </si>
  <si>
    <t>(2889)</t>
  </si>
  <si>
    <t>(2890)</t>
  </si>
  <si>
    <t>(1124)</t>
  </si>
  <si>
    <t>(1125)</t>
  </si>
  <si>
    <t>(1252)</t>
  </si>
  <si>
    <t>(1253)</t>
  </si>
  <si>
    <t>(1254)</t>
  </si>
  <si>
    <t>(1255)</t>
  </si>
  <si>
    <t>(1256)</t>
  </si>
  <si>
    <t>(2113)</t>
  </si>
  <si>
    <t>(2114)</t>
  </si>
  <si>
    <t>(2115)</t>
  </si>
  <si>
    <t>(2116)</t>
  </si>
  <si>
    <t>(2117)</t>
  </si>
  <si>
    <t>(1692)</t>
  </si>
  <si>
    <t>(1388)</t>
  </si>
  <si>
    <t>(296)</t>
  </si>
  <si>
    <t>(297)</t>
  </si>
  <si>
    <t>(298)</t>
  </si>
  <si>
    <t>(2877)</t>
  </si>
  <si>
    <t>(2878)</t>
  </si>
  <si>
    <t>(2879)</t>
  </si>
  <si>
    <t>(3386)</t>
  </si>
  <si>
    <t>(3387)</t>
  </si>
  <si>
    <t>(3388)</t>
  </si>
  <si>
    <t>(3389)</t>
  </si>
  <si>
    <t>(2934)</t>
  </si>
  <si>
    <t>(2935)</t>
  </si>
  <si>
    <t>(2936)</t>
  </si>
  <si>
    <t>(2937)</t>
  </si>
  <si>
    <t>(1200)</t>
  </si>
  <si>
    <t>(1201)</t>
  </si>
  <si>
    <t>(1202)</t>
  </si>
  <si>
    <t>(2135)</t>
  </si>
  <si>
    <t>(2136)</t>
  </si>
  <si>
    <t>(2137)</t>
  </si>
  <si>
    <t>(2138)</t>
  </si>
  <si>
    <t>(2139)</t>
  </si>
  <si>
    <t>(943)</t>
  </si>
  <si>
    <t>(2288)</t>
  </si>
  <si>
    <t>(2289)</t>
  </si>
  <si>
    <t>(2290)</t>
  </si>
  <si>
    <t>(2291)</t>
  </si>
  <si>
    <t>(803)</t>
  </si>
  <si>
    <t>(804)</t>
  </si>
  <si>
    <t>(2988)</t>
  </si>
  <si>
    <t>(2989)</t>
  </si>
  <si>
    <t>(2990)</t>
  </si>
  <si>
    <t>(2991)</t>
  </si>
  <si>
    <t>(1366)</t>
  </si>
  <si>
    <t>(1367)</t>
  </si>
  <si>
    <t>(2125)</t>
  </si>
  <si>
    <t>(2126)</t>
  </si>
  <si>
    <t>(2127)</t>
  </si>
  <si>
    <t>(2128)</t>
  </si>
  <si>
    <t>(2129)</t>
  </si>
  <si>
    <t>(3807)</t>
  </si>
  <si>
    <t>(3808)</t>
  </si>
  <si>
    <t>(3809)</t>
  </si>
  <si>
    <t>(2307)</t>
  </si>
  <si>
    <t>(2308)</t>
  </si>
  <si>
    <t>(2309)</t>
  </si>
  <si>
    <t>(1107)</t>
  </si>
  <si>
    <t>(1108)</t>
  </si>
  <si>
    <t>(1109)</t>
  </si>
  <si>
    <t>(697)</t>
  </si>
  <si>
    <t>(698)</t>
  </si>
  <si>
    <t>(699)</t>
  </si>
  <si>
    <t>(700)</t>
  </si>
  <si>
    <t>(701)</t>
  </si>
  <si>
    <t>(702)</t>
  </si>
  <si>
    <t>(24)</t>
  </si>
  <si>
    <t>(25)</t>
  </si>
  <si>
    <t>(449)</t>
  </si>
  <si>
    <t>(450)</t>
  </si>
  <si>
    <t>(451)</t>
  </si>
  <si>
    <t>(452)</t>
  </si>
  <si>
    <t>(2202)</t>
  </si>
  <si>
    <t>(2203)</t>
  </si>
  <si>
    <t>(2204)</t>
  </si>
  <si>
    <t>(3914)</t>
  </si>
  <si>
    <t>(3915)</t>
  </si>
  <si>
    <t>(3916)</t>
  </si>
  <si>
    <t>(3917)</t>
  </si>
  <si>
    <t>(3918)</t>
  </si>
  <si>
    <t>(3723)</t>
  </si>
  <si>
    <t>(3724)</t>
  </si>
  <si>
    <t>(3725)</t>
  </si>
  <si>
    <t>(3726)</t>
  </si>
  <si>
    <t>(3727)</t>
  </si>
  <si>
    <t>(906)</t>
  </si>
  <si>
    <t>(907)</t>
  </si>
  <si>
    <t>(2436)</t>
  </si>
  <si>
    <t>(2437)</t>
  </si>
  <si>
    <t>(2438)</t>
  </si>
  <si>
    <t>(2439)</t>
  </si>
  <si>
    <t>(2440)</t>
  </si>
  <si>
    <t>(2441)</t>
  </si>
  <si>
    <t>(2442)</t>
  </si>
  <si>
    <t>(2443)</t>
  </si>
  <si>
    <t>(2352)</t>
  </si>
  <si>
    <t>(3634)</t>
  </si>
  <si>
    <t>(3189)</t>
  </si>
  <si>
    <t>(3190)</t>
  </si>
  <si>
    <t>(3191)</t>
  </si>
  <si>
    <t>(3192)</t>
  </si>
  <si>
    <t>(3193)</t>
  </si>
  <si>
    <t>(2292)</t>
  </si>
  <si>
    <t>(2293)</t>
  </si>
  <si>
    <t>(2294)</t>
  </si>
  <si>
    <t>(2842)</t>
  </si>
  <si>
    <t>(2843)</t>
  </si>
  <si>
    <t>(1882)</t>
  </si>
  <si>
    <t>(1064)</t>
  </si>
  <si>
    <t>(1065)</t>
  </si>
  <si>
    <t>(1066)</t>
  </si>
  <si>
    <t>(3596)</t>
  </si>
  <si>
    <t>(3597)</t>
  </si>
  <si>
    <t>(3598)</t>
  </si>
  <si>
    <t>(3313)</t>
  </si>
  <si>
    <t>(3314)</t>
  </si>
  <si>
    <t>(3315)</t>
  </si>
  <si>
    <t>(2424)</t>
  </si>
  <si>
    <t>(2425)</t>
  </si>
  <si>
    <t>(460)</t>
  </si>
  <si>
    <t>(1836)</t>
  </si>
  <si>
    <t>(1837)</t>
  </si>
  <si>
    <t>(1838)</t>
  </si>
  <si>
    <t>(951)</t>
  </si>
  <si>
    <t>(952)</t>
  </si>
  <si>
    <t>(953)</t>
  </si>
  <si>
    <t>(613)</t>
  </si>
  <si>
    <t>(614)</t>
  </si>
  <si>
    <t>(615)</t>
  </si>
  <si>
    <t>(616)</t>
  </si>
  <si>
    <t>(617)</t>
  </si>
  <si>
    <t>(1059)</t>
  </si>
  <si>
    <t>(1060)</t>
  </si>
  <si>
    <t>(3553)</t>
  </si>
  <si>
    <t>(3554)</t>
  </si>
  <si>
    <t>(3555)</t>
  </si>
  <si>
    <t>(3790)</t>
  </si>
  <si>
    <t>(3791)</t>
  </si>
  <si>
    <t>(3792)</t>
  </si>
  <si>
    <t>(1197)</t>
  </si>
  <si>
    <t>(1267)</t>
  </si>
  <si>
    <t>(1268)</t>
  </si>
  <si>
    <t>(3827)</t>
  </si>
  <si>
    <t>(3828)</t>
  </si>
  <si>
    <t>(3829)</t>
  </si>
  <si>
    <t>(1866)</t>
  </si>
  <si>
    <t>(1867)</t>
  </si>
  <si>
    <t>(1868)</t>
  </si>
  <si>
    <t>(1814)</t>
  </si>
  <si>
    <t>(1815)</t>
  </si>
  <si>
    <t>(1816)</t>
  </si>
  <si>
    <t>(1817)</t>
  </si>
  <si>
    <t>(1818)</t>
  </si>
  <si>
    <t>(1819)</t>
  </si>
  <si>
    <t>(422)</t>
  </si>
  <si>
    <t>(423)</t>
  </si>
  <si>
    <t>(424)</t>
  </si>
  <si>
    <t>(425)</t>
  </si>
  <si>
    <t>(426)</t>
  </si>
  <si>
    <t>(3899)</t>
  </si>
  <si>
    <t>(3900)</t>
  </si>
  <si>
    <t>(3901)</t>
  </si>
  <si>
    <t>(3902)</t>
  </si>
  <si>
    <t>(3903)</t>
  </si>
  <si>
    <t>(3262)</t>
  </si>
  <si>
    <t>(3263)</t>
  </si>
  <si>
    <t>(73)</t>
  </si>
  <si>
    <t>(74)</t>
  </si>
  <si>
    <t>(3821)</t>
  </si>
  <si>
    <t>(1947)</t>
  </si>
  <si>
    <t>(1948)</t>
  </si>
  <si>
    <t>(1655)</t>
  </si>
  <si>
    <t>(1656)</t>
  </si>
  <si>
    <t>(1657)</t>
  </si>
  <si>
    <t>(1658)</t>
  </si>
  <si>
    <t>(1659)</t>
  </si>
  <si>
    <t>(1660)</t>
  </si>
  <si>
    <t>(1191)</t>
  </si>
  <si>
    <t>(1641)</t>
  </si>
  <si>
    <t>(1642)</t>
  </si>
  <si>
    <t>(3069)</t>
  </si>
  <si>
    <t>(3070)</t>
  </si>
  <si>
    <t>(3830)</t>
  </si>
  <si>
    <t>(3831)</t>
  </si>
  <si>
    <t>(2270)</t>
  </si>
  <si>
    <t>(2271)</t>
  </si>
  <si>
    <t>(2154)</t>
  </si>
  <si>
    <t>(2155)</t>
  </si>
  <si>
    <t>(2156)</t>
  </si>
  <si>
    <t>(2157)</t>
  </si>
  <si>
    <t>(2158)</t>
  </si>
  <si>
    <t>(2159)</t>
  </si>
  <si>
    <t>(3732)</t>
  </si>
  <si>
    <t>(3733)</t>
  </si>
  <si>
    <t>(3734)</t>
  </si>
  <si>
    <t>(2996)</t>
  </si>
  <si>
    <t>(2997)</t>
  </si>
  <si>
    <t>(2998)</t>
  </si>
  <si>
    <t>(2999)</t>
  </si>
  <si>
    <t>(8)</t>
  </si>
  <si>
    <t>(569)</t>
  </si>
  <si>
    <t>(570)</t>
  </si>
  <si>
    <t>(571)</t>
  </si>
  <si>
    <t>(2537)</t>
  </si>
  <si>
    <t>(2538)</t>
  </si>
  <si>
    <t>(240)</t>
  </si>
  <si>
    <t>(241)</t>
  </si>
  <si>
    <t>(242)</t>
  </si>
  <si>
    <t>(243)</t>
  </si>
  <si>
    <t>(244)</t>
  </si>
  <si>
    <t>(2054)</t>
  </si>
  <si>
    <t>(2055)</t>
  </si>
  <si>
    <t>(2056)</t>
  </si>
  <si>
    <t>(2057)</t>
  </si>
  <si>
    <t>(2058)</t>
  </si>
  <si>
    <t>(2059)</t>
  </si>
  <si>
    <t>(1117)</t>
  </si>
  <si>
    <t>(1118)</t>
  </si>
  <si>
    <t>(1119)</t>
  </si>
  <si>
    <t>(1120)</t>
  </si>
  <si>
    <t>(1121)</t>
  </si>
  <si>
    <t>(1319)</t>
  </si>
  <si>
    <t>(1320)</t>
  </si>
  <si>
    <t>(1321)</t>
  </si>
  <si>
    <t>(489)</t>
  </si>
  <si>
    <t>(490)</t>
  </si>
  <si>
    <t>(491)</t>
  </si>
  <si>
    <t>(492)</t>
  </si>
  <si>
    <t>(3595)</t>
  </si>
  <si>
    <t>(705)</t>
  </si>
  <si>
    <t>(706)</t>
  </si>
  <si>
    <t>(707)</t>
  </si>
  <si>
    <t>(708)</t>
  </si>
  <si>
    <t>(709)</t>
  </si>
  <si>
    <t>(710)</t>
  </si>
  <si>
    <t>(711)</t>
  </si>
  <si>
    <t>(639)</t>
  </si>
  <si>
    <t>(640)</t>
  </si>
  <si>
    <t>(641)</t>
  </si>
  <si>
    <t>(642)</t>
  </si>
  <si>
    <t>(643)</t>
  </si>
  <si>
    <t>(2815)</t>
  </si>
  <si>
    <t>(2816)</t>
  </si>
  <si>
    <t>(3485)</t>
  </si>
  <si>
    <t>(3486)</t>
  </si>
  <si>
    <t>(1028)</t>
  </si>
  <si>
    <t>(1029)</t>
  </si>
  <si>
    <t>(1030)</t>
  </si>
  <si>
    <t>(1031)</t>
  </si>
  <si>
    <t>(1032)</t>
  </si>
  <si>
    <t>(2760)</t>
  </si>
  <si>
    <t>(2761)</t>
  </si>
  <si>
    <t>(2519)</t>
  </si>
  <si>
    <t>(2520)</t>
  </si>
  <si>
    <t>(813)</t>
  </si>
  <si>
    <t>(814)</t>
  </si>
  <si>
    <t>(815)</t>
  </si>
  <si>
    <t>(816)</t>
  </si>
  <si>
    <t>(2317)</t>
  </si>
  <si>
    <t>(2318)</t>
  </si>
  <si>
    <t>(2319)</t>
  </si>
  <si>
    <t>(2320)</t>
  </si>
  <si>
    <t>(2321)</t>
  </si>
  <si>
    <t>(1046)</t>
  </si>
  <si>
    <t>(517)</t>
  </si>
  <si>
    <t>(2840)</t>
  </si>
  <si>
    <t>(2841)</t>
  </si>
  <si>
    <t>(3687)</t>
  </si>
  <si>
    <t>(3688)</t>
  </si>
  <si>
    <t>(3689)</t>
  </si>
  <si>
    <t>(3690)</t>
  </si>
  <si>
    <t>(3691)</t>
  </si>
  <si>
    <t>(3692)</t>
  </si>
  <si>
    <t>(2176)</t>
  </si>
  <si>
    <t>(2177)</t>
  </si>
  <si>
    <t>(2178)</t>
  </si>
  <si>
    <t>(2179)</t>
  </si>
  <si>
    <t>(557)</t>
  </si>
  <si>
    <t>(558)</t>
  </si>
  <si>
    <t>(559)</t>
  </si>
  <si>
    <t>(560)</t>
  </si>
  <si>
    <t>(2262)</t>
  </si>
  <si>
    <t>(2263)</t>
  </si>
  <si>
    <t>(1780)</t>
  </si>
  <si>
    <t>(1781)</t>
  </si>
  <si>
    <t>(1782)</t>
  </si>
  <si>
    <t>(1783)</t>
  </si>
  <si>
    <t>(1784)</t>
  </si>
  <si>
    <t>(1210)</t>
  </si>
  <si>
    <t>(1211)</t>
  </si>
  <si>
    <t>(1212)</t>
  </si>
  <si>
    <t>(3014)</t>
  </si>
  <si>
    <t>(3015)</t>
  </si>
  <si>
    <t>(3016)</t>
  </si>
  <si>
    <t>(3017)</t>
  </si>
  <si>
    <t>(3018)</t>
  </si>
  <si>
    <t>(245)</t>
  </si>
  <si>
    <t>(246)</t>
  </si>
  <si>
    <t>(247)</t>
  </si>
  <si>
    <t>(3942)</t>
  </si>
  <si>
    <t>(141)</t>
  </si>
  <si>
    <t>(142)</t>
  </si>
  <si>
    <t>(143)</t>
  </si>
  <si>
    <t>(144)</t>
  </si>
  <si>
    <t>(145)</t>
  </si>
  <si>
    <t>(3041)</t>
  </si>
  <si>
    <t>(3042)</t>
  </si>
  <si>
    <t>(2891)</t>
  </si>
  <si>
    <t>(2892)</t>
  </si>
  <si>
    <t>(2893)</t>
  </si>
  <si>
    <t>(2894)</t>
  </si>
  <si>
    <t>(1800)</t>
  </si>
  <si>
    <t>(1801)</t>
  </si>
  <si>
    <t>(1802)</t>
  </si>
  <si>
    <t>(3212)</t>
  </si>
  <si>
    <t>(3213)</t>
  </si>
  <si>
    <t>(3214)</t>
  </si>
  <si>
    <t>(3215)</t>
  </si>
  <si>
    <t>(3216)</t>
  </si>
  <si>
    <t>(1322)</t>
  </si>
  <si>
    <t>(1323)</t>
  </si>
  <si>
    <t>(1324)</t>
  </si>
  <si>
    <t>(1325)</t>
  </si>
  <si>
    <t>(328)</t>
  </si>
  <si>
    <t>(329)</t>
  </si>
  <si>
    <t>(3080)</t>
  </si>
  <si>
    <t>(3081)</t>
  </si>
  <si>
    <t>(3082)</t>
  </si>
  <si>
    <t>(3083)</t>
  </si>
  <si>
    <t>(3084)</t>
  </si>
  <si>
    <t>(284)</t>
  </si>
  <si>
    <t>(285)</t>
  </si>
  <si>
    <t>(286)</t>
  </si>
  <si>
    <t>(3173)</t>
  </si>
  <si>
    <t>(3174)</t>
  </si>
  <si>
    <t>(3175)</t>
  </si>
  <si>
    <t>(3176)</t>
  </si>
  <si>
    <t>(3177)</t>
  </si>
  <si>
    <t>(3178)</t>
  </si>
  <si>
    <t>(1847)</t>
  </si>
  <si>
    <t>(1848)</t>
  </si>
  <si>
    <t>(1849)</t>
  </si>
  <si>
    <t>(1850)</t>
  </si>
  <si>
    <t>(1851)</t>
  </si>
  <si>
    <t>(1852)</t>
  </si>
  <si>
    <t>(1853)</t>
  </si>
  <si>
    <t>(501)</t>
  </si>
  <si>
    <t>(502)</t>
  </si>
  <si>
    <t>(503)</t>
  </si>
  <si>
    <t>(504)</t>
  </si>
  <si>
    <t>(505)</t>
  </si>
  <si>
    <t>(506)</t>
  </si>
  <si>
    <t>(2594)</t>
  </si>
  <si>
    <t>(2595)</t>
  </si>
  <si>
    <t>(2596)</t>
  </si>
  <si>
    <t>(2597)</t>
  </si>
  <si>
    <t>(2377)</t>
  </si>
  <si>
    <t>(2378)</t>
  </si>
  <si>
    <t>(2379)</t>
  </si>
  <si>
    <t>(89)</t>
  </si>
  <si>
    <t>(90)</t>
  </si>
  <si>
    <t>(91)</t>
  </si>
  <si>
    <t>(92)</t>
  </si>
  <si>
    <t>(93)</t>
  </si>
  <si>
    <t>(94)</t>
  </si>
  <si>
    <t>(95)</t>
  </si>
  <si>
    <t>(780)</t>
  </si>
  <si>
    <t>(781)</t>
  </si>
  <si>
    <t>(782)</t>
  </si>
  <si>
    <t>(783)</t>
  </si>
  <si>
    <t>(784)</t>
  </si>
  <si>
    <t>(785)</t>
  </si>
  <si>
    <t>(786)</t>
  </si>
  <si>
    <t>(2250)</t>
  </si>
  <si>
    <t>(2251)</t>
  </si>
  <si>
    <t>(2252)</t>
  </si>
  <si>
    <t>(2253)</t>
  </si>
  <si>
    <t>(3824)</t>
  </si>
  <si>
    <t>(3825)</t>
  </si>
  <si>
    <t>(3826)</t>
  </si>
  <si>
    <t>(1435)</t>
  </si>
  <si>
    <t>(1436)</t>
  </si>
  <si>
    <t>(1437)</t>
  </si>
  <si>
    <t>(1438)</t>
  </si>
  <si>
    <t>(1439)</t>
  </si>
  <si>
    <t>(1440)</t>
  </si>
  <si>
    <t>(1570)</t>
  </si>
  <si>
    <t>(1571)</t>
  </si>
  <si>
    <t>(1572)</t>
  </si>
  <si>
    <t>(703)</t>
  </si>
  <si>
    <t>(704)</t>
  </si>
  <si>
    <t>(712)</t>
  </si>
  <si>
    <t>(713)</t>
  </si>
  <si>
    <t>(1067)</t>
  </si>
  <si>
    <t>(1068)</t>
  </si>
  <si>
    <t>(1069)</t>
  </si>
  <si>
    <t>(2762)</t>
  </si>
  <si>
    <t>(2763)</t>
  </si>
  <si>
    <t>(2764)</t>
  </si>
  <si>
    <t>(2765)</t>
  </si>
  <si>
    <t>(2766)</t>
  </si>
  <si>
    <t>(2767)</t>
  </si>
  <si>
    <t>(2497)</t>
  </si>
  <si>
    <t>(2498)</t>
  </si>
  <si>
    <t>(2499)</t>
  </si>
  <si>
    <t>(2500)</t>
  </si>
  <si>
    <t>(2501)</t>
  </si>
  <si>
    <t>(1454)</t>
  </si>
  <si>
    <t>(1455)</t>
  </si>
  <si>
    <t>(1456)</t>
  </si>
  <si>
    <t>(1457)</t>
  </si>
  <si>
    <t>(1424)</t>
  </si>
  <si>
    <t>(1425)</t>
  </si>
  <si>
    <t>(1426)</t>
  </si>
  <si>
    <t>(1427)</t>
  </si>
  <si>
    <t>(1428)</t>
  </si>
  <si>
    <t>(1429)</t>
  </si>
  <si>
    <t>(1430)</t>
  </si>
  <si>
    <t>(3264)</t>
  </si>
  <si>
    <t>(3318)</t>
  </si>
  <si>
    <t>(3319)</t>
  </si>
  <si>
    <t>(3320)</t>
  </si>
  <si>
    <t>(3321)</t>
  </si>
  <si>
    <t>(3322)</t>
  </si>
  <si>
    <t>(3323)</t>
  </si>
  <si>
    <t>(1257)</t>
  </si>
  <si>
    <t>(1258)</t>
  </si>
  <si>
    <t>(1431)</t>
  </si>
  <si>
    <t>(1432)</t>
  </si>
  <si>
    <t>(1433)</t>
  </si>
  <si>
    <t>(1434)</t>
  </si>
  <si>
    <t>(2705)</t>
  </si>
  <si>
    <t>(2706)</t>
  </si>
  <si>
    <t>(2707)</t>
  </si>
  <si>
    <t>(2708)</t>
  </si>
  <si>
    <t>(2709)</t>
  </si>
  <si>
    <t>(2710)</t>
  </si>
  <si>
    <t>(2711)</t>
  </si>
  <si>
    <t>(2712)</t>
  </si>
  <si>
    <t>(2022)</t>
  </si>
  <si>
    <t>(2023)</t>
  </si>
  <si>
    <t>(1643)</t>
  </si>
  <si>
    <t>(1644)</t>
  </si>
  <si>
    <t>(944)</t>
  </si>
  <si>
    <t>(945)</t>
  </si>
  <si>
    <t>(946)</t>
  </si>
  <si>
    <t>(947)</t>
  </si>
  <si>
    <t>(3520)</t>
  </si>
  <si>
    <t>(3521)</t>
  </si>
  <si>
    <t>(3522)</t>
  </si>
  <si>
    <t>(127)</t>
  </si>
  <si>
    <t>(128)</t>
  </si>
  <si>
    <t>(129)</t>
  </si>
  <si>
    <t>(130)</t>
  </si>
  <si>
    <t>(997)</t>
  </si>
  <si>
    <t>(998)</t>
  </si>
  <si>
    <t>(999)</t>
  </si>
  <si>
    <t>(1000)</t>
  </si>
  <si>
    <t>(1001)</t>
  </si>
  <si>
    <t>(3051)</t>
  </si>
  <si>
    <t>(3464)</t>
  </si>
  <si>
    <t>(750)</t>
  </si>
  <si>
    <t>(751)</t>
  </si>
  <si>
    <t>(752)</t>
  </si>
  <si>
    <t>(753)</t>
  </si>
  <si>
    <t>(754)</t>
  </si>
  <si>
    <t>(755)</t>
  </si>
  <si>
    <t>(756)</t>
  </si>
  <si>
    <t>(2880)</t>
  </si>
  <si>
    <t>(2881)</t>
  </si>
  <si>
    <t>(2972)</t>
  </si>
  <si>
    <t>(2973)</t>
  </si>
  <si>
    <t>(3848)</t>
  </si>
  <si>
    <t>(3849)</t>
  </si>
  <si>
    <t>(3850)</t>
  </si>
  <si>
    <t>(3851)</t>
  </si>
  <si>
    <t>(3852)</t>
  </si>
  <si>
    <t>(3853)</t>
  </si>
  <si>
    <t>(3854)</t>
  </si>
  <si>
    <t>(2066)</t>
  </si>
  <si>
    <t>(2248)</t>
  </si>
  <si>
    <t>(2249)</t>
  </si>
  <si>
    <t>(40)</t>
  </si>
  <si>
    <t>(41)</t>
  </si>
  <si>
    <t>(42)</t>
  </si>
  <si>
    <t>(43)</t>
  </si>
  <si>
    <t>(3940)</t>
  </si>
  <si>
    <t>(3941)</t>
  </si>
  <si>
    <t>(1074)</t>
  </si>
  <si>
    <t>(1075)</t>
  </si>
  <si>
    <t>(1076)</t>
  </si>
  <si>
    <t>(1077)</t>
  </si>
  <si>
    <t>(1078)</t>
  </si>
  <si>
    <t>(2118)</t>
  </si>
  <si>
    <t>(2119)</t>
  </si>
  <si>
    <t>(2120)</t>
  </si>
  <si>
    <t>(2382)</t>
  </si>
  <si>
    <t>(2383)</t>
  </si>
  <si>
    <t>(2384)</t>
  </si>
  <si>
    <t>(2385)</t>
  </si>
  <si>
    <t>(2386)</t>
  </si>
  <si>
    <t>(80)</t>
  </si>
  <si>
    <t>(81)</t>
  </si>
  <si>
    <t>(82)</t>
  </si>
  <si>
    <t>(83)</t>
  </si>
  <si>
    <t>(84)</t>
  </si>
  <si>
    <t>(978)</t>
  </si>
  <si>
    <t>(979)</t>
  </si>
  <si>
    <t>(980)</t>
  </si>
  <si>
    <t>(1035)</t>
  </si>
  <si>
    <t>(1036)</t>
  </si>
  <si>
    <t>(1037)</t>
  </si>
  <si>
    <t>(1038)</t>
  </si>
  <si>
    <t>(1708)</t>
  </si>
  <si>
    <t>(1709)</t>
  </si>
  <si>
    <t>(1710)</t>
  </si>
  <si>
    <t>(2089)</t>
  </si>
  <si>
    <t>(2090)</t>
  </si>
  <si>
    <t>(2091)</t>
  </si>
  <si>
    <t>(2092)</t>
  </si>
  <si>
    <t>(2093)</t>
  </si>
  <si>
    <t>(2094)</t>
  </si>
  <si>
    <t>(2060)</t>
  </si>
  <si>
    <t>(2061)</t>
  </si>
  <si>
    <t>(2062)</t>
  </si>
  <si>
    <t>(2063)</t>
  </si>
  <si>
    <t>(2064)</t>
  </si>
  <si>
    <t>(2065)</t>
  </si>
  <si>
    <t>(1217)</t>
  </si>
  <si>
    <t>(1218)</t>
  </si>
  <si>
    <t>(1219)</t>
  </si>
  <si>
    <t>(1220)</t>
  </si>
  <si>
    <t>(1221)</t>
  </si>
  <si>
    <t>(895)</t>
  </si>
  <si>
    <t>(100)</t>
  </si>
  <si>
    <t>(101)</t>
  </si>
  <si>
    <t>(2727)</t>
  </si>
  <si>
    <t>(2728)</t>
  </si>
  <si>
    <t>(2729)</t>
  </si>
  <si>
    <t>(2730)</t>
  </si>
  <si>
    <t>(62)</t>
  </si>
  <si>
    <t>(63)</t>
  </si>
  <si>
    <t>(64)</t>
  </si>
  <si>
    <t>(65)</t>
  </si>
  <si>
    <t>(66)</t>
  </si>
  <si>
    <t>(67)</t>
  </si>
  <si>
    <t>(68)</t>
  </si>
  <si>
    <t>(69)</t>
  </si>
  <si>
    <t>(595)</t>
  </si>
  <si>
    <t>(596)</t>
  </si>
  <si>
    <t>(597)</t>
  </si>
  <si>
    <t>(598)</t>
  </si>
  <si>
    <t>(3138)</t>
  </si>
  <si>
    <t>(3139)</t>
  </si>
  <si>
    <t>(3140)</t>
  </si>
  <si>
    <t>(2687)</t>
  </si>
  <si>
    <t>(2688)</t>
  </si>
  <si>
    <t>(2980)</t>
  </si>
  <si>
    <t>(2981)</t>
  </si>
  <si>
    <t>(2586)</t>
  </si>
  <si>
    <t>(2587)</t>
  </si>
  <si>
    <t>(371)</t>
  </si>
  <si>
    <t>(352)</t>
  </si>
  <si>
    <t>(353)</t>
  </si>
  <si>
    <t>(652)</t>
  </si>
  <si>
    <t>(653)</t>
  </si>
  <si>
    <t>(654)</t>
  </si>
  <si>
    <t>(655)</t>
  </si>
  <si>
    <t>(1839)</t>
  </si>
  <si>
    <t>(1840)</t>
  </si>
  <si>
    <t>(1841)</t>
  </si>
  <si>
    <t>(1842)</t>
  </si>
  <si>
    <t>(1843)</t>
  </si>
  <si>
    <t>(1844)</t>
  </si>
  <si>
    <t>(2269)</t>
  </si>
  <si>
    <t>(3584)</t>
  </si>
  <si>
    <t>(3585)</t>
  </si>
  <si>
    <t>(2903)</t>
  </si>
  <si>
    <t>(1142)</t>
  </si>
  <si>
    <t>(1143)</t>
  </si>
  <si>
    <t>(1361)</t>
  </si>
  <si>
    <t>(1362)</t>
  </si>
  <si>
    <t>(1363)</t>
  </si>
  <si>
    <t>(1364)</t>
  </si>
  <si>
    <t>(1365)</t>
  </si>
  <si>
    <t>(3684)</t>
  </si>
  <si>
    <t>(3685)</t>
  </si>
  <si>
    <t>(3686)</t>
  </si>
  <si>
    <t>(3030)</t>
  </si>
  <si>
    <t>(3031)</t>
  </si>
  <si>
    <t>(3032)</t>
  </si>
  <si>
    <t>(2279)</t>
  </si>
  <si>
    <t>(2280)</t>
  </si>
  <si>
    <t>(278)</t>
  </si>
  <si>
    <t>(279)</t>
  </si>
  <si>
    <t>(280)</t>
  </si>
  <si>
    <t>(281)</t>
  </si>
  <si>
    <t>(282)</t>
  </si>
  <si>
    <t>(283)</t>
  </si>
  <si>
    <t>(1669)</t>
  </si>
  <si>
    <t>(1670)</t>
  </si>
  <si>
    <t>(1671)</t>
  </si>
  <si>
    <t>(1672)</t>
  </si>
  <si>
    <t>(1673)</t>
  </si>
  <si>
    <t>(3773)</t>
  </si>
  <si>
    <t>(3774)</t>
  </si>
  <si>
    <t>(3775)</t>
  </si>
  <si>
    <t>(3793)</t>
  </si>
  <si>
    <t>(3794)</t>
  </si>
  <si>
    <t>(3795)</t>
  </si>
  <si>
    <t>(3796)</t>
  </si>
  <si>
    <t>(3797)</t>
  </si>
  <si>
    <t>(3798)</t>
  </si>
  <si>
    <t>(3799)</t>
  </si>
  <si>
    <t>(2700)</t>
  </si>
  <si>
    <t>(2701)</t>
  </si>
  <si>
    <t>(2702)</t>
  </si>
  <si>
    <t>(2703)</t>
  </si>
  <si>
    <t>(2704)</t>
  </si>
  <si>
    <t>(2182)</t>
  </si>
  <si>
    <t>(2183)</t>
  </si>
  <si>
    <t>(2184)</t>
  </si>
  <si>
    <t>(3615)</t>
  </si>
  <si>
    <t>(3616)</t>
  </si>
  <si>
    <t>(3617)</t>
  </si>
  <si>
    <t>(900)</t>
  </si>
  <si>
    <t>(901)</t>
  </si>
  <si>
    <t>(1681)</t>
  </si>
  <si>
    <t>(1682)</t>
  </si>
  <si>
    <t>(3695)</t>
  </si>
  <si>
    <t>(1773)</t>
  </si>
  <si>
    <t>(1774)</t>
  </si>
  <si>
    <t>(1775)</t>
  </si>
  <si>
    <t>(584)</t>
  </si>
  <si>
    <t>(585)</t>
  </si>
  <si>
    <t>(586)</t>
  </si>
  <si>
    <t>(587)</t>
  </si>
  <si>
    <t>(1764)</t>
  </si>
  <si>
    <t>(1765)</t>
  </si>
  <si>
    <t>(1766)</t>
  </si>
  <si>
    <t>(2305)</t>
  </si>
  <si>
    <t>(2306)</t>
  </si>
  <si>
    <t>(2745)</t>
  </si>
  <si>
    <t>(2746)</t>
  </si>
  <si>
    <t>(2747)</t>
  </si>
  <si>
    <t>(2748)</t>
  </si>
  <si>
    <t>(2754)</t>
  </si>
  <si>
    <t>(2755)</t>
  </si>
  <si>
    <t>(2756)</t>
  </si>
  <si>
    <t>(2757)</t>
  </si>
  <si>
    <t>(2277)</t>
  </si>
  <si>
    <t>(2278)</t>
  </si>
  <si>
    <t>(576)</t>
  </si>
  <si>
    <t>(577)</t>
  </si>
  <si>
    <t>(578)</t>
  </si>
  <si>
    <t>(579)</t>
  </si>
  <si>
    <t>(580)</t>
  </si>
  <si>
    <t>(581)</t>
  </si>
  <si>
    <t>(1545)</t>
  </si>
  <si>
    <t>(1546)</t>
  </si>
  <si>
    <t>(1547)</t>
  </si>
  <si>
    <t>(3635)</t>
  </si>
  <si>
    <t>(3636)</t>
  </si>
  <si>
    <t>(3637)</t>
  </si>
  <si>
    <t>(3638)</t>
  </si>
  <si>
    <t>(3639)</t>
  </si>
  <si>
    <t>(2478)</t>
  </si>
  <si>
    <t>(2479)</t>
  </si>
  <si>
    <t>(2480)</t>
  </si>
  <si>
    <t>(2481)</t>
  </si>
  <si>
    <t>(2482)</t>
  </si>
  <si>
    <t>(2483)</t>
  </si>
  <si>
    <t>(1487)</t>
  </si>
  <si>
    <t>(1488)</t>
  </si>
  <si>
    <t>(1489)</t>
  </si>
  <si>
    <t>(1490)</t>
  </si>
  <si>
    <t>(498)</t>
  </si>
  <si>
    <t>(499)</t>
  </si>
  <si>
    <t>(500)</t>
  </si>
  <si>
    <t>(2219)</t>
  </si>
  <si>
    <t>(2220)</t>
  </si>
  <si>
    <t>(2221)</t>
  </si>
  <si>
    <t>(2039)</t>
  </si>
  <si>
    <t>(2040)</t>
  </si>
  <si>
    <t>(2604)</t>
  </si>
  <si>
    <t>(2605)</t>
  </si>
  <si>
    <t>(2606)</t>
  </si>
  <si>
    <t>(1698)</t>
  </si>
  <si>
    <t>(1699)</t>
  </si>
  <si>
    <t>(1700)</t>
  </si>
  <si>
    <t>(2897)</t>
  </si>
  <si>
    <t>(2451)</t>
  </si>
  <si>
    <t>(2227)</t>
  </si>
  <si>
    <t>(2228)</t>
  </si>
  <si>
    <t>(2229)</t>
  </si>
  <si>
    <t>(2230)</t>
  </si>
  <si>
    <t>(862)</t>
  </si>
  <si>
    <t>(863)</t>
  </si>
  <si>
    <t>(864)</t>
  </si>
  <si>
    <t>(1378)</t>
  </si>
  <si>
    <t>(1379)</t>
  </si>
  <si>
    <t>(1380)</t>
  </si>
  <si>
    <t>(1110)</t>
  </si>
  <si>
    <t>(692)</t>
  </si>
  <si>
    <t>(693)</t>
  </si>
  <si>
    <t>(694)</t>
  </si>
  <si>
    <t>(695)</t>
  </si>
  <si>
    <t>(696)</t>
  </si>
  <si>
    <t>(445)</t>
  </si>
  <si>
    <t>(446)</t>
  </si>
  <si>
    <t>(447)</t>
  </si>
  <si>
    <t>(448)</t>
  </si>
  <si>
    <t>(763)</t>
  </si>
  <si>
    <t>(764)</t>
  </si>
  <si>
    <t>(765)</t>
  </si>
  <si>
    <t>(766)</t>
  </si>
  <si>
    <t>(767)</t>
  </si>
  <si>
    <t>(2610)</t>
  </si>
  <si>
    <t>(2611)</t>
  </si>
  <si>
    <t>(2612)</t>
  </si>
  <si>
    <t>(3926)</t>
  </si>
  <si>
    <t>(3927)</t>
  </si>
  <si>
    <t>(1794)</t>
  </si>
  <si>
    <t>(1795)</t>
  </si>
  <si>
    <t>(1796)</t>
  </si>
  <si>
    <t>(1797)</t>
  </si>
  <si>
    <t>(1998)</t>
  </si>
  <si>
    <t>(1999)</t>
  </si>
  <si>
    <t>(3496)</t>
  </si>
  <si>
    <t>(3497)</t>
  </si>
  <si>
    <t>(3498)</t>
  </si>
  <si>
    <t>(3499)</t>
  </si>
  <si>
    <t>(3103)</t>
  </si>
  <si>
    <t>(3104)</t>
  </si>
  <si>
    <t>(3105)</t>
  </si>
  <si>
    <t>(3106)</t>
  </si>
  <si>
    <t>(3107)</t>
  </si>
  <si>
    <t>(3108)</t>
  </si>
  <si>
    <t>(3109)</t>
  </si>
  <si>
    <t>(3110)</t>
  </si>
  <si>
    <t>(3259)</t>
  </si>
  <si>
    <t>(3260)</t>
  </si>
  <si>
    <t>(1701)</t>
  </si>
  <si>
    <t>(3481)</t>
  </si>
  <si>
    <t>(3482)</t>
  </si>
  <si>
    <t>(3483)</t>
  </si>
  <si>
    <t>(3484)</t>
  </si>
  <si>
    <t>(3298)</t>
  </si>
  <si>
    <t>(1702)</t>
  </si>
  <si>
    <t>(1703)</t>
  </si>
  <si>
    <t>(1704)</t>
  </si>
  <si>
    <t>(456)</t>
  </si>
  <si>
    <t>(2121)</t>
  </si>
  <si>
    <t>(2122)</t>
  </si>
  <si>
    <t>(2123)</t>
  </si>
  <si>
    <t>(2713)</t>
  </si>
  <si>
    <t>(2714)</t>
  </si>
  <si>
    <t>(3865)</t>
  </si>
  <si>
    <t>(3866)</t>
  </si>
  <si>
    <t>(3867)</t>
  </si>
  <si>
    <t>(3868)</t>
  </si>
  <si>
    <t>(3869)</t>
  </si>
  <si>
    <t>(2107)</t>
  </si>
  <si>
    <t>(2108)</t>
  </si>
  <si>
    <t>(2109)</t>
  </si>
  <si>
    <t>(1663)</t>
  </si>
  <si>
    <t>(1664)</t>
  </si>
  <si>
    <t>(2504)</t>
  </si>
  <si>
    <t>(2505)</t>
  </si>
  <si>
    <t>(2786)</t>
  </si>
  <si>
    <t>(3430)</t>
  </si>
  <si>
    <t>(3431)</t>
  </si>
  <si>
    <t>(3432)</t>
  </si>
  <si>
    <t>(3433)</t>
  </si>
  <si>
    <t>(1931)</t>
  </si>
  <si>
    <t>(1932)</t>
  </si>
  <si>
    <t>(1933)</t>
  </si>
  <si>
    <t>(1389)</t>
  </si>
  <si>
    <t>(1390)</t>
  </si>
  <si>
    <t>(1391)</t>
  </si>
  <si>
    <t>(3490)</t>
  </si>
  <si>
    <t>(1104)</t>
  </si>
  <si>
    <t>(1105)</t>
  </si>
  <si>
    <t>(1567)</t>
  </si>
  <si>
    <t>(1568)</t>
  </si>
  <si>
    <t>(1569)</t>
  </si>
  <si>
    <t>(681)</t>
  </si>
  <si>
    <t>(682)</t>
  </si>
  <si>
    <t>(1213)</t>
  </si>
  <si>
    <t>(1214)</t>
  </si>
  <si>
    <t>(837)</t>
  </si>
  <si>
    <t>(838)</t>
  </si>
  <si>
    <t>(839)</t>
  </si>
  <si>
    <t>(840)</t>
  </si>
  <si>
    <t>(3758)</t>
  </si>
  <si>
    <t>(3759)</t>
  </si>
  <si>
    <t>(219)</t>
  </si>
  <si>
    <t>(220)</t>
  </si>
  <si>
    <t>(1025)</t>
  </si>
  <si>
    <t>(1026)</t>
  </si>
  <si>
    <t>(1027)</t>
  </si>
  <si>
    <t>(2006)</t>
  </si>
  <si>
    <t>(2007)</t>
  </si>
  <si>
    <t>(3710)</t>
  </si>
  <si>
    <t>(3711)</t>
  </si>
  <si>
    <t>(3712)</t>
  </si>
  <si>
    <t>(3713)</t>
  </si>
  <si>
    <t>(3714)</t>
  </si>
  <si>
    <t>(3715)</t>
  </si>
  <si>
    <t>(3217)</t>
  </si>
  <si>
    <t>(3218)</t>
  </si>
  <si>
    <t>(3219)</t>
  </si>
  <si>
    <t>(742)</t>
  </si>
  <si>
    <t>(743)</t>
  </si>
  <si>
    <t>(744)</t>
  </si>
  <si>
    <t>(3354)</t>
  </si>
  <si>
    <t>(3355)</t>
  </si>
  <si>
    <t>(3356)</t>
  </si>
  <si>
    <t>(593)</t>
  </si>
  <si>
    <t>(594)</t>
  </si>
  <si>
    <t>(432)</t>
  </si>
  <si>
    <t>(433)</t>
  </si>
  <si>
    <t>(434)</t>
  </si>
  <si>
    <t>(3665)</t>
  </si>
  <si>
    <t>(3666)</t>
  </si>
  <si>
    <t>(3667)</t>
  </si>
  <si>
    <t>(3668)</t>
  </si>
  <si>
    <t>(3408)</t>
  </si>
  <si>
    <t>(3409)</t>
  </si>
  <si>
    <t>(3410)</t>
  </si>
  <si>
    <t>(2556)</t>
  </si>
  <si>
    <t>(2557)</t>
  </si>
  <si>
    <t>(9)</t>
  </si>
  <si>
    <t>(10)</t>
  </si>
  <si>
    <t>(11)</t>
  </si>
  <si>
    <t>(3564)</t>
  </si>
  <si>
    <t>(3565)</t>
  </si>
  <si>
    <t>(3566)</t>
  </si>
  <si>
    <t>(3567)</t>
  </si>
  <si>
    <t>(1178)</t>
  </si>
  <si>
    <t>(1179)</t>
  </si>
  <si>
    <t>(1180)</t>
  </si>
  <si>
    <t>(1181)</t>
  </si>
  <si>
    <t>(1182)</t>
  </si>
  <si>
    <t>(3500)</t>
  </si>
  <si>
    <t>(3501)</t>
  </si>
  <si>
    <t>(3502)</t>
  </si>
  <si>
    <t>(730)</t>
  </si>
  <si>
    <t>(731)</t>
  </si>
  <si>
    <t>(732)</t>
  </si>
  <si>
    <t>(733)</t>
  </si>
  <si>
    <t>(1192)</t>
  </si>
  <si>
    <t>(1193)</t>
  </si>
  <si>
    <t>(1194)</t>
  </si>
  <si>
    <t>(3134)</t>
  </si>
  <si>
    <t>(3135)</t>
  </si>
  <si>
    <t>(2720)</t>
  </si>
  <si>
    <t>(908)</t>
  </si>
  <si>
    <t>(909)</t>
  </si>
  <si>
    <t>(910)</t>
  </si>
  <si>
    <t>(911)</t>
  </si>
  <si>
    <t>(912)</t>
  </si>
  <si>
    <t>(3956)</t>
  </si>
  <si>
    <t>(3474)</t>
  </si>
  <si>
    <t>(3475)</t>
  </si>
  <si>
    <t>(1962)</t>
  </si>
  <si>
    <t>(1963)</t>
  </si>
  <si>
    <t>(1964)</t>
  </si>
  <si>
    <t>(1965)</t>
  </si>
  <si>
    <t>(1157)</t>
  </si>
  <si>
    <t>(1158)</t>
  </si>
  <si>
    <t>(1183)</t>
  </si>
  <si>
    <t>(1184)</t>
  </si>
  <si>
    <t>(1185)</t>
  </si>
  <si>
    <t>(1186)</t>
  </si>
  <si>
    <t>(1187)</t>
  </si>
  <si>
    <t>(1188)</t>
  </si>
  <si>
    <t>(1189)</t>
  </si>
  <si>
    <t>(1190)</t>
  </si>
  <si>
    <t>(2789)</t>
  </si>
  <si>
    <t>(2790)</t>
  </si>
  <si>
    <t>(2791)</t>
  </si>
  <si>
    <t>(2792)</t>
  </si>
  <si>
    <t>(3841)</t>
  </si>
  <si>
    <t>(1869)</t>
  </si>
  <si>
    <t>(1870)</t>
  </si>
  <si>
    <t>(1305)</t>
  </si>
  <si>
    <t>(3033)</t>
  </si>
  <si>
    <t>(3034)</t>
  </si>
  <si>
    <t>(3035)</t>
  </si>
  <si>
    <t>(3036)</t>
  </si>
  <si>
    <t>(3037)</t>
  </si>
  <si>
    <t>(3038)</t>
  </si>
  <si>
    <t>(3039)</t>
  </si>
  <si>
    <t>(3040)</t>
  </si>
  <si>
    <t>(2124)</t>
  </si>
  <si>
    <t>(1928)</t>
  </si>
  <si>
    <t>(1929)</t>
  </si>
  <si>
    <t>(1930)</t>
  </si>
  <si>
    <t>(3816)</t>
  </si>
  <si>
    <t>(3817)</t>
  </si>
  <si>
    <t>(2829)</t>
  </si>
  <si>
    <t>(2830)</t>
  </si>
  <si>
    <t>(2831)</t>
  </si>
  <si>
    <t>(238)</t>
  </si>
  <si>
    <t>(239)</t>
  </si>
  <si>
    <t>(1282)</t>
  </si>
  <si>
    <t>(1283)</t>
  </si>
  <si>
    <t>(2019)</t>
  </si>
  <si>
    <t>(2020)</t>
  </si>
  <si>
    <t>(2021)</t>
  </si>
  <si>
    <t>(1205)</t>
  </si>
  <si>
    <t>(1206)</t>
  </si>
  <si>
    <t>(1207)</t>
  </si>
  <si>
    <t>(1208)</t>
  </si>
  <si>
    <t>(1209)</t>
  </si>
  <si>
    <t>(1760)</t>
  </si>
  <si>
    <t>(1761)</t>
  </si>
  <si>
    <t>(1762)</t>
  </si>
  <si>
    <t>(1763)</t>
  </si>
  <si>
    <t>(1891)</t>
  </si>
  <si>
    <t>(1892)</t>
  </si>
  <si>
    <t>(1893)</t>
  </si>
  <si>
    <t>(1894)</t>
  </si>
  <si>
    <t>(1517)</t>
  </si>
  <si>
    <t>(1518)</t>
  </si>
  <si>
    <t>(1519)</t>
  </si>
  <si>
    <t>(1520)</t>
  </si>
  <si>
    <t>(1521)</t>
  </si>
  <si>
    <t>(835)</t>
  </si>
  <si>
    <t>(836)</t>
  </si>
  <si>
    <t>(2493)</t>
  </si>
  <si>
    <t>(2494)</t>
  </si>
  <si>
    <t>(2495)</t>
  </si>
  <si>
    <t>(2496)</t>
  </si>
  <si>
    <t>(3646)</t>
  </si>
  <si>
    <t>(3647)</t>
  </si>
  <si>
    <t>(3648)</t>
  </si>
  <si>
    <t>(1649)</t>
  </si>
  <si>
    <t>(1650)</t>
  </si>
  <si>
    <t>(2613)</t>
  </si>
  <si>
    <t>(2614)</t>
  </si>
  <si>
    <t>(2435)</t>
  </si>
  <si>
    <t>(3085)</t>
  </si>
  <si>
    <t>(3086)</t>
  </si>
  <si>
    <t>(3087)</t>
  </si>
  <si>
    <t>(3088)</t>
  </si>
  <si>
    <t>(2327)</t>
  </si>
  <si>
    <t>(2328)</t>
  </si>
  <si>
    <t>(2329)</t>
  </si>
  <si>
    <t>(3132)</t>
  </si>
  <si>
    <t>(3133)</t>
  </si>
  <si>
    <t>(3612)</t>
  </si>
  <si>
    <t>(3613)</t>
  </si>
  <si>
    <t>(3614)</t>
  </si>
  <si>
    <t>(993)</t>
  </si>
  <si>
    <t>(994)</t>
  </si>
  <si>
    <t>(995)</t>
  </si>
  <si>
    <t>(2193)</t>
  </si>
  <si>
    <t>(2194)</t>
  </si>
  <si>
    <t>(2195)</t>
  </si>
  <si>
    <t>(2196)</t>
  </si>
  <si>
    <t>(2197)</t>
  </si>
  <si>
    <t>(2198)</t>
  </si>
  <si>
    <t>(2199)</t>
  </si>
  <si>
    <t>(2200)</t>
  </si>
  <si>
    <t>(2945)</t>
  </si>
  <si>
    <t>(2946)</t>
  </si>
  <si>
    <t>(2947)</t>
  </si>
  <si>
    <t>(542)</t>
  </si>
  <si>
    <t>(543)</t>
  </si>
  <si>
    <t>(544)</t>
  </si>
  <si>
    <t>(1803)</t>
  </si>
  <si>
    <t>(1804)</t>
  </si>
  <si>
    <t>(1805)</t>
  </si>
  <si>
    <t>(1279)</t>
  </si>
  <si>
    <t>(1280)</t>
  </si>
  <si>
    <t>(1281)</t>
  </si>
  <si>
    <t>(3270)</t>
  </si>
  <si>
    <t>(1995)</t>
  </si>
  <si>
    <t>(1996)</t>
  </si>
  <si>
    <t>(1997)</t>
  </si>
  <si>
    <t>(3452)</t>
  </si>
  <si>
    <t>(3453)</t>
  </si>
  <si>
    <t>(2373)</t>
  </si>
  <si>
    <t>(1953)</t>
  </si>
  <si>
    <t>(1954)</t>
  </si>
  <si>
    <t>(1374)</t>
  </si>
  <si>
    <t>(1375)</t>
  </si>
  <si>
    <t>(1376)</t>
  </si>
  <si>
    <t>(1377)</t>
  </si>
  <si>
    <t>(1936)</t>
  </si>
  <si>
    <t>(1937)</t>
  </si>
  <si>
    <t>(1938)</t>
  </si>
  <si>
    <t>(1939)</t>
  </si>
  <si>
    <t>(1940)</t>
  </si>
  <si>
    <t>(1740)</t>
  </si>
  <si>
    <t>(1741)</t>
  </si>
  <si>
    <t>(3470)</t>
  </si>
  <si>
    <t>(3471)</t>
  </si>
  <si>
    <t>(2281)</t>
  </si>
  <si>
    <t>(2282)</t>
  </si>
  <si>
    <t>(2283)</t>
  </si>
  <si>
    <t>(2284)</t>
  </si>
  <si>
    <t>(955)</t>
  </si>
  <si>
    <t>(2607)</t>
  </si>
  <si>
    <t>(2608)</t>
  </si>
  <si>
    <t>(2609)</t>
  </si>
  <si>
    <t>(1565)</t>
  </si>
  <si>
    <t>(1566)</t>
  </si>
  <si>
    <t>(1245)</t>
  </si>
  <si>
    <t>(1246)</t>
  </si>
  <si>
    <t>(1247)</t>
  </si>
  <si>
    <t>(1248)</t>
  </si>
  <si>
    <t>(1249)</t>
  </si>
  <si>
    <t>(1250)</t>
  </si>
  <si>
    <t>(1360)</t>
  </si>
  <si>
    <t>(3655)</t>
  </si>
  <si>
    <t>(3656)</t>
  </si>
  <si>
    <t>(3904)</t>
  </si>
  <si>
    <t>(3905)</t>
  </si>
  <si>
    <t>(3906)</t>
  </si>
  <si>
    <t>(2300)</t>
  </si>
  <si>
    <t>(3766)</t>
  </si>
  <si>
    <t>(3767)</t>
  </si>
  <si>
    <t>(3324)</t>
  </si>
  <si>
    <t>(3325)</t>
  </si>
  <si>
    <t>(3326)</t>
  </si>
  <si>
    <t>(3327)</t>
  </si>
  <si>
    <t>(3328)</t>
  </si>
  <si>
    <t>(3398)</t>
  </si>
  <si>
    <t>(3399)</t>
  </si>
  <si>
    <t>(3400)</t>
  </si>
  <si>
    <t>(3401)</t>
  </si>
  <si>
    <t>(3402)</t>
  </si>
  <si>
    <t>(3403)</t>
  </si>
  <si>
    <t>(2301)</t>
  </si>
  <si>
    <t>(2302)</t>
  </si>
  <si>
    <t>(2303)</t>
  </si>
  <si>
    <t>(2304)</t>
  </si>
  <si>
    <t>(833)</t>
  </si>
  <si>
    <t>(834)</t>
  </si>
  <si>
    <t>(1577)</t>
  </si>
  <si>
    <t>(1578)</t>
  </si>
  <si>
    <t>(1579)</t>
  </si>
  <si>
    <t>(1685)</t>
  </si>
  <si>
    <t>(1686)</t>
  </si>
  <si>
    <t>(896)</t>
  </si>
  <si>
    <t>(898)</t>
  </si>
  <si>
    <t>(3211)</t>
  </si>
  <si>
    <t>(344)</t>
  </si>
  <si>
    <t>(351)</t>
  </si>
  <si>
    <t>(2960)</t>
  </si>
  <si>
    <t>(2961)</t>
  </si>
  <si>
    <t>(2962)</t>
  </si>
  <si>
    <t>(2695)</t>
  </si>
  <si>
    <t>(2696)</t>
  </si>
  <si>
    <t>(2697)</t>
  </si>
  <si>
    <t>(2698)</t>
  </si>
  <si>
    <t>(2699)</t>
  </si>
  <si>
    <t>(3950)</t>
  </si>
  <si>
    <t>(3951)</t>
  </si>
  <si>
    <t>(3952)</t>
  </si>
  <si>
    <t>(3280)</t>
  </si>
  <si>
    <t>(3281)</t>
  </si>
  <si>
    <t>(1053)</t>
  </si>
  <si>
    <t>(1054)</t>
  </si>
  <si>
    <t>(1055)</t>
  </si>
  <si>
    <t>(1056)</t>
  </si>
  <si>
    <t>(1057)</t>
  </si>
  <si>
    <t>(1058)</t>
  </si>
  <si>
    <t>(1845)</t>
  </si>
  <si>
    <t>(1846)</t>
  </si>
  <si>
    <t>(2522)</t>
  </si>
  <si>
    <t>(2523)</t>
  </si>
  <si>
    <t>(2524)</t>
  </si>
  <si>
    <t>(2525)</t>
  </si>
  <si>
    <t>(3077)</t>
  </si>
  <si>
    <t>(3078)</t>
  </si>
  <si>
    <t>(3079)</t>
  </si>
  <si>
    <t>(3338)</t>
  </si>
  <si>
    <t>(3339)</t>
  </si>
  <si>
    <t>(3340)</t>
  </si>
  <si>
    <t>(3341)</t>
  </si>
  <si>
    <t>(3342)</t>
  </si>
  <si>
    <t>(3343)</t>
  </si>
  <si>
    <t>(3344)</t>
  </si>
  <si>
    <t>(3345)</t>
  </si>
  <si>
    <t>(645)</t>
  </si>
  <si>
    <t>(651)</t>
  </si>
  <si>
    <t>(3875)</t>
  </si>
  <si>
    <t>(3876)</t>
  </si>
  <si>
    <t>(3877)</t>
  </si>
  <si>
    <t>(3507)</t>
  </si>
  <si>
    <t>(3508)</t>
  </si>
  <si>
    <t>(3509)</t>
  </si>
  <si>
    <t>(3510)</t>
  </si>
  <si>
    <t>(3511)</t>
  </si>
  <si>
    <t>(3755)</t>
  </si>
  <si>
    <t>(3756)</t>
  </si>
  <si>
    <t>(3757)</t>
  </si>
  <si>
    <t>(661)</t>
  </si>
  <si>
    <t>(662)</t>
  </si>
  <si>
    <t>(582)</t>
  </si>
  <si>
    <t>(583)</t>
  </si>
  <si>
    <t>(3360)</t>
  </si>
  <si>
    <t>(3361)</t>
  </si>
  <si>
    <t>(3362)</t>
  </si>
  <si>
    <t>(768)</t>
  </si>
  <si>
    <t>(769)</t>
  </si>
  <si>
    <t>(770)</t>
  </si>
  <si>
    <t>(771)</t>
  </si>
  <si>
    <t>(1070)</t>
  </si>
  <si>
    <t>(1071)</t>
  </si>
  <si>
    <t>(1072)</t>
  </si>
  <si>
    <t>(1073)</t>
  </si>
  <si>
    <t>(1332)</t>
  </si>
  <si>
    <t>(1333)</t>
  </si>
  <si>
    <t>(1334)</t>
  </si>
  <si>
    <t>(992)</t>
  </si>
  <si>
    <t>(1139)</t>
  </si>
  <si>
    <t>(1140)</t>
  </si>
  <si>
    <t>(1141)</t>
  </si>
  <si>
    <t>(1889)</t>
  </si>
  <si>
    <t>(1890)</t>
  </si>
  <si>
    <t>(2412)</t>
  </si>
  <si>
    <t>(2413)</t>
  </si>
  <si>
    <t>(2414)</t>
  </si>
  <si>
    <t>(2415)</t>
  </si>
  <si>
    <t>(2416)</t>
  </si>
  <si>
    <t>(749)</t>
  </si>
  <si>
    <t>(1860)</t>
  </si>
  <si>
    <t>(1861)</t>
  </si>
  <si>
    <t>(1404)</t>
  </si>
  <si>
    <t>(1405)</t>
  </si>
  <si>
    <t>(1406)</t>
  </si>
  <si>
    <t>(1407)</t>
  </si>
  <si>
    <t>(2803)</t>
  </si>
  <si>
    <t>(2804)</t>
  </si>
  <si>
    <t>(2805)</t>
  </si>
  <si>
    <t>(2806)</t>
  </si>
  <si>
    <t>(2807)</t>
  </si>
  <si>
    <t>(2808)</t>
  </si>
  <si>
    <t>(2979)</t>
  </si>
  <si>
    <t>(1975)</t>
  </si>
  <si>
    <t>(1976)</t>
  </si>
  <si>
    <t>(1977)</t>
  </si>
  <si>
    <t>(1978)</t>
  </si>
  <si>
    <t>(1979)</t>
  </si>
  <si>
    <t>(1980)</t>
  </si>
  <si>
    <t>(1981)</t>
  </si>
  <si>
    <t>(3518)</t>
  </si>
  <si>
    <t>(3519)</t>
  </si>
  <si>
    <t>(2685)</t>
  </si>
  <si>
    <t>(2686)</t>
  </si>
  <si>
    <t>(3293)</t>
  </si>
  <si>
    <t>(3294)</t>
  </si>
  <si>
    <t>(3295)</t>
  </si>
  <si>
    <t>(1308)</t>
  </si>
  <si>
    <t>(1309)</t>
  </si>
  <si>
    <t>(1310)</t>
  </si>
  <si>
    <t>(1311)</t>
  </si>
  <si>
    <t>(1203)</t>
  </si>
  <si>
    <t>(1204)</t>
  </si>
  <si>
    <t>(3540)</t>
  </si>
  <si>
    <t>(3541)</t>
  </si>
  <si>
    <t>(3542)</t>
  </si>
  <si>
    <t>(3543)</t>
  </si>
  <si>
    <t>(3544)</t>
  </si>
  <si>
    <t>(548)</t>
  </si>
  <si>
    <t>(549)</t>
  </si>
  <si>
    <t>(3006)</t>
  </si>
  <si>
    <t>(3007)</t>
  </si>
  <si>
    <t>(3008)</t>
  </si>
  <si>
    <t>(3009)</t>
  </si>
  <si>
    <t>(3010)</t>
  </si>
  <si>
    <t>(3011)</t>
  </si>
  <si>
    <t>(2721)</t>
  </si>
  <si>
    <t>(2722)</t>
  </si>
  <si>
    <t>(2723)</t>
  </si>
  <si>
    <t>(737)</t>
  </si>
  <si>
    <t>(3052)</t>
  </si>
  <si>
    <t>(3053)</t>
  </si>
  <si>
    <t>(3054)</t>
  </si>
  <si>
    <t>(2454)</t>
  </si>
  <si>
    <t>(2455)</t>
  </si>
  <si>
    <t>(2456)</t>
  </si>
  <si>
    <t>(2641)</t>
  </si>
  <si>
    <t>(2387)</t>
  </si>
  <si>
    <t>(2388)</t>
  </si>
  <si>
    <t>(2389)</t>
  </si>
  <si>
    <t>(2390)</t>
  </si>
  <si>
    <t>(1728)</t>
  </si>
  <si>
    <t>(1729)</t>
  </si>
  <si>
    <t>(968)</t>
  </si>
  <si>
    <t>(969)</t>
  </si>
  <si>
    <t>(3661)</t>
  </si>
  <si>
    <t>(3662)</t>
  </si>
  <si>
    <t>(3663)</t>
  </si>
  <si>
    <t>(3664)</t>
  </si>
  <si>
    <t>(2905)</t>
  </si>
  <si>
    <t>(2906)</t>
  </si>
  <si>
    <t>(2907)</t>
  </si>
  <si>
    <t>(2908)</t>
  </si>
  <si>
    <t>(2909)</t>
  </si>
  <si>
    <t>(2910)</t>
  </si>
  <si>
    <t>(2911)</t>
  </si>
  <si>
    <t>(3654)</t>
  </si>
  <si>
    <t>(588)</t>
  </si>
  <si>
    <t>(2411)</t>
  </si>
  <si>
    <t>(1746)</t>
  </si>
  <si>
    <t>(1747)</t>
  </si>
  <si>
    <t>(1748)</t>
  </si>
  <si>
    <t>(1749)</t>
  </si>
  <si>
    <t>(1468)</t>
  </si>
  <si>
    <t>(1469)</t>
  </si>
  <si>
    <t>(1470)</t>
  </si>
  <si>
    <t>(1471)</t>
  </si>
  <si>
    <t>(2391)</t>
  </si>
  <si>
    <t>(2392)</t>
  </si>
  <si>
    <t>(2974)</t>
  </si>
  <si>
    <t>(2975)</t>
  </si>
  <si>
    <t>(2976)</t>
  </si>
  <si>
    <t>(2977)</t>
  </si>
  <si>
    <t>(2978)</t>
  </si>
  <si>
    <t>(1687)</t>
  </si>
  <si>
    <t>(1688)</t>
  </si>
  <si>
    <t>(1615)</t>
  </si>
  <si>
    <t>(1616)</t>
  </si>
  <si>
    <t>(1617)</t>
  </si>
  <si>
    <t>(1618)</t>
  </si>
  <si>
    <t>(1619)</t>
  </si>
  <si>
    <t>(1620)</t>
  </si>
  <si>
    <t>(1621)</t>
  </si>
  <si>
    <t>(1916)</t>
  </si>
  <si>
    <t>(1917)</t>
  </si>
  <si>
    <t>(1918)</t>
  </si>
  <si>
    <t>(1919)</t>
  </si>
  <si>
    <t>(2854)</t>
  </si>
  <si>
    <t>(2855)</t>
  </si>
  <si>
    <t>(2856)</t>
  </si>
  <si>
    <t>(2857)</t>
  </si>
  <si>
    <t>(3812)</t>
  </si>
  <si>
    <t>(3813)</t>
  </si>
  <si>
    <t>(3814)</t>
  </si>
  <si>
    <t>(3815)</t>
  </si>
  <si>
    <t>(2532)</t>
  </si>
  <si>
    <t>(2533)</t>
  </si>
  <si>
    <t>(2534)</t>
  </si>
  <si>
    <t>(2535)</t>
  </si>
  <si>
    <t>(2536)</t>
  </si>
  <si>
    <t>(3019)</t>
  </si>
  <si>
    <t>(3020)</t>
  </si>
  <si>
    <t>(2642)</t>
  </si>
  <si>
    <t>(2643)</t>
  </si>
  <si>
    <t>(2644)</t>
  </si>
  <si>
    <t>(3406)</t>
  </si>
  <si>
    <t>(3407)</t>
  </si>
  <si>
    <t>(3673)</t>
  </si>
  <si>
    <t>(3674)</t>
  </si>
  <si>
    <t>(3675)</t>
  </si>
  <si>
    <t>(2942)</t>
  </si>
  <si>
    <t>(1093)</t>
  </si>
  <si>
    <t>(1094)</t>
  </si>
  <si>
    <t>(1730)</t>
  </si>
  <si>
    <t>(2084)</t>
  </si>
  <si>
    <t>(2085)</t>
  </si>
  <si>
    <t>(2086)</t>
  </si>
  <si>
    <t>(2087)</t>
  </si>
  <si>
    <t>(2088)</t>
  </si>
  <si>
    <t>(2751)</t>
  </si>
  <si>
    <t>(2752)</t>
  </si>
  <si>
    <t>(2753)</t>
  </si>
  <si>
    <t>(2904)</t>
  </si>
  <si>
    <t>(823)</t>
  </si>
  <si>
    <t>(2238)</t>
  </si>
  <si>
    <t>(2239)</t>
  </si>
  <si>
    <t>(3096)</t>
  </si>
  <si>
    <t>(1092)</t>
  </si>
  <si>
    <t>(2163)</t>
  </si>
  <si>
    <t>(2164)</t>
  </si>
  <si>
    <t>(2165)</t>
  </si>
  <si>
    <t>(2166)</t>
  </si>
  <si>
    <t>(2167)</t>
  </si>
  <si>
    <t>(810)</t>
  </si>
  <si>
    <t>(811)</t>
  </si>
  <si>
    <t>(2310)</t>
  </si>
  <si>
    <t>(2311)</t>
  </si>
  <si>
    <t>(1126)</t>
  </si>
  <si>
    <t>(1127)</t>
  </si>
  <si>
    <t>(1128)</t>
  </si>
  <si>
    <t>(1154)</t>
  </si>
  <si>
    <t>(1155)</t>
  </si>
  <si>
    <t>(1156)</t>
  </si>
  <si>
    <t>(1485)</t>
  </si>
  <si>
    <t>(1486)</t>
  </si>
  <si>
    <t>(3116)</t>
  </si>
  <si>
    <t>(3203)</t>
  </si>
  <si>
    <t>(3204)</t>
  </si>
  <si>
    <t>(3205)</t>
  </si>
  <si>
    <t>(1596)</t>
  </si>
  <si>
    <t>(1597)</t>
  </si>
  <si>
    <t>(1598)</t>
  </si>
  <si>
    <t>(3928)</t>
  </si>
  <si>
    <t>(3929)</t>
  </si>
  <si>
    <t>(2153)</t>
  </si>
  <si>
    <t>(2168)</t>
  </si>
  <si>
    <t>(2169)</t>
  </si>
  <si>
    <t>(2170)</t>
  </si>
  <si>
    <t>(1441)</t>
  </si>
  <si>
    <t>(1442)</t>
  </si>
  <si>
    <t>(1443)</t>
  </si>
  <si>
    <t>(1444)</t>
  </si>
  <si>
    <t>(1043)</t>
  </si>
  <si>
    <t>(1044)</t>
  </si>
  <si>
    <t>(1045)</t>
  </si>
  <si>
    <t>(1348)</t>
  </si>
  <si>
    <t>(1349)</t>
  </si>
  <si>
    <t>(1386)</t>
  </si>
  <si>
    <t>(1387)</t>
  </si>
  <si>
    <t>(1232)</t>
  </si>
  <si>
    <t>(1233)</t>
  </si>
  <si>
    <t>(1234)</t>
  </si>
  <si>
    <t>(1235)</t>
  </si>
  <si>
    <t>(3271)</t>
  </si>
  <si>
    <t>(3272)</t>
  </si>
  <si>
    <t>(3273)</t>
  </si>
  <si>
    <t>(1606)</t>
  </si>
  <si>
    <t>(1607)</t>
  </si>
  <si>
    <t>(1608)</t>
  </si>
  <si>
    <t>(1609)</t>
  </si>
  <si>
    <t>(2357)</t>
  </si>
  <si>
    <t>(2358)</t>
  </si>
  <si>
    <t>(3000)</t>
  </si>
  <si>
    <t>(3001)</t>
  </si>
  <si>
    <t>(3002)</t>
  </si>
  <si>
    <t>(2426)</t>
  </si>
  <si>
    <t>(2427)</t>
  </si>
  <si>
    <t>(2428)</t>
  </si>
  <si>
    <t>(3146)</t>
  </si>
  <si>
    <t>(3147)</t>
  </si>
  <si>
    <t>(530)</t>
  </si>
  <si>
    <t>(531)</t>
  </si>
  <si>
    <t>(1300)</t>
  </si>
  <si>
    <t>(1301)</t>
  </si>
  <si>
    <t>(1302)</t>
  </si>
  <si>
    <t>(1303)</t>
  </si>
  <si>
    <t>(1304)</t>
  </si>
  <si>
    <t>(3166)</t>
  </si>
  <si>
    <t>(3167)</t>
  </si>
  <si>
    <t>(1114)</t>
  </si>
  <si>
    <t>(1115)</t>
  </si>
  <si>
    <t>(1116)</t>
  </si>
  <si>
    <t>(1356)</t>
  </si>
  <si>
    <t>(1357)</t>
  </si>
  <si>
    <t>(1358)</t>
  </si>
  <si>
    <t>(1359)</t>
  </si>
  <si>
    <t>(1736)</t>
  </si>
  <si>
    <t>(1737)</t>
  </si>
  <si>
    <t>(1738)</t>
  </si>
  <si>
    <t>(1739)</t>
  </si>
  <si>
    <t>(3117)</t>
  </si>
  <si>
    <t>(3118)</t>
  </si>
  <si>
    <t>(3119)</t>
  </si>
  <si>
    <t>(3120)</t>
  </si>
  <si>
    <t>(2565)</t>
  </si>
  <si>
    <t>(2566)</t>
  </si>
  <si>
    <t>(1661)</t>
  </si>
  <si>
    <t>(1662)</t>
  </si>
  <si>
    <t>(1392)</t>
  </si>
  <si>
    <t>(1393)</t>
  </si>
  <si>
    <t>(1394)</t>
  </si>
  <si>
    <t>(1395)</t>
  </si>
  <si>
    <t>(1396)</t>
  </si>
  <si>
    <t>(1397)</t>
  </si>
  <si>
    <t>(1398)</t>
  </si>
  <si>
    <t>(3329)</t>
  </si>
  <si>
    <t>(3330)</t>
  </si>
  <si>
    <t>(3331)</t>
  </si>
  <si>
    <t>(3332)</t>
  </si>
  <si>
    <t>(2526)</t>
  </si>
  <si>
    <t>(3179)</t>
  </si>
  <si>
    <t>(3180)</t>
  </si>
  <si>
    <t>(3181)</t>
  </si>
  <si>
    <t>(3770)</t>
  </si>
  <si>
    <t>(3771)</t>
  </si>
  <si>
    <t>(3772)</t>
  </si>
  <si>
    <t>(1095)</t>
  </si>
  <si>
    <t>(2011)</t>
  </si>
  <si>
    <t>(2012)</t>
  </si>
  <si>
    <t>(2013)</t>
  </si>
  <si>
    <t>(2014)</t>
  </si>
  <si>
    <t>(2015)</t>
  </si>
  <si>
    <t>(2016)</t>
  </si>
  <si>
    <t>(2017)</t>
  </si>
  <si>
    <t>(3533)</t>
  </si>
  <si>
    <t>(3534)</t>
  </si>
  <si>
    <t>(3535)</t>
  </si>
  <si>
    <t>(683)</t>
  </si>
  <si>
    <t>(2898)</t>
  </si>
  <si>
    <t>(2899)</t>
  </si>
  <si>
    <t>(2900)</t>
  </si>
  <si>
    <t>(2901)</t>
  </si>
  <si>
    <t>(3392)</t>
  </si>
  <si>
    <t>(3393)</t>
  </si>
  <si>
    <t>(3394)</t>
  </si>
  <si>
    <t>(3395)</t>
  </si>
  <si>
    <t>(3396)</t>
  </si>
  <si>
    <t>(3397)</t>
  </si>
  <si>
    <t>(2240)</t>
  </si>
  <si>
    <t>(2241)</t>
  </si>
  <si>
    <t>(2242)</t>
  </si>
  <si>
    <t>(3706)</t>
  </si>
  <si>
    <t>(3707)</t>
  </si>
  <si>
    <t>(3708)</t>
  </si>
  <si>
    <t>(3709)</t>
  </si>
  <si>
    <t>(2882)</t>
  </si>
  <si>
    <t>(2883)</t>
  </si>
  <si>
    <t>(3924)</t>
  </si>
  <si>
    <t>(3925)</t>
  </si>
  <si>
    <t>(3476)</t>
  </si>
  <si>
    <t>(3477)</t>
  </si>
  <si>
    <t>(3478)</t>
  </si>
  <si>
    <t>(3479)</t>
  </si>
  <si>
    <t>(3480)</t>
  </si>
  <si>
    <t>(1705)</t>
  </si>
  <si>
    <t>(3055)</t>
  </si>
  <si>
    <t>(3056)</t>
  </si>
  <si>
    <t>(3419)</t>
  </si>
  <si>
    <t>(3420)</t>
  </si>
  <si>
    <t>(3421)</t>
  </si>
  <si>
    <t>(3422)</t>
  </si>
  <si>
    <t>(3423)</t>
  </si>
  <si>
    <t>(3424)</t>
  </si>
  <si>
    <t>(3425)</t>
  </si>
  <si>
    <t>(2353)</t>
  </si>
  <si>
    <t>(2354)</t>
  </si>
  <si>
    <t>(2355)</t>
  </si>
  <si>
    <t>(2539)</t>
  </si>
  <si>
    <t>(2540)</t>
  </si>
  <si>
    <t>(2541)</t>
  </si>
  <si>
    <t>(2542)</t>
  </si>
  <si>
    <t>(623)</t>
  </si>
  <si>
    <t>(624)</t>
  </si>
  <si>
    <t>(625)</t>
  </si>
  <si>
    <t>(3274)</t>
  </si>
  <si>
    <t>(3275)</t>
  </si>
  <si>
    <t>(1152)</t>
  </si>
  <si>
    <t>(1153)</t>
  </si>
  <si>
    <t>(2380)</t>
  </si>
  <si>
    <t>(2381)</t>
  </si>
  <si>
    <t>(982)</t>
  </si>
  <si>
    <t>(983)</t>
  </si>
  <si>
    <t>(984)</t>
  </si>
  <si>
    <t>(985)</t>
  </si>
  <si>
    <t>(1290)</t>
  </si>
  <si>
    <t>(1291)</t>
  </si>
  <si>
    <t>(1292)</t>
  </si>
  <si>
    <t>(1293)</t>
  </si>
  <si>
    <t>(1294)</t>
  </si>
  <si>
    <t>(3572)</t>
  </si>
  <si>
    <t>(3573)</t>
  </si>
  <si>
    <t>(3574)</t>
  </si>
  <si>
    <t>(3575)</t>
  </si>
  <si>
    <t>(3621)</t>
  </si>
  <si>
    <t>(3622)</t>
  </si>
  <si>
    <t>(2521)</t>
  </si>
  <si>
    <t>(1329)</t>
  </si>
  <si>
    <t>(1330)</t>
  </si>
  <si>
    <t>(1331)</t>
  </si>
  <si>
    <t>(561)</t>
  </si>
  <si>
    <t>(562)</t>
  </si>
  <si>
    <t>(563)</t>
  </si>
  <si>
    <t>(2224)</t>
  </si>
  <si>
    <t>(2225)</t>
  </si>
  <si>
    <t>(2226)</t>
  </si>
  <si>
    <t>(1447)</t>
  </si>
  <si>
    <t>(1448)</t>
  </si>
  <si>
    <t>(1449)</t>
  </si>
  <si>
    <t>(3835)</t>
  </si>
  <si>
    <t>(3836)</t>
  </si>
  <si>
    <t>(3837)</t>
  </si>
  <si>
    <t>(3838)</t>
  </si>
  <si>
    <t>(3839)</t>
  </si>
  <si>
    <t>(3840)</t>
  </si>
  <si>
    <t>(2140)</t>
  </si>
  <si>
    <t>(2141)</t>
  </si>
  <si>
    <t>(2142)</t>
  </si>
  <si>
    <t>(2143)</t>
  </si>
  <si>
    <t>(2864)</t>
  </si>
  <si>
    <t>(2865)</t>
  </si>
  <si>
    <t>(2866)</t>
  </si>
  <si>
    <t>(3012)</t>
  </si>
  <si>
    <t>(3013)</t>
  </si>
  <si>
    <t>(3220)</t>
  </si>
  <si>
    <t>(3221)</t>
  </si>
  <si>
    <t>(3222)</t>
  </si>
  <si>
    <t>(3223)</t>
  </si>
  <si>
    <t>(3224)</t>
  </si>
  <si>
    <t>(3753)</t>
  </si>
  <si>
    <t>(3754)</t>
  </si>
  <si>
    <t>(461)</t>
  </si>
  <si>
    <t>(462)</t>
  </si>
  <si>
    <t>(3669)</t>
  </si>
  <si>
    <t>(3670)</t>
  </si>
  <si>
    <t>(3671)</t>
  </si>
  <si>
    <t>(3672)</t>
  </si>
  <si>
    <t>(1678)</t>
  </si>
  <si>
    <t>(1679)</t>
  </si>
  <si>
    <t>(1680)</t>
  </si>
  <si>
    <t>(1580)</t>
  </si>
  <si>
    <t>(3346)</t>
  </si>
  <si>
    <t>(3347)</t>
  </si>
  <si>
    <t>(3348)</t>
  </si>
  <si>
    <t>(3349)</t>
  </si>
  <si>
    <t>(3350)</t>
  </si>
  <si>
    <t>(3351)</t>
  </si>
  <si>
    <t>(3352)</t>
  </si>
  <si>
    <t>(3353)</t>
  </si>
  <si>
    <t>(787)</t>
  </si>
  <si>
    <t>(788)</t>
  </si>
  <si>
    <t>(3043)</t>
  </si>
  <si>
    <t>(3044)</t>
  </si>
  <si>
    <t>(3045)</t>
  </si>
  <si>
    <t>(2325)</t>
  </si>
  <si>
    <t>(2326)</t>
  </si>
  <si>
    <t>(1798)</t>
  </si>
  <si>
    <t>(1799)</t>
  </si>
  <si>
    <t>(3434)</t>
  </si>
  <si>
    <t>(3435)</t>
  </si>
  <si>
    <t>(1862)</t>
  </si>
  <si>
    <t>(1863)</t>
  </si>
  <si>
    <t>(1864)</t>
  </si>
  <si>
    <t>(3289)</t>
  </si>
  <si>
    <t>(3290)</t>
  </si>
  <si>
    <t>(3291)</t>
  </si>
  <si>
    <t>(3292)</t>
  </si>
  <si>
    <t>(3152)</t>
  </si>
  <si>
    <t>(3153)</t>
  </si>
  <si>
    <t>(3154)</t>
  </si>
  <si>
    <t>(3155)</t>
  </si>
  <si>
    <t>(3156)</t>
  </si>
  <si>
    <t>(150)</t>
  </si>
  <si>
    <t>(1637)</t>
  </si>
  <si>
    <t>(1638)</t>
  </si>
  <si>
    <t>(1639)</t>
  </si>
  <si>
    <t>(1640)</t>
  </si>
  <si>
    <t>(2272)</t>
  </si>
  <si>
    <t>(2273)</t>
  </si>
  <si>
    <t>(2274)</t>
  </si>
  <si>
    <t>(2275)</t>
  </si>
  <si>
    <t>(2276)</t>
  </si>
  <si>
    <t>(3233)</t>
  </si>
  <si>
    <t>(3234)</t>
  </si>
  <si>
    <t>(3235)</t>
  </si>
  <si>
    <t>(3236)</t>
  </si>
  <si>
    <t>(3788)</t>
  </si>
  <si>
    <t>(3789)</t>
  </si>
  <si>
    <t>(1790)</t>
  </si>
  <si>
    <t>(1791)</t>
  </si>
  <si>
    <t>(1535)</t>
  </si>
  <si>
    <t>(2777)</t>
  </si>
  <si>
    <t>(2778)</t>
  </si>
  <si>
    <t>(2779)</t>
  </si>
  <si>
    <t>(2780)</t>
  </si>
  <si>
    <t>(2781)</t>
  </si>
  <si>
    <t>(2171)</t>
  </si>
  <si>
    <t>(2172)</t>
  </si>
  <si>
    <t>(2363)</t>
  </si>
  <si>
    <t>(2364)</t>
  </si>
  <si>
    <t>(2365)</t>
  </si>
  <si>
    <t>(2366)</t>
  </si>
  <si>
    <t>(2367)</t>
  </si>
  <si>
    <t>(2368)</t>
  </si>
  <si>
    <t>(2369)</t>
  </si>
  <si>
    <t>(2551)</t>
  </si>
  <si>
    <t>(2552)</t>
  </si>
  <si>
    <t>(3623)</t>
  </si>
  <si>
    <t>(3624)</t>
  </si>
  <si>
    <t>(3842)</t>
  </si>
  <si>
    <t>(3843)</t>
  </si>
  <si>
    <t>(3844)</t>
  </si>
  <si>
    <t>(3845)</t>
  </si>
  <si>
    <t>(3846)</t>
  </si>
  <si>
    <t>(3847)</t>
  </si>
  <si>
    <t>(2403)</t>
  </si>
  <si>
    <t>(2404)</t>
  </si>
  <si>
    <t>(2405)</t>
  </si>
  <si>
    <t>(2406)</t>
  </si>
  <si>
    <t>(2407)</t>
  </si>
  <si>
    <t>(1966)</t>
  </si>
  <si>
    <t>(1967)</t>
  </si>
  <si>
    <t>(3887)</t>
  </si>
  <si>
    <t>(3888)</t>
  </si>
  <si>
    <t>(3889)</t>
  </si>
  <si>
    <t>(3810)</t>
  </si>
  <si>
    <t>(3811)</t>
  </si>
  <si>
    <t>(3696)</t>
  </si>
  <si>
    <t>(3697)</t>
  </si>
  <si>
    <t>(3698)</t>
  </si>
  <si>
    <t>(822)</t>
  </si>
  <si>
    <t>(3426)</t>
  </si>
  <si>
    <t>(3427)</t>
  </si>
  <si>
    <t>(3428)</t>
  </si>
  <si>
    <t>(2794)</t>
  </si>
  <si>
    <t>(2795)</t>
  </si>
  <si>
    <t>(2796)</t>
  </si>
  <si>
    <t>(1645)</t>
  </si>
  <si>
    <t>(1646)</t>
  </si>
  <si>
    <t>(1647)</t>
  </si>
  <si>
    <t>(1648)</t>
  </si>
  <si>
    <t>(3465)</t>
  </si>
  <si>
    <t>(3466)</t>
  </si>
  <si>
    <t>(3467)</t>
  </si>
  <si>
    <t>(3468)</t>
  </si>
  <si>
    <t>(3469)</t>
  </si>
  <si>
    <t>(2330)</t>
  </si>
  <si>
    <t>(2331)</t>
  </si>
  <si>
    <t>(2332)</t>
  </si>
  <si>
    <t>(2333)</t>
  </si>
  <si>
    <t>(3523)</t>
  </si>
  <si>
    <t>(3524)</t>
  </si>
  <si>
    <t>(3525)</t>
  </si>
  <si>
    <t>(3526)</t>
  </si>
  <si>
    <t>(2429)</t>
  </si>
  <si>
    <t>(2430)</t>
  </si>
  <si>
    <t>(2431)</t>
  </si>
  <si>
    <t>(3057)</t>
  </si>
  <si>
    <t>(3058)</t>
  </si>
  <si>
    <t>(3693)</t>
  </si>
  <si>
    <t>(3694)</t>
  </si>
  <si>
    <t>(1381)</t>
  </si>
  <si>
    <t>(1382)</t>
  </si>
  <si>
    <t>(1383)</t>
  </si>
  <si>
    <t>(1384)</t>
  </si>
  <si>
    <t>(1385)</t>
  </si>
  <si>
    <t>(3676)</t>
  </si>
  <si>
    <t>(3677)</t>
  </si>
  <si>
    <t>(3678)</t>
  </si>
  <si>
    <t>(3679)</t>
  </si>
  <si>
    <t>(3237)</t>
  </si>
  <si>
    <t>(3238)</t>
  </si>
  <si>
    <t>(3239)</t>
  </si>
  <si>
    <t>(3822)</t>
  </si>
  <si>
    <t>(3823)</t>
  </si>
  <si>
    <t>(1785)</t>
  </si>
  <si>
    <t>(1786)</t>
  </si>
  <si>
    <t>(1787)</t>
  </si>
  <si>
    <t>(1788)</t>
  </si>
  <si>
    <t>(1789)</t>
  </si>
  <si>
    <t>(1922)</t>
  </si>
  <si>
    <t>(1458)</t>
  </si>
  <si>
    <t>(1459)</t>
  </si>
  <si>
    <t>(2231)</t>
  </si>
  <si>
    <t>(2232)</t>
  </si>
  <si>
    <t>(2233)</t>
  </si>
  <si>
    <t>(2234)</t>
  </si>
  <si>
    <t>(2235)</t>
  </si>
  <si>
    <t>(2236)</t>
  </si>
  <si>
    <t>(2237)</t>
  </si>
  <si>
    <t>(3938)</t>
  </si>
  <si>
    <t>(3939)</t>
  </si>
  <si>
    <t>(1899)</t>
  </si>
  <si>
    <t>(1900)</t>
  </si>
  <si>
    <t>(1901)</t>
  </si>
  <si>
    <t>(1902)</t>
  </si>
  <si>
    <t>(3148)</t>
  </si>
  <si>
    <t>(3149)</t>
  </si>
  <si>
    <t>(3150)</t>
  </si>
  <si>
    <t>(1079)</t>
  </si>
  <si>
    <t>(1080)</t>
  </si>
  <si>
    <t>(1081)</t>
  </si>
  <si>
    <t>(1082)</t>
  </si>
  <si>
    <t>(1083)</t>
  </si>
  <si>
    <t>(1084)</t>
  </si>
  <si>
    <t>(3446)</t>
  </si>
  <si>
    <t>(3447)</t>
  </si>
  <si>
    <t>(3448)</t>
  </si>
  <si>
    <t>(3449)</t>
  </si>
  <si>
    <t>(2050)</t>
  </si>
  <si>
    <t>(2051)</t>
  </si>
  <si>
    <t>(2322)</t>
  </si>
  <si>
    <t>(2323)</t>
  </si>
  <si>
    <t>(2324)</t>
  </si>
  <si>
    <t>(1876)</t>
  </si>
  <si>
    <t>(1877)</t>
  </si>
  <si>
    <t>(1878)</t>
  </si>
  <si>
    <t>(1879)</t>
  </si>
  <si>
    <t>(1880)</t>
  </si>
  <si>
    <t>(1881)</t>
  </si>
  <si>
    <t>(3384)</t>
  </si>
  <si>
    <t>(3385)</t>
  </si>
  <si>
    <t>(2073)</t>
  </si>
  <si>
    <t>(2074)</t>
  </si>
  <si>
    <t>(2075)</t>
  </si>
  <si>
    <t>(2076)</t>
  </si>
  <si>
    <t>(2077)</t>
  </si>
  <si>
    <t>(2801)</t>
  </si>
  <si>
    <t>(2802)</t>
  </si>
  <si>
    <t>(3591)</t>
  </si>
  <si>
    <t>(3592)</t>
  </si>
  <si>
    <t>(2561)</t>
  </si>
  <si>
    <t>(2562)</t>
  </si>
  <si>
    <t>(2563)</t>
  </si>
  <si>
    <t>(2564)</t>
  </si>
  <si>
    <t>(2853)</t>
  </si>
  <si>
    <t>(3240)</t>
  </si>
  <si>
    <t>(3241)</t>
  </si>
  <si>
    <t>(3242)</t>
  </si>
  <si>
    <t>(3243)</t>
  </si>
  <si>
    <t>(3244)</t>
  </si>
  <si>
    <t>(1062)</t>
  </si>
  <si>
    <t>(1063)</t>
  </si>
  <si>
    <t>(3136)</t>
  </si>
  <si>
    <t>(3137)</t>
  </si>
  <si>
    <t>(2350)</t>
  </si>
  <si>
    <t>(2351)</t>
  </si>
  <si>
    <t>(1061)</t>
  </si>
  <si>
    <t>(3255)</t>
  </si>
  <si>
    <t>(1419)</t>
  </si>
  <si>
    <t>(1420)</t>
  </si>
  <si>
    <t>(1421)</t>
  </si>
  <si>
    <t>(1422)</t>
  </si>
  <si>
    <t>(1423)</t>
  </si>
  <si>
    <t>(1913)</t>
  </si>
  <si>
    <t>(1914)</t>
  </si>
  <si>
    <t>(1915)</t>
  </si>
  <si>
    <t>(1536)</t>
  </si>
  <si>
    <t>(1537)</t>
  </si>
  <si>
    <t>(3460)</t>
  </si>
  <si>
    <t>2015-09-23 Angelica Ortiz(488)</t>
  </si>
  <si>
    <t>2015-09-27 Tashya Osborne(485)</t>
  </si>
  <si>
    <t>2015-05-03 Zeus Trujillo(481)</t>
  </si>
  <si>
    <t>2015-10-10 Morgan Hoffman(479)</t>
  </si>
  <si>
    <t>2015-11-10 Zeus Trujillo(472)</t>
  </si>
  <si>
    <t>2015-05-17 Madeson Silva(470)</t>
  </si>
  <si>
    <t>2015-05-16 Vivian Mendoza(469)</t>
  </si>
  <si>
    <t>2015-05-30 Blossom Mosley(468)</t>
  </si>
  <si>
    <t>2015-05-13 Lionel Vargas(467)</t>
  </si>
  <si>
    <t>2015-09-04 Tashya Osborne(465)</t>
  </si>
  <si>
    <t>2015-10-21 Blossom Mosley(462)</t>
  </si>
  <si>
    <t>2015-06-29 Madeline Reynolds(461)</t>
  </si>
  <si>
    <t>2015-06-11 Dale Fry(457)</t>
  </si>
  <si>
    <t>2015-10-08 Angelica Ortiz(456)</t>
  </si>
  <si>
    <t>2015-06-06 Yoshi Bennett(452)</t>
  </si>
  <si>
    <t>2015-04-11 Stuart Vega(448)</t>
  </si>
  <si>
    <t>2015-06-10 Alma Salas(447)</t>
  </si>
  <si>
    <t>2015-11-01 Clio Carter(446)</t>
  </si>
  <si>
    <t>2015-06-07 Angelica Ortiz(444)</t>
  </si>
  <si>
    <t>2015-05-12 Serina Booker(441)</t>
  </si>
  <si>
    <t>2015-09-01 Indira Suarez(439)</t>
  </si>
  <si>
    <t>2015-06-17 Dane Stafford(437)</t>
  </si>
  <si>
    <t>2015-10-18 Rhonda Curtis(436)</t>
  </si>
  <si>
    <t>2015-04-26 Harrison Klein(435)</t>
  </si>
  <si>
    <t>2015-11-12 Alma Salas(434)</t>
  </si>
  <si>
    <t>2015-08-31 Tanek Santos(433)</t>
  </si>
  <si>
    <t>2015-09-07 Angelica Ortiz(431)</t>
  </si>
  <si>
    <t>2015-04-24 Serina Booker(430)</t>
  </si>
  <si>
    <t>2015-09-16 Stuart Vega(427)</t>
  </si>
  <si>
    <t>2015-04-11 Lois Valdez(426)</t>
  </si>
  <si>
    <t>2015-05-22 Stacey Kirk(424)</t>
  </si>
  <si>
    <t>2015-04-28 Zeus Trujillo(423)</t>
  </si>
  <si>
    <t>2015-09-21 Tashya Osborne(422)</t>
  </si>
  <si>
    <t>2015-06-21 Serina Booker(418)</t>
  </si>
  <si>
    <t>2015-11-10 Hayley Foster(409)</t>
  </si>
  <si>
    <t>2015-06-02 Aristotle Avery(406)</t>
  </si>
  <si>
    <t>2015-10-26 Hayley Foster(398)</t>
  </si>
  <si>
    <t>2015-09-08 Alma Salas(393)</t>
  </si>
  <si>
    <t>2015-06-12 Gabriel Carlson(390)</t>
  </si>
  <si>
    <t>2015-08-08 Stacey Kirk(387)</t>
  </si>
  <si>
    <t>2015-09-11 Hayley Foster(384)</t>
  </si>
  <si>
    <t>2015-08-27 Ivy Livingston(382)</t>
  </si>
  <si>
    <t>2015-11-19 Ivy Livingston(375)</t>
  </si>
  <si>
    <t>2015-07-13 Dale Fry(372)</t>
  </si>
  <si>
    <t>2015-10-24 Gabriel Carlson(371)</t>
  </si>
  <si>
    <t>2015-05-15 Morgan Hoffman(370)</t>
  </si>
  <si>
    <t>2015-04-12 Dale Fry(368)</t>
  </si>
  <si>
    <t>2015-04-28 Aristotle Avery(367)</t>
  </si>
  <si>
    <t>2015-06-20 Ferris Erickson(366)</t>
  </si>
  <si>
    <t>2015-10-03 Stacey Kirk(361)</t>
  </si>
  <si>
    <t>2015-09-03 Indira Suarez(360)</t>
  </si>
  <si>
    <t>2015-08-21 Lois Valdez(358)</t>
  </si>
  <si>
    <t>2015-04-14 Stacey Kirk(357)</t>
  </si>
  <si>
    <t>2015-05-25 Lillian Larsen(355)</t>
  </si>
  <si>
    <t>2015-04-14 Mariko Cameron(349)</t>
  </si>
  <si>
    <t>2015-06-21 Lois Valdez(347)</t>
  </si>
  <si>
    <t>2015-09-01 Nayda Shields(342)</t>
  </si>
  <si>
    <t>2015-07-27 Ferris Erickson(341)</t>
  </si>
  <si>
    <t>2015-09-18 Indira Suarez(340)</t>
  </si>
  <si>
    <t>2015-04-16 Blossom Mosley(339)</t>
  </si>
  <si>
    <t>2015-06-15 Ora Mann(335)</t>
  </si>
  <si>
    <t>2015-11-06 Lillian Larsen(334)</t>
  </si>
  <si>
    <t>2015-09-07 Harrison Klein(329)</t>
  </si>
  <si>
    <t>2015-11-11 Tanek Santos(325)</t>
  </si>
  <si>
    <t>2015-06-23 Lillian Larsen(322)</t>
  </si>
  <si>
    <t>2015-06-14 Jonah Griffin(317)</t>
  </si>
  <si>
    <t>2015-06-03 Angelica Ortiz(316)</t>
  </si>
  <si>
    <t>2015-11-30 Anne Slater(285)</t>
  </si>
  <si>
    <t>2015-11-29 Yetta Duke(89)</t>
  </si>
  <si>
    <t>2015-11-24 Aspen Fuentes(116)</t>
  </si>
  <si>
    <t>2015-11-21 Ora Mann(289)</t>
  </si>
  <si>
    <t>2015-11-14 Alma Salas(106)</t>
  </si>
  <si>
    <t>2015-10-14 Gabriel Carlson(35)</t>
  </si>
  <si>
    <t>2015-10-07 Benedict Todd(277)</t>
  </si>
  <si>
    <t>2015-10-04 Lucius Gallagher(168)</t>
  </si>
  <si>
    <t>2015-10-03 Anne Slater(93)</t>
  </si>
  <si>
    <t>2015-10-02 Ora Mann(227)</t>
  </si>
  <si>
    <t>2015-09-23 Iona Simpson(126)</t>
  </si>
  <si>
    <t>2015-09-18 Ulysses Hudson(150)</t>
  </si>
  <si>
    <t>2015-09-02 April Buckley(253)</t>
  </si>
  <si>
    <t>2015-08-01 Colt Hart(34)</t>
  </si>
  <si>
    <t>2015-07-20 Serina Booker(296)</t>
  </si>
  <si>
    <t>2015-07-20 Lois Valdez(276)</t>
  </si>
  <si>
    <t>2015-07-12 Serina Booker(246)</t>
  </si>
  <si>
    <t>2015-07-12 Jonah Griffin(86)</t>
  </si>
  <si>
    <t>2015-07-03 Lesley Keith(173)</t>
  </si>
  <si>
    <t>2015-06-15 Indira Suarez(240)</t>
  </si>
  <si>
    <t>2015-06-13 Ferris Erickson(310)</t>
  </si>
  <si>
    <t>2015-06-10 Anne Slater(82)</t>
  </si>
  <si>
    <t>2015-05-19 Jonah Griffin(293)</t>
  </si>
  <si>
    <t>2015-04-14 Claudia Crane(286)</t>
  </si>
  <si>
    <t>2015-03-28 Stacey Kirk(299)</t>
  </si>
  <si>
    <t>2015-04-26 Hayley Foster(311)</t>
  </si>
  <si>
    <t>2015-03-23 Claudia Crane(328)</t>
  </si>
  <si>
    <t>(3141)</t>
  </si>
  <si>
    <t>(3580)</t>
  </si>
  <si>
    <t>2015-03-28 Iona Simpson(471)</t>
  </si>
  <si>
    <t>2015-03-20 Ferris Erickson(408)</t>
  </si>
  <si>
    <t>(996)</t>
  </si>
  <si>
    <t>(178)</t>
  </si>
  <si>
    <t>(179)</t>
  </si>
  <si>
    <t>(484)</t>
  </si>
  <si>
    <t>(485)</t>
  </si>
  <si>
    <t>(486)</t>
  </si>
  <si>
    <t>(487)</t>
  </si>
  <si>
    <t>(488)</t>
  </si>
  <si>
    <t>(954)</t>
  </si>
  <si>
    <t>(110)</t>
  </si>
  <si>
    <t>(111)</t>
  </si>
  <si>
    <t>(112)</t>
  </si>
  <si>
    <t>(113)</t>
  </si>
  <si>
    <t>(897)</t>
  </si>
  <si>
    <t>(899)</t>
  </si>
  <si>
    <t>(345)</t>
  </si>
  <si>
    <t>(346)</t>
  </si>
  <si>
    <t>(347)</t>
  </si>
  <si>
    <t>(348)</t>
  </si>
  <si>
    <t>(349)</t>
  </si>
  <si>
    <t>(350)</t>
  </si>
  <si>
    <t>(668)</t>
  </si>
  <si>
    <t>(644)</t>
  </si>
  <si>
    <t>(646)</t>
  </si>
  <si>
    <t>(647)</t>
  </si>
  <si>
    <t>(648)</t>
  </si>
  <si>
    <t>(649)</t>
  </si>
  <si>
    <t>(650)</t>
  </si>
  <si>
    <t>(657)</t>
  </si>
  <si>
    <t>(658)</t>
  </si>
  <si>
    <t>(659)</t>
  </si>
  <si>
    <t>(660)</t>
  </si>
  <si>
    <t>(663)</t>
  </si>
  <si>
    <t>(990)</t>
  </si>
  <si>
    <t>(991)</t>
  </si>
  <si>
    <t>(745)</t>
  </si>
  <si>
    <t>(746)</t>
  </si>
  <si>
    <t>(747)</t>
  </si>
  <si>
    <t>(748)</t>
  </si>
  <si>
    <t>(725)</t>
  </si>
  <si>
    <t>(726)</t>
  </si>
  <si>
    <t>(216)</t>
  </si>
  <si>
    <t>(217)</t>
  </si>
  <si>
    <t>(218)</t>
  </si>
  <si>
    <t>(881)</t>
  </si>
  <si>
    <t>(882)</t>
  </si>
  <si>
    <t>(215)</t>
  </si>
  <si>
    <t>(847)</t>
  </si>
  <si>
    <t>(848)</t>
  </si>
  <si>
    <t>(849)</t>
  </si>
  <si>
    <t>(850)</t>
  </si>
  <si>
    <t>(851)</t>
  </si>
  <si>
    <t>(852)</t>
  </si>
  <si>
    <t>(180)</t>
  </si>
  <si>
    <t>(181)</t>
  </si>
  <si>
    <t>(182)</t>
  </si>
  <si>
    <t>(183)</t>
  </si>
  <si>
    <t>(184)</t>
  </si>
  <si>
    <t>(185)</t>
  </si>
  <si>
    <t>(599)</t>
  </si>
  <si>
    <t>(600)</t>
  </si>
  <si>
    <t>(601)</t>
  </si>
  <si>
    <t>(44)</t>
  </si>
  <si>
    <t>(45)</t>
  </si>
  <si>
    <t>(46)</t>
  </si>
  <si>
    <t>(791)</t>
  </si>
  <si>
    <t>(792)</t>
  </si>
  <si>
    <t>(170)</t>
  </si>
  <si>
    <t>(171)</t>
  </si>
  <si>
    <t>(172)</t>
  </si>
  <si>
    <t>(173)</t>
  </si>
  <si>
    <t>(174)</t>
  </si>
  <si>
    <t>(156)</t>
  </si>
  <si>
    <t>(157)</t>
  </si>
  <si>
    <t>(158)</t>
  </si>
  <si>
    <t>(159)</t>
  </si>
  <si>
    <t>(567)</t>
  </si>
  <si>
    <t>(568)</t>
  </si>
  <si>
    <t>(340)</t>
  </si>
  <si>
    <t>(824)</t>
  </si>
  <si>
    <t>(825)</t>
  </si>
  <si>
    <t>(826)</t>
  </si>
  <si>
    <t>(827)</t>
  </si>
  <si>
    <t>(201)</t>
  </si>
  <si>
    <t>(202)</t>
  </si>
  <si>
    <t>(812)</t>
  </si>
  <si>
    <t>(381)</t>
  </si>
  <si>
    <t>(382)</t>
  </si>
  <si>
    <t>(383)</t>
  </si>
  <si>
    <t>(384)</t>
  </si>
  <si>
    <t>(191)</t>
  </si>
  <si>
    <t>(192)</t>
  </si>
  <si>
    <t>(193)</t>
  </si>
  <si>
    <t>(194)</t>
  </si>
  <si>
    <t>(195)</t>
  </si>
  <si>
    <t>(196)</t>
  </si>
  <si>
    <t>(197)</t>
  </si>
  <si>
    <t>(78)</t>
  </si>
  <si>
    <t>(79)</t>
  </si>
  <si>
    <t>(855)</t>
  </si>
  <si>
    <t>(856)</t>
  </si>
  <si>
    <t>(162)</t>
  </si>
  <si>
    <t>(163)</t>
  </si>
  <si>
    <t>(164)</t>
  </si>
  <si>
    <t>(165)</t>
  </si>
  <si>
    <t>(166)</t>
  </si>
  <si>
    <t>(167)</t>
  </si>
  <si>
    <t>(168)</t>
  </si>
  <si>
    <t>(169)</t>
  </si>
  <si>
    <t>(364)</t>
  </si>
  <si>
    <t>(251)</t>
  </si>
  <si>
    <t>(427)</t>
  </si>
  <si>
    <t>(428)</t>
  </si>
  <si>
    <t>(429)</t>
  </si>
  <si>
    <t>(430)</t>
  </si>
  <si>
    <t>(431)</t>
  </si>
  <si>
    <t>(532)</t>
  </si>
  <si>
    <t>(889)</t>
  </si>
  <si>
    <t>(890)</t>
  </si>
  <si>
    <t>(891)</t>
  </si>
  <si>
    <t>(892)</t>
  </si>
  <si>
    <t>(893)</t>
  </si>
  <si>
    <t>(894)</t>
  </si>
  <si>
    <t>(727)</t>
  </si>
  <si>
    <t>(728)</t>
  </si>
  <si>
    <t>(729)</t>
  </si>
  <si>
    <t>(299)</t>
  </si>
  <si>
    <t>(300)</t>
  </si>
  <si>
    <t>(301)</t>
  </si>
  <si>
    <t>(302)</t>
  </si>
  <si>
    <t>(303)</t>
  </si>
  <si>
    <t>(304)</t>
  </si>
  <si>
    <t>(305)</t>
  </si>
  <si>
    <t>(306)</t>
  </si>
  <si>
    <t>(759)</t>
  </si>
  <si>
    <t>(760)</t>
  </si>
  <si>
    <t>(684)</t>
  </si>
  <si>
    <t>(685)</t>
  </si>
  <si>
    <t>(686)</t>
  </si>
  <si>
    <t>(687)</t>
  </si>
  <si>
    <t>(106)</t>
  </si>
  <si>
    <t>(107)</t>
  </si>
  <si>
    <t>(108)</t>
  </si>
  <si>
    <t>(109)</t>
  </si>
  <si>
    <t>(403)</t>
  </si>
  <si>
    <t>(404)</t>
  </si>
  <si>
    <t>(405)</t>
  </si>
  <si>
    <t>(981)</t>
  </si>
  <si>
    <t>(602)</t>
  </si>
  <si>
    <t>(603)</t>
  </si>
  <si>
    <t>(604)</t>
  </si>
  <si>
    <t>(605)</t>
  </si>
  <si>
    <t>(606)</t>
  </si>
  <si>
    <t>(607)</t>
  </si>
  <si>
    <t>(608)</t>
  </si>
  <si>
    <t>(609)</t>
  </si>
  <si>
    <t>(564)</t>
  </si>
  <si>
    <t>(565)</t>
  </si>
  <si>
    <t>(566)</t>
  </si>
  <si>
    <t>(930)</t>
  </si>
  <si>
    <t>(931)</t>
  </si>
  <si>
    <t>(932)</t>
  </si>
  <si>
    <t>(933)</t>
  </si>
  <si>
    <t>(988)</t>
  </si>
  <si>
    <t>(989)</t>
  </si>
  <si>
    <t>(761)</t>
  </si>
  <si>
    <t>(762)</t>
  </si>
  <si>
    <t>(877)</t>
  </si>
  <si>
    <t>(878)</t>
  </si>
  <si>
    <t>(934)</t>
  </si>
  <si>
    <t>(807)</t>
  </si>
  <si>
    <t>(808)</t>
  </si>
  <si>
    <t>(809)</t>
  </si>
  <si>
    <t>(789)</t>
  </si>
  <si>
    <t>(790)</t>
  </si>
  <si>
    <t>(518)</t>
  </si>
  <si>
    <t>(147)</t>
  </si>
  <si>
    <t>(148)</t>
  </si>
  <si>
    <t>(149)</t>
  </si>
  <si>
    <t>(151)</t>
  </si>
  <si>
    <t>(152)</t>
  </si>
  <si>
    <t>(310)</t>
  </si>
  <si>
    <t>(311)</t>
  </si>
  <si>
    <t>(312)</t>
  </si>
  <si>
    <t>(313)</t>
  </si>
  <si>
    <t>(314)</t>
  </si>
  <si>
    <t>(315)</t>
  </si>
  <si>
    <t>(198)</t>
  </si>
  <si>
    <t>(199)</t>
  </si>
  <si>
    <t>(200)</t>
  </si>
  <si>
    <t>(362)</t>
  </si>
  <si>
    <t>(363)</t>
  </si>
  <si>
    <t>(821)</t>
  </si>
  <si>
    <t>(772)</t>
  </si>
  <si>
    <t>(773)</t>
  </si>
  <si>
    <t>(774)</t>
  </si>
  <si>
    <t>(319)</t>
  </si>
  <si>
    <t>(467)</t>
  </si>
  <si>
    <t>(468)</t>
  </si>
  <si>
    <t>(469)</t>
  </si>
  <si>
    <t>(470)</t>
  </si>
  <si>
    <t>(335)</t>
  </si>
  <si>
    <t>(51)</t>
  </si>
  <si>
    <t>(52)</t>
  </si>
  <si>
    <t>(53)</t>
  </si>
  <si>
    <t>(54)</t>
  </si>
  <si>
    <t>(55)</t>
  </si>
  <si>
    <t>(56)</t>
  </si>
  <si>
    <t>(507)</t>
  </si>
  <si>
    <t>(508)</t>
  </si>
  <si>
    <t>(509)</t>
  </si>
  <si>
    <t>(493)</t>
  </si>
  <si>
    <t>(494)</t>
  </si>
  <si>
    <t>(495)</t>
  </si>
  <si>
    <t>(496)</t>
  </si>
  <si>
    <t>(497)</t>
  </si>
  <si>
    <t>(135)</t>
  </si>
  <si>
    <t>2015-03-23 Melvin Finch(29)</t>
  </si>
  <si>
    <t>2015-03-27 Dale Fry(193)</t>
  </si>
  <si>
    <t>2015-03-27 Morgan Hoffman(491)</t>
  </si>
  <si>
    <t>2015-03-29 Jonah Griffin(494)</t>
  </si>
  <si>
    <t>2015-03-31 Uta Workman(315)</t>
  </si>
  <si>
    <t>2015-04-01 Serina Booker(440)</t>
  </si>
  <si>
    <t>2015-04-05 Ivy Livingston(72)</t>
  </si>
  <si>
    <t>2015-04-10 Buffy Jennings(87)</t>
  </si>
  <si>
    <t>2015-04-10 Bernard Cash(15)</t>
  </si>
  <si>
    <t>2015-04-11 April Buckley(26)</t>
  </si>
  <si>
    <t>2015-04-12 Lillian Larsen(153)</t>
  </si>
  <si>
    <t>2015-04-13 Vivian Mendoza(114)</t>
  </si>
  <si>
    <t>2015-04-16 Zane Parrish(23)</t>
  </si>
  <si>
    <t>2015-04-18 Tanek Santos(258)</t>
  </si>
  <si>
    <t>2015-04-25 John Drake(189)</t>
  </si>
  <si>
    <t>2015-04-27 Adrian Dodson(103)</t>
  </si>
  <si>
    <t>2015-04-28 Iona Simpson(179)</t>
  </si>
  <si>
    <t>2015-04-28 Nayda Shields(203)</t>
  </si>
  <si>
    <t>2015-04-29 Quinn Ewing(61)</t>
  </si>
  <si>
    <t>2015-05-01 Lillian Larsen(244)</t>
  </si>
  <si>
    <t>2015-05-08 Stacey Kirk(175)</t>
  </si>
  <si>
    <t>2015-05-09 Yuri Oneal(100)</t>
  </si>
  <si>
    <t>2015-05-11 Aristotle Avery(115)</t>
  </si>
  <si>
    <t>2015-05-13 Cameron Rivera(123)</t>
  </si>
  <si>
    <t>2015-05-15 Clio Carter(267)</t>
  </si>
  <si>
    <t>2015-05-16 Angelica Ortiz(280)</t>
  </si>
  <si>
    <t>2015-05-17 Dane Stafford(21)</t>
  </si>
  <si>
    <t>2015-05-17 Melvin Finch(136)</t>
  </si>
  <si>
    <t>2015-05-20 Armando Le(11)</t>
  </si>
  <si>
    <t>2015-05-21 Melvin Finch(135)</t>
  </si>
  <si>
    <t>2015-05-22 Kendall Rocha(147)</t>
  </si>
  <si>
    <t>2015-05-25 Clio Carter(251)</t>
  </si>
  <si>
    <t>2015-05-26 Quinn Ewing(120)</t>
  </si>
  <si>
    <t>2015-05-27 Indira Suarez(214)</t>
  </si>
  <si>
    <t>2015-06-05 Benedict Todd(132)</t>
  </si>
  <si>
    <t>2015-06-13 April Buckley(96)</t>
  </si>
  <si>
    <t>2015-06-14 Ora Mann(67)</t>
  </si>
  <si>
    <t>2015-06-14 Tashya Osborne(37)</t>
  </si>
  <si>
    <t>2015-06-17 Kendall Rocha(190)</t>
  </si>
  <si>
    <t>2015-06-20 Mariko Cameron(232)</t>
  </si>
  <si>
    <t>2015-06-25 Ora Mann(79)</t>
  </si>
  <si>
    <t>2015-06-26 Mary Moore(43)</t>
  </si>
  <si>
    <t>2015-07-01 Cheryl Edwards(56)</t>
  </si>
  <si>
    <t>2015-07-06 Melvin Finch(2)</t>
  </si>
  <si>
    <t>2015-07-08 Buffy Jennings(156)</t>
  </si>
  <si>
    <t>2015-07-10 Claudia Crane(111)</t>
  </si>
  <si>
    <t>2015-07-17 Eugenia Roman(71)</t>
  </si>
  <si>
    <t>2015-07-17 Alma Salas(84)</t>
  </si>
  <si>
    <t>2015-07-18 Benedict Todd(57)</t>
  </si>
  <si>
    <t>2015-07-19 Serina Booker(108)</t>
  </si>
  <si>
    <t>2015-07-24 Wade Coleman(109)</t>
  </si>
  <si>
    <t>2015-07-24 Wade Coleman(235)</t>
  </si>
  <si>
    <t>2015-07-24 Dane Stafford(31)</t>
  </si>
  <si>
    <t>2015-07-25 Donna Molina(28)</t>
  </si>
  <si>
    <t>2015-07-28 Cameron Rivera(184)</t>
  </si>
  <si>
    <t>2015-08-01 Lois Valdez(121)</t>
  </si>
  <si>
    <t>2015-08-03 Theodore Mills(186)</t>
  </si>
  <si>
    <t>2015-08-16 Scarlett Odonnell(63)</t>
  </si>
  <si>
    <t>2015-08-18 Sigourney Ramsey(178)</t>
  </si>
  <si>
    <t>2015-08-18 Claudia Crane(74)</t>
  </si>
  <si>
    <t>2015-08-19 Aspen Fuentes(10)</t>
  </si>
  <si>
    <t>2015-08-27 Jonah Griffin(248)</t>
  </si>
  <si>
    <t>2015-08-27 Nayda Shields(3)</t>
  </si>
  <si>
    <t>2015-08-28 Stuart Vega(7)</t>
  </si>
  <si>
    <t>2015-08-29 Colby Clay(6)</t>
  </si>
  <si>
    <t>2015-08-29 Irene Carver(151)</t>
  </si>
  <si>
    <t>2015-08-31 Hayley Foster(249)</t>
  </si>
  <si>
    <t>2015-09-02 Yuri Oneal(19)</t>
  </si>
  <si>
    <t>2015-09-09 Morgan Hoffman(204)</t>
  </si>
  <si>
    <t>2015-09-11 Renee Adkins(16)</t>
  </si>
  <si>
    <t>2015-09-14 Dane Stafford(264)</t>
  </si>
  <si>
    <t>2015-09-17 Aristotle Avery(12)</t>
  </si>
  <si>
    <t>2015-09-20 Alice Bray(91)</t>
  </si>
  <si>
    <t>2015-09-20 Ferris Erickson(202)</t>
  </si>
  <si>
    <t>2015-10-01 Belle Short(18)</t>
  </si>
  <si>
    <t>2015-10-03 Alice Bray(48)</t>
  </si>
  <si>
    <t>2015-10-03 John Drake(99)</t>
  </si>
  <si>
    <t>2015-10-03 Cheryl Edwards(62)</t>
  </si>
  <si>
    <t>2015-10-10 Cameron Burton(143)</t>
  </si>
  <si>
    <t>2015-10-16 Wade Coleman(210)</t>
  </si>
  <si>
    <t>2015-10-20 Galvin Becker(163)</t>
  </si>
  <si>
    <t>2015-10-31 Yetta Duke(73)</t>
  </si>
  <si>
    <t>2015-10-31 Armando Le(8)</t>
  </si>
  <si>
    <t>2015-11-02 Zeus Trujillo(45)</t>
  </si>
  <si>
    <t>2015-11-02 Adrian Dodson(110)</t>
  </si>
  <si>
    <t>2015-11-13 Donovan Gomez(41)</t>
  </si>
  <si>
    <t>2015-11-15 Indira Suarez(1)</t>
  </si>
  <si>
    <t>2015-11-18 Clio Carter(247)</t>
  </si>
  <si>
    <t>(406)</t>
  </si>
  <si>
    <t>(407)</t>
  </si>
  <si>
    <t>(408)</t>
  </si>
  <si>
    <t>(2162)</t>
  </si>
  <si>
    <t>(793)</t>
  </si>
  <si>
    <t>(794)</t>
  </si>
  <si>
    <t>(795)</t>
  </si>
  <si>
    <t>(796)</t>
  </si>
  <si>
    <t>(797)</t>
  </si>
  <si>
    <t>(798)</t>
  </si>
  <si>
    <t>(799)</t>
  </si>
  <si>
    <t>(800)</t>
  </si>
  <si>
    <t>(372)</t>
  </si>
  <si>
    <t>(373)</t>
  </si>
  <si>
    <t>(2173)</t>
  </si>
  <si>
    <t>(2174)</t>
  </si>
  <si>
    <t>(2175)</t>
  </si>
  <si>
    <t>(3142)</t>
  </si>
  <si>
    <t>(3143)</t>
  </si>
  <si>
    <t>(3144)</t>
  </si>
  <si>
    <t>(3145)</t>
  </si>
  <si>
    <t>(2408)</t>
  </si>
  <si>
    <t>(2409)</t>
  </si>
  <si>
    <t>(2410)</t>
  </si>
  <si>
    <t>(3579)</t>
  </si>
  <si>
    <t>(3581)</t>
  </si>
  <si>
    <t>(3582)</t>
  </si>
  <si>
    <t>(3583)</t>
  </si>
  <si>
    <t>(2151)</t>
  </si>
  <si>
    <t>(2152)</t>
  </si>
  <si>
    <t>Etiquetas de fila</t>
  </si>
  <si>
    <t>Total general</t>
  </si>
  <si>
    <t>Etiquetas de columna</t>
  </si>
  <si>
    <t>order date</t>
  </si>
  <si>
    <t>product_sale</t>
  </si>
  <si>
    <t>(en blanco)</t>
  </si>
  <si>
    <t>YM</t>
  </si>
  <si>
    <t>Suma de total_amount</t>
  </si>
  <si>
    <t>Suma de product_sale</t>
  </si>
  <si>
    <t>01-2014</t>
  </si>
  <si>
    <t>02-2014</t>
  </si>
  <si>
    <t>03-2014</t>
  </si>
  <si>
    <t>04-2014</t>
  </si>
  <si>
    <t>05-2014</t>
  </si>
  <si>
    <t>06-2014</t>
  </si>
  <si>
    <t>07-2014</t>
  </si>
  <si>
    <t>08-2014</t>
  </si>
  <si>
    <t>09-2014</t>
  </si>
  <si>
    <t>10-2014</t>
  </si>
  <si>
    <t>11-2014</t>
  </si>
  <si>
    <t>12-2014</t>
  </si>
  <si>
    <t>01-2015</t>
  </si>
  <si>
    <t>02-2015</t>
  </si>
  <si>
    <t>03-2015</t>
  </si>
  <si>
    <t>04-2015</t>
  </si>
  <si>
    <t>05-2015</t>
  </si>
  <si>
    <t>06-2015</t>
  </si>
  <si>
    <t>07-2015</t>
  </si>
  <si>
    <t>08-2015</t>
  </si>
  <si>
    <t>09-2015</t>
  </si>
  <si>
    <t>10-2015</t>
  </si>
  <si>
    <t>11-2015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</si>
</sst>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yy\ hh:mm:ss"/>
    <numFmt numFmtId="167" formatCode="yyyy\-mm\-dd"/>
    <numFmt numFmtId="168" formatCode="yyyy\-mm\-dd\ hh:mm:ss"/>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xf numFmtId="0" fontId="2" fillId="0" borderId="0" xfId="1"/>
    <xf numFmtId="1" fontId="0" fillId="0" borderId="0" xfId="0" applyNumberFormat="1"/>
    <xf numFmtId="1" fontId="1" fillId="0" borderId="0" xfId="0" applyNumberFormat="1" applyFont="1"/>
    <xf numFmtId="49" fontId="0" fillId="0" borderId="0" xfId="0" applyNumberFormat="1"/>
    <xf numFmtId="49" fontId="1" fillId="0" borderId="0" xfId="0" applyNumberFormat="1"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0" fontId="0" fillId="0" borderId="0" xfId="0" applyAlignment="1">
      <alignment wrapText="1"/>
    </xf>
    <xf numFmtId="0" fontId="2" fillId="0" borderId="0" xfId="1" applyAlignment="1">
      <alignment wrapText="1"/>
    </xf>
    <xf numFmtId="167" fontId="0" fillId="0" borderId="0" xfId="0" applyNumberFormat="1"/>
    <xf numFmtId="167" fontId="1" fillId="0" borderId="0" xfId="0" applyNumberFormat="1" applyFont="1"/>
    <xf numFmtId="168" fontId="0" fillId="0" borderId="0" xfId="0" applyNumberFormat="1"/>
    <xf numFmtId="168" fontId="1" fillId="0" borderId="0" xfId="0" applyNumberFormat="1" applyFont="1"/>
    <xf numFmtId="0" fontId="0" fillId="0" borderId="0" xfId="0" applyNumberFormat="1"/>
    <xf numFmtId="0" fontId="0" fillId="0" borderId="0" xfId="0" pivotButton="1"/>
    <xf numFmtId="0" fontId="0" fillId="0" borderId="0" xfId="0" applyAlignment="1">
      <alignment horizontal="left"/>
    </xf>
    <xf numFmtId="14" fontId="0" fillId="0" borderId="0" xfId="0" applyNumberFormat="1"/>
  </cellXfs>
  <cellStyles count="2">
    <cellStyle name="Hipervínculo" xfId="1" builtinId="8"/>
    <cellStyle name="Normal" xfId="0" builtinId="0"/>
  </cellStyles>
  <dxfs count="42810">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6040"/>
        </patternFill>
      </fill>
    </dxf>
    <dxf>
      <fill>
        <patternFill>
          <bgColor rgb="FFFFC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daniel kottow" refreshedDate="42346.524969444443" createdVersion="5" refreshedVersion="5" minRefreshableVersion="3" recordCount="1502">
  <cacheSource type="worksheet">
    <worksheetSource ref="C1:K2000" sheet="orders.rows"/>
  </cacheSource>
  <cacheFields count="9">
    <cacheField name="status" numFmtId="0">
      <sharedItems containsBlank="1"/>
    </cacheField>
    <cacheField name="ref" numFmtId="49">
      <sharedItems containsBlank="1"/>
    </cacheField>
    <cacheField name="id" numFmtId="1">
      <sharedItems containsString="0" containsBlank="1" containsNumber="1" containsInteger="1" minValue="1" maxValue="1500"/>
    </cacheField>
    <cacheField name="order_date" numFmtId="167">
      <sharedItems containsNonDate="0" containsDate="1" containsString="0" containsBlank="1" minDate="2014-01-01T00:00:00" maxDate="2015-12-01T00:00:00"/>
    </cacheField>
    <cacheField name="customers_ref" numFmtId="0">
      <sharedItems containsBlank="1" count="99">
        <s v="Colby Clay pharetra@porttitorinterdumSed.ca(4)"/>
        <s v="Iona Simpson metus@elementumlorem.org(19)"/>
        <s v="Prescott Nelson ultrices.posuere.cubilia@metusAeneansed.edu(90)"/>
        <s v="Stuart Vega commodo.hendrerit.Donec@et.net(17)"/>
        <s v="Wade Coleman auctor@velitQuisque.co.uk(20)"/>
        <s v="Zeus Trujillo scelerisque.mollis@id.ca(73)"/>
        <s v="Kendall Rocha quis@maurisut.com(71)"/>
        <s v="Donovan Gomez ullamcorper.eu@anteblandit.net(78)"/>
        <s v="Christine Medina lobortis.Class.aptent@nonnisi.co.uk(66)"/>
        <s v="John Drake Curae.Donec@Cras.ca(32)"/>
        <s v="Vivian Mendoza dignissim.lacus.Aliquam@Nullam.org(94)"/>
        <s v="Nayda Shields sem@Phasellusliberomauris.edu(49)"/>
        <s v="Adrian Dodson Fusce@magnaPraesentinterdum.net(7)"/>
        <s v="Madeline Reynolds feugiat@lectusante.net(22)"/>
        <s v="Aristotle Avery ipsum@eunibhvulputate.com(55)"/>
        <s v="Rhonda Curtis lorem.lorem@nibhAliquam.ca(30)"/>
        <s v="Cameron Rivera Ut.nec.urna@odioPhasellus.org(14)"/>
        <s v="Angelica Ortiz justo.nec@nec.edu(52)"/>
        <s v="Uta Workman vitae.sodales@mattis.com(13)"/>
        <s v="Mariko Cameron magna@luctus.net(77)"/>
        <s v="Martin Dunlap tempus.scelerisque@Vestibulumuteros.org(64)"/>
        <s v="Clio Carter hendrerit@nuncQuisqueornare.org(51)"/>
        <s v="Hermione Maldonado augue.malesuada.malesuada@lorem.edu(18)"/>
        <s v="Abigail Shepard lobortis.Class.aptent@Suspendisseac.com(79)"/>
        <s v="Indira Suarez dignissim@pharetraNam.net(31)"/>
        <s v="Belle Short mauris.id@montesnascetur.com(36)"/>
        <s v="Stacey Kirk hendrerit.consectetuer.cursus@Nuncuterat.ca(62)"/>
        <s v="Ora Mann orci@Loremipsumdolor.org(41)"/>
        <s v="Galvin Becker et.ipsum.cursus@Nulla.net(72)"/>
        <s v="Dane Stafford mi@porttitortellus.org(43)"/>
        <s v="Zane Parrish lectus@massa.co.uk(35)"/>
        <s v="Tanek Santos consequat.auctor.nunc@natoquepenatibus.net(16)"/>
        <s v="Gabriel Carlson id.ante.Nunc@sedleo.com(45)"/>
        <s v="Lionel Vargas egestas.a.scelerisque@facilisisfacilisismagna.co.uk(21)"/>
        <s v="Lesley Keith vitae.diam.Proin@nuncid.com(65)"/>
        <s v="Anne Slater nibh@Donec.org(100)"/>
        <s v="Hanna Simpson eu@idrisus.com(6)"/>
        <s v="Harrison Klein non.quam.Pellentesque@nonjusto.edu(60)"/>
        <s v="Blossom Mosley consectetuer.ipsum.nunc@egestasblanditNam.org(10)"/>
        <s v="Morgan Hoffman nec.ante@adipiscingelit.net(98)"/>
        <s v="Yoshi Bennett mauris@Crasconvallis.com(9)"/>
        <s v="Lillian Larsen tristique.senectus@nuncsed.com(40)"/>
        <s v="Alma Salas Nunc@nullavulputate.co.uk(48)"/>
        <s v="Bernard Cash nunc.sit.amet@posuereat.co.uk(42)"/>
        <s v="Alexa Herring mi@variuset.net(85)"/>
        <s v="Alice Bray consequat.nec@mattissemperdui.ca(57)"/>
        <s v="Colt Hart eu.nibh.vulputate@semeget.net(1)"/>
        <s v="Buffy Jennings tellus@pharetra.net(82)"/>
        <s v="Yvonne Brewer cursus.non.egestas@adipiscingnon.com(97)"/>
        <s v="Cameron Burton ipsum@anteiaculis.edu(27)"/>
        <s v="Irene Carver leo.in@neque.co.uk(37)"/>
        <s v="Maile Torres Sed.pharetra@nectempus.edu(5)"/>
        <s v="Lois Valdez nisi.magna.sed@arcuVestibulumante.edu(93)"/>
        <s v="Ulysses Hudson arcu.Aliquam.ultrices@faucibusorciluctus.org(25)"/>
        <s v="Ivy Livingston elit.Nulla.facilisi@semmollis.net(29)"/>
        <s v="Claudia Crane ipsum@viverraMaecenas.org(81)"/>
        <s v="Mary Moore sem@egestasa.co.uk(75)"/>
        <s v="Tate Lowery urna.Nunc.quis@nequeNullamut.edu(74)"/>
        <s v="Adrienne Sandoval orci.adipiscing.non@estac.co.uk(33)"/>
        <s v="Cadman Huffman magna.Suspendisse@inconsectetueripsum.org(87)"/>
        <s v="Serina Booker amet.faucibus.ut@magna.net(83)"/>
        <s v="Armando Le mattis.semper@luctuset.co.uk(80)"/>
        <s v="Theodore Mills ligula.Donec.luctus@Vivamusnon.org(2)"/>
        <s v="Madeson Silva dictum@aliquetvelvulputate.edu(95)"/>
        <s v="Benedict Todd tristique@Donec.co.uk(96)"/>
        <s v="April Buckley massa.Integer.vitae@pharetraQuisque.ca(50)"/>
        <s v="Dale Fry magna.Suspendisse.tristique@ante.org(46)"/>
        <s v="Hayley Foster laoreet.ipsum@quismassaMauris.com(68)"/>
        <s v="Sloane Goodwin Proin@Utnecurna.org(61)"/>
        <s v="Oprah Horton quis.diam.Pellentesque@ultriciesadipiscing.ca(11)"/>
        <s v="Scarlett Odonnell orci@lacusQuisqueimperdiet.edu(70)"/>
        <s v="Jonah Griffin enim.Curabitur@Maecenas.com(89)"/>
        <s v="Mariam Juarez fermentum.convallis.ligula@Integer.org(59)"/>
        <s v="Mohammad Carrillo aliquet.libero.Integer@at.ca(56)"/>
        <s v="Zorita Rutledge augue.eu.tellus@egestasAliquam.ca(99)"/>
        <s v="Donna Molina Donec.porttitor@fames.com(84)"/>
        <s v="Ferris Erickson adipiscing@scelerisquenequesed.edu(28)"/>
        <s v="Mannix Owen a.malesuada@semperet.com(63)"/>
        <s v="Lucius Gallagher gravida.molestie@fermentumfermentumarcu.ca(54)"/>
        <s v="Shelly Bridges non.justo@dictum.ca(8)"/>
        <s v="Doris Valdez sit@nonquamPellentesque.net(91)"/>
        <s v="Rhoda Jacobson pellentesque.eget@orciluctus.co.uk(12)"/>
        <s v="Tashya Osborne vitae.dolor.Donec@ac.co.uk(39)"/>
        <s v="Jescie Peck sagittis.augue.eu@felisorciadipiscing.edu(58)"/>
        <s v="Karleigh Jacobson massa.non.ante@Fusce.co.uk(69)"/>
        <s v="Bruce Woods non.luctus@NuncmaurisMorbi.com(15)"/>
        <s v="Cherokee Tanner odio.tristique.pharetra@conubianostraper.ca(26)"/>
        <s v="Marny Boyer Aliquam.gravida@inaliquet.net(92)"/>
        <s v="Yuri Oneal Aliquam.vulputate.ullamcorper@disparturientmontes.co.uk(76)"/>
        <s v="Aspen Fuentes velit@pharetra.edu(53)"/>
        <s v="Quinn Ewing et.arcu.imperdiet@eratin.com(24)"/>
        <s v="Marah West est.Nunc.ullamcorper@pellentesque.co.uk(44)"/>
        <s v="Melvin Finch feugiat.nec.diam@laoreetipsumCurabitur.ca(34)"/>
        <s v="Cheryl Edwards neque.venenatis@egestasAliquam.co.uk(88)"/>
        <s v="Eugenia Roman Integer.in@Aenean.com(47)"/>
        <s v="Sigourney Ramsey ut@Intinciduntcongue.edu(86)"/>
        <s v="Renee Adkins Nulla.dignissim.Maecenas@ipsum.net(38)"/>
        <s v="Yetta Duke sed@sapiengravidanon.edu(67)"/>
        <m/>
      </sharedItems>
    </cacheField>
    <cacheField name="total_amount" numFmtId="2">
      <sharedItems containsString="0" containsBlank="1" containsNumber="1" minValue="4.99" maxValue="106.87"/>
    </cacheField>
    <cacheField name="modified_by" numFmtId="49">
      <sharedItems containsBlank="1"/>
    </cacheField>
    <cacheField name="modified_on" numFmtId="168">
      <sharedItems containsNonDate="0" containsDate="1" containsString="0" containsBlank="1" minDate="2014-01-01T23:04:57" maxDate="2015-11-30T16:19:20"/>
    </cacheField>
    <cacheField name="YM" numFmtId="0">
      <sharedItems containsBlank="1" count="47">
        <s v="01-2014"/>
        <s v="02-2014"/>
        <s v="03-2014"/>
        <s v="04-2014"/>
        <s v="05-2014"/>
        <s v="06-2014"/>
        <s v="07-2014"/>
        <s v="08-2014"/>
        <s v="09-2014"/>
        <s v="10-2014"/>
        <s v="11-2014"/>
        <s v="12-2014"/>
        <s v="01-2015"/>
        <s v="02-2015"/>
        <s v="03-2015"/>
        <s v="04-2015"/>
        <s v="05-2015"/>
        <s v="06-2015"/>
        <s v="07-2015"/>
        <s v="08-2015"/>
        <s v="09-2015"/>
        <s v="10-2015"/>
        <s v="11-2015"/>
        <m/>
        <s v="2015-10" u="1"/>
        <s v="2015-11" u="1"/>
        <s v="2014-10" u="1"/>
        <s v="2014-11" u="1"/>
        <s v="2014-12" u="1"/>
        <s v="2015-1" u="1"/>
        <s v="2015-2" u="1"/>
        <s v="2015-3" u="1"/>
        <s v="2014-1" u="1"/>
        <s v="2015-4" u="1"/>
        <s v="2014-2" u="1"/>
        <s v="2015-5" u="1"/>
        <s v="2014-3" u="1"/>
        <s v="2015-6" u="1"/>
        <s v="2014-4" u="1"/>
        <s v="2015-7" u="1"/>
        <s v="2014-5" u="1"/>
        <s v="2015-8" u="1"/>
        <s v="2014-6" u="1"/>
        <s v="2015-9" u="1"/>
        <s v="2014-7" u="1"/>
        <s v="2014-8" u="1"/>
        <s v="2014-9"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niel kottow" refreshedDate="42346.533561805554" createdVersion="5" refreshedVersion="5" minRefreshableVersion="3" recordCount="2906">
  <cacheSource type="worksheet">
    <worksheetSource name="products_in_orders.rows!$C$1:$N$4422"/>
  </cacheSource>
  <cacheFields count="12">
    <cacheField name="status" numFmtId="0">
      <sharedItems containsBlank="1"/>
    </cacheField>
    <cacheField name="ref" numFmtId="49">
      <sharedItems containsBlank="1"/>
    </cacheField>
    <cacheField name="id" numFmtId="1">
      <sharedItems containsString="0" containsBlank="1" containsNumber="1" containsInteger="1" minValue="7" maxValue="3956"/>
    </cacheField>
    <cacheField name="orders_ref" numFmtId="0">
      <sharedItems containsBlank="1"/>
    </cacheField>
    <cacheField name="products_ref" numFmtId="0">
      <sharedItems containsBlank="1" count="173">
        <s v="Lobster roll(1091)"/>
        <s v="Jam(1081)"/>
        <s v="Corned beef(1036)"/>
        <s v="Open-faced sandwich(1109)"/>
        <s v="Kottenbutter(1087)"/>
        <s v="Panini(1112)"/>
        <s v="Gatsby(1064)"/>
        <s v="Jambon-beurre(1082)"/>
        <s v="Tuna(1166)"/>
        <s v="Yakisoba-pan(1173)"/>
        <s v="Chow mein(1033)"/>
        <s v="Vada pav(1167)"/>
        <s v="Jucy Lucy(1084)"/>
        <s v="Jibarito(1083)"/>
        <s v="Italiano(1080)"/>
        <s v="Sloppy joe(1142)"/>
        <s v="Runza(1133)"/>
        <s v="Francesinha(1058)"/>
        <s v="Fluffernutter(1057)"/>
        <s v="Patty melt(1113)"/>
        <s v="Submarine/Sub/Baguette(1153)"/>
        <s v="Chip butty(1029)"/>
        <s v="Chacarero(1020)"/>
        <s v="Peanut butter and jelly(1114)"/>
        <s v="Hot chicken(1076)"/>
        <s v="Meatball(1096)"/>
        <s v="Bauru(1008)"/>
        <s v="Bologna sandwich(1011)"/>
        <s v="Pulled pork sandwich(1129)"/>
        <s v="Hagelslag or vlokken(1068)"/>
        <s v="Porilainen(1122)"/>
        <s v="Gyro(1067)"/>
        <s v="Lox(1092)"/>
        <s v="Hot turkey(1077)"/>
        <s v="Cheese and pickle(1022)"/>
        <s v="Mortadella(1105)"/>
        <s v="Ploughman's lunch(1119)"/>
        <s v="Po' boy(1120)"/>
        <s v="Sandwich loaf(1135)"/>
        <s v="Mother-in-law(1106)"/>
        <s v="Melt(1099)"/>
        <s v="Bánh mì(1004)"/>
        <s v="Italian beef(1079)"/>
        <s v="Pan-bagnat(1111)"/>
        <s v="Egg(1052)"/>
        <s v="Barros Jarpa(1006)"/>
        <s v="Naan sandwich(1108)"/>
        <s v="British Rail(1015)"/>
        <s v="Tongue toast(1161)"/>
        <s v="Fried brain(1061)"/>
        <s v="Breakfast(1014)"/>
        <s v="Cheesesteak(1023)"/>
        <s v="Barros Luco(1007)"/>
        <s v="Denver(1045)"/>
        <s v="Fairy bread(1053)"/>
        <s v="Muffuletta(1107)"/>
        <s v="Toast Hawaii(1158)"/>
        <s v="Vegetable(1169)"/>
        <s v="Barbecue(1005)"/>
        <s v="Pistolette(1117)"/>
        <s v="Francesinha poveira(1059)"/>
        <s v="Chicken(1024)"/>
        <s v="Club(1035)"/>
        <s v="Roti john(1131)"/>
        <s v="Mettbrötchen(1100)"/>
        <s v="Crisp(1037)"/>
        <s v="De miga(1136)"/>
        <s v="Ham and cheese(1070)"/>
        <s v="Steak bomb(1150)"/>
        <s v="Luther burger(1093)"/>
        <s v="Steak(1152)"/>
        <s v="Toast(1157)"/>
        <s v="Pudgy Pie(1128)"/>
        <s v="Bosna(1012)"/>
        <s v="Katsu sando(1085)"/>
        <s v="Salt beef bagel(1137)"/>
        <s v="Pebete(1115)"/>
        <s v="Churrasco(1034)"/>
        <s v="Falafel(1054)"/>
        <s v="Chickpea salad(1027)"/>
        <s v="Sailor sandwich(1134)"/>
        <s v="Baked bean(1003)"/>
        <s v="Fischbrötchen(1055)"/>
        <s v="Lettuce(1089)"/>
        <s v="Mollete(1101)"/>
        <s v="Pambazo(1110)"/>
        <s v="Ham(1069)"/>
        <s v="Elvis sandwich(1051)"/>
        <s v="Sol over Gudhjem(1146)"/>
        <s v="Pork chop bun(1123)"/>
        <s v="Tripleta(1165)"/>
        <s v="Deli sandwich(1044)"/>
        <s v="Gerber(1065)"/>
        <s v="Sloppy joe (New Jersey)(1143)"/>
        <s v="Torta(1162)"/>
        <s v="Dyrlægens natmad(1050)"/>
        <s v="Prawn roll(1125)"/>
        <s v="Fool's Gold Loaf(1056)"/>
        <s v="Dagwood(1043)"/>
        <s v="Smørrebrød(1145)"/>
        <s v="St. Paul(1149)"/>
        <s v="Beef on weck(1009)"/>
        <s v="Hamburger(1072)"/>
        <s v="Doubles(1048)"/>
        <s v="Hot brown(1075)"/>
        <s v="Prosperity Sandwich(1127)"/>
        <s v="Martino(1095)"/>
        <s v="Bacon, egg and cheese(1002)"/>
        <s v="Marmite(1094)"/>
        <s v="Croque-monsieur(1038)"/>
        <s v="Chicken schnitzel(1026)"/>
        <s v="Pimento cheese(1116)"/>
        <s v="Dynamite(1049)"/>
        <s v="Tramezzino(1164)"/>
        <s v="Chivito(1031)"/>
        <s v="Toastie(1159)"/>
        <s v="Spiedie(1148)"/>
        <s v="Cucumber(1041)"/>
        <s v="Rou jia mo(1132)"/>
        <s v="Chicken salad(1025)"/>
        <s v="Steak burger(1151)"/>
        <s v="Wrap(1171)"/>
        <s v="Mitraillette(1098)"/>
        <s v="Cuban(1040)"/>
        <s v="Pljeskavica(1118)"/>
        <s v="Sausage(1138)"/>
        <s v="Bun kebab(1017)"/>
        <s v="Medianoche(1097)"/>
        <s v="Limburger sandwich(1090)"/>
        <s v="Croque-madame(1039)"/>
        <s v="Hamdog(1073)"/>
        <s v="Reuben(1130)"/>
        <s v="Donkey burger(1047)"/>
        <s v="Smörgåstårta(1144)"/>
        <s v="Welsh rarebit(1170)"/>
        <s v="Bacon(1001)"/>
        <s v="Shawarma(1139)"/>
        <s v="Horseshoe(1074)"/>
        <s v="Chipped beef(1030)"/>
        <s v="Butterbrot(1018)"/>
        <s v="Cemita(1019)"/>
        <s v="Broodje kroket(1016)"/>
        <s v="Slider(1141)"/>
        <s v="Polish boy(1121)"/>
        <s v="Breakfast roll(1013)"/>
        <s v="Montreal-style smoked meat(1104)"/>
        <s v="Chili burger(1028)"/>
        <s v="Tofu Sandwich(1160)"/>
        <s v="Guajolota(1066)"/>
        <s v="Wurstbrot (sausage bread)(1172)"/>
        <s v="Shuco(1140)"/>
        <s v="Ice cream(1078)"/>
        <s v="Tavern(1154)"/>
        <s v="French dip(1060)"/>
        <s v="Doner kebab(1046)"/>
        <s v="Souvlaki(1147)"/>
        <s v="Kokoretsi(1086)"/>
        <s v="Cudighi(1042)"/>
        <s v="Pork tenderloin(1124)"/>
        <s v="Monte Cristo(1103)"/>
        <s v="BLT(1010)"/>
        <s v="Torta ahogada(1163)"/>
        <m/>
        <s v="Montadito(1102)" u="1"/>
        <s v="Cheese(1021)" u="1"/>
        <s v="Zapiekanka(1174)" u="1"/>
        <s v="Ftira(1063)" u="1"/>
        <s v="Choripán(1032)" u="1"/>
        <s v="Fruit(1062)" u="1"/>
        <s v="TLT (Tempeh, Lettuce, and Tomato)(1156)" u="1"/>
        <s v="Tea(1155)" u="1"/>
        <s v="Primanti(1126)" u="1"/>
        <s v="Ham and egg bun(1071)" u="1"/>
      </sharedItems>
    </cacheField>
    <cacheField name="unit_price" numFmtId="2">
      <sharedItems containsString="0" containsBlank="1" containsNumber="1" minValue="4.99" maxValue="9.99"/>
    </cacheField>
    <cacheField name="quantity" numFmtId="1">
      <sharedItems containsString="0" containsBlank="1" containsNumber="1" containsInteger="1" minValue="1" maxValue="3"/>
    </cacheField>
    <cacheField name="modified_by" numFmtId="49">
      <sharedItems containsBlank="1"/>
    </cacheField>
    <cacheField name="modified_on" numFmtId="168">
      <sharedItems containsNonDate="0" containsDate="1" containsString="0" containsBlank="1" minDate="2014-01-01T23:04:57" maxDate="2014-12-31T20:36:11"/>
    </cacheField>
    <cacheField name="order date" numFmtId="14">
      <sharedItems containsDate="1" containsBlank="1" containsMixedTypes="1" minDate="2014-01-01T00:00:00" maxDate="2015-01-01T00:00:00"/>
    </cacheField>
    <cacheField name="YM" numFmtId="0">
      <sharedItems containsBlank="1" count="14">
        <s v="01-2014"/>
        <s v="02-2014"/>
        <s v="03-2014"/>
        <s v="04-2014"/>
        <s v="05-2014"/>
        <s v="06-2014"/>
        <s v="07-2014"/>
        <s v="08-2014"/>
        <s v="09-2014"/>
        <s v="10-2014"/>
        <s v="11-2014"/>
        <s v="12-2014"/>
        <e v="#VALUE!"/>
        <m/>
      </sharedItems>
    </cacheField>
    <cacheField name="product_sale" numFmtId="0">
      <sharedItems containsString="0" containsBlank="1" containsNumber="1" minValue="0" maxValue="29.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02">
  <r>
    <s v="0 Original"/>
    <s v="2014-01-01 Colby Clay(419)"/>
    <n v="419"/>
    <d v="2014-01-01T00:00:00"/>
    <x v="0"/>
    <n v="25.97"/>
    <s v="www"/>
    <d v="2014-01-01T23:04:57"/>
    <x v="0"/>
  </r>
  <r>
    <s v="0 Original"/>
    <s v="2014-01-02 Iona Simpson(383)"/>
    <n v="383"/>
    <d v="2014-01-02T00:00:00"/>
    <x v="1"/>
    <n v="24.97"/>
    <s v="www"/>
    <d v="2014-01-02T09:17:08"/>
    <x v="0"/>
  </r>
  <r>
    <s v="0 Original"/>
    <s v="2014-01-04 Prescott Nelson(857)"/>
    <n v="857"/>
    <d v="2014-01-04T00:00:00"/>
    <x v="2"/>
    <n v="41.94"/>
    <s v="www"/>
    <d v="2014-01-04T05:02:40"/>
    <x v="0"/>
  </r>
  <r>
    <s v="0 Original"/>
    <s v="2014-01-04 Colby Clay(693)"/>
    <n v="693"/>
    <d v="2014-01-04T00:00:00"/>
    <x v="0"/>
    <n v="44.95"/>
    <s v="www"/>
    <d v="2014-01-04T12:39:45"/>
    <x v="0"/>
  </r>
  <r>
    <s v="0 Original"/>
    <s v="2014-01-04 Stuart Vega(208)"/>
    <n v="208"/>
    <d v="2014-01-04T00:00:00"/>
    <x v="3"/>
    <n v="24.97"/>
    <s v="www"/>
    <d v="2014-01-04T13:58:05"/>
    <x v="0"/>
  </r>
  <r>
    <s v="0 Original"/>
    <s v="2014-01-04 Colby Clay(505)"/>
    <n v="505"/>
    <d v="2014-01-04T00:00:00"/>
    <x v="0"/>
    <n v="16.98"/>
    <s v="www"/>
    <d v="2014-01-04T16:41:18"/>
    <x v="0"/>
  </r>
  <r>
    <s v="0 Original"/>
    <s v="2014-01-04 Wade Coleman(107)"/>
    <n v="107"/>
    <d v="2014-01-04T00:00:00"/>
    <x v="4"/>
    <n v="30.96"/>
    <s v="www"/>
    <d v="2014-01-04T17:38:55"/>
    <x v="0"/>
  </r>
  <r>
    <s v="0 Original"/>
    <s v="2014-01-04 Zeus Trujillo(548)"/>
    <n v="548"/>
    <d v="2014-01-04T00:00:00"/>
    <x v="5"/>
    <n v="27.96"/>
    <s v="www"/>
    <d v="2014-01-04T18:09:56"/>
    <x v="0"/>
  </r>
  <r>
    <s v="0 Original"/>
    <s v="2014-01-04 Prescott Nelson(747)"/>
    <n v="747"/>
    <d v="2014-01-04T00:00:00"/>
    <x v="2"/>
    <n v="13.98"/>
    <s v="www"/>
    <d v="2014-01-04T23:08:34"/>
    <x v="0"/>
  </r>
  <r>
    <s v="0 Original"/>
    <s v="2014-01-05 Kendall Rocha(300)"/>
    <n v="300"/>
    <d v="2014-01-05T00:00:00"/>
    <x v="6"/>
    <n v="6.99"/>
    <s v="www"/>
    <d v="2014-01-05T09:33:54"/>
    <x v="0"/>
  </r>
  <r>
    <s v="0 Original"/>
    <s v="2014-01-05 Donovan Gomez(1003)"/>
    <n v="1003"/>
    <d v="2014-01-05T00:00:00"/>
    <x v="7"/>
    <n v="43.94"/>
    <s v="www"/>
    <d v="2014-01-05T14:13:28"/>
    <x v="0"/>
  </r>
  <r>
    <s v="0 Original"/>
    <s v="2014-01-05 Christine Medina(722)"/>
    <n v="722"/>
    <d v="2014-01-05T00:00:00"/>
    <x v="8"/>
    <n v="7.99"/>
    <s v="www"/>
    <d v="2014-01-05T16:01:33"/>
    <x v="0"/>
  </r>
  <r>
    <s v="0 Original"/>
    <s v="2014-01-07 John Drake(784)"/>
    <n v="784"/>
    <d v="2014-01-07T00:00:00"/>
    <x v="9"/>
    <n v="74.92"/>
    <s v="www"/>
    <d v="2014-01-07T14:59:03"/>
    <x v="0"/>
  </r>
  <r>
    <s v="0 Original"/>
    <s v="2014-01-08 Vivian Mendoza(377)"/>
    <n v="377"/>
    <d v="2014-01-08T00:00:00"/>
    <x v="10"/>
    <n v="40.94"/>
    <s v="www"/>
    <d v="2014-01-08T03:41:57"/>
    <x v="0"/>
  </r>
  <r>
    <s v="0 Original"/>
    <s v="2014-01-08 Nayda Shields(869)"/>
    <n v="869"/>
    <d v="2014-01-08T00:00:00"/>
    <x v="11"/>
    <n v="37.950000000000003"/>
    <s v="www"/>
    <d v="2014-01-08T15:07:47"/>
    <x v="0"/>
  </r>
  <r>
    <s v="0 Original"/>
    <s v="2014-01-09 Vivian Mendoza(326)"/>
    <n v="326"/>
    <d v="2014-01-09T00:00:00"/>
    <x v="10"/>
    <n v="26.97"/>
    <s v="www"/>
    <d v="2014-01-09T06:34:31"/>
    <x v="0"/>
  </r>
  <r>
    <s v="0 Original"/>
    <s v="2014-01-10 Adrian Dodson(364)"/>
    <n v="364"/>
    <d v="2014-01-10T00:00:00"/>
    <x v="12"/>
    <n v="32.950000000000003"/>
    <s v="www"/>
    <d v="2014-01-10T20:05:58"/>
    <x v="0"/>
  </r>
  <r>
    <s v="0 Original"/>
    <s v="2014-01-11 Madeline Reynolds(622)"/>
    <n v="622"/>
    <d v="2014-01-11T00:00:00"/>
    <x v="13"/>
    <n v="48.94"/>
    <s v="www"/>
    <d v="2014-01-11T16:43:26"/>
    <x v="0"/>
  </r>
  <r>
    <s v="0 Original"/>
    <s v="2014-01-11 Aristotle Avery(495)"/>
    <n v="495"/>
    <d v="2014-01-11T00:00:00"/>
    <x v="14"/>
    <n v="13.98"/>
    <s v="www"/>
    <d v="2014-01-11T18:03:32"/>
    <x v="0"/>
  </r>
  <r>
    <s v="0 Original"/>
    <s v="2014-01-11 Rhonda Curtis(403)"/>
    <n v="403"/>
    <d v="2014-01-11T00:00:00"/>
    <x v="15"/>
    <n v="8.99"/>
    <s v="www"/>
    <d v="2014-01-11T18:09:50"/>
    <x v="0"/>
  </r>
  <r>
    <s v="0 Original"/>
    <s v="2014-01-12 Madeline Reynolds(80)"/>
    <n v="80"/>
    <d v="2014-01-12T00:00:00"/>
    <x v="13"/>
    <n v="35.950000000000003"/>
    <s v="www"/>
    <d v="2014-01-12T00:32:54"/>
    <x v="0"/>
  </r>
  <r>
    <s v="0 Original"/>
    <s v="2014-01-12 Cameron Rivera(865)"/>
    <n v="865"/>
    <d v="2014-01-12T00:00:00"/>
    <x v="16"/>
    <n v="31.96"/>
    <s v="www"/>
    <d v="2014-01-12T05:41:06"/>
    <x v="0"/>
  </r>
  <r>
    <s v="0 Original"/>
    <s v="2014-01-13 Nayda Shields(1023)"/>
    <n v="1023"/>
    <d v="2014-01-13T00:00:00"/>
    <x v="11"/>
    <n v="40.950000000000003"/>
    <s v="www"/>
    <d v="2014-01-13T06:54:00"/>
    <x v="0"/>
  </r>
  <r>
    <s v="0 Original"/>
    <s v="2014-01-13 Christine Medina(883)"/>
    <n v="883"/>
    <d v="2014-01-13T00:00:00"/>
    <x v="8"/>
    <n v="59.92"/>
    <s v="www"/>
    <d v="2014-01-13T08:31:20"/>
    <x v="0"/>
  </r>
  <r>
    <s v="0 Original"/>
    <s v="2014-01-14 Angelica Ortiz(350)"/>
    <n v="350"/>
    <d v="2014-01-14T00:00:00"/>
    <x v="17"/>
    <n v="36.96"/>
    <s v="www"/>
    <d v="2014-01-14T00:45:25"/>
    <x v="0"/>
  </r>
  <r>
    <s v="0 Original"/>
    <s v="2014-01-14 Uta Workman(628)"/>
    <n v="628"/>
    <d v="2014-01-14T00:00:00"/>
    <x v="18"/>
    <n v="46.93"/>
    <s v="www"/>
    <d v="2014-01-14T19:24:39"/>
    <x v="0"/>
  </r>
  <r>
    <s v="0 Original"/>
    <s v="2014-01-14 Uta Workman(268)"/>
    <n v="268"/>
    <d v="2014-01-14T00:00:00"/>
    <x v="18"/>
    <n v="4.99"/>
    <s v="www"/>
    <d v="2014-01-14T21:02:23"/>
    <x v="0"/>
  </r>
  <r>
    <s v="0 Original"/>
    <s v="2014-01-15 Mariko Cameron(677)"/>
    <n v="677"/>
    <d v="2014-01-15T00:00:00"/>
    <x v="19"/>
    <n v="40.94"/>
    <s v="www"/>
    <d v="2014-01-15T07:10:17"/>
    <x v="0"/>
  </r>
  <r>
    <s v="0 Original"/>
    <s v="2014-01-15 Martin Dunlap(226)"/>
    <n v="226"/>
    <d v="2014-01-15T00:00:00"/>
    <x v="20"/>
    <n v="14.98"/>
    <s v="www"/>
    <d v="2014-01-15T11:10:24"/>
    <x v="0"/>
  </r>
  <r>
    <s v="0 Original"/>
    <s v="2014-01-15 Nayda Shields(900)"/>
    <n v="900"/>
    <d v="2014-01-15T00:00:00"/>
    <x v="11"/>
    <n v="36.950000000000003"/>
    <s v="www"/>
    <d v="2014-01-15T16:29:09"/>
    <x v="0"/>
  </r>
  <r>
    <s v="0 Original"/>
    <s v="2014-01-16 Nayda Shields(397)"/>
    <n v="397"/>
    <d v="2014-01-16T00:00:00"/>
    <x v="11"/>
    <n v="18.98"/>
    <s v="www"/>
    <d v="2014-01-16T06:26:54"/>
    <x v="0"/>
  </r>
  <r>
    <s v="0 Original"/>
    <s v="2014-01-16 Clio Carter(626)"/>
    <n v="626"/>
    <d v="2014-01-16T00:00:00"/>
    <x v="21"/>
    <n v="49.94"/>
    <s v="www"/>
    <d v="2014-01-16T08:03:45"/>
    <x v="0"/>
  </r>
  <r>
    <s v="0 Original"/>
    <s v="2014-01-16 Christine Medina(1155)"/>
    <n v="1155"/>
    <d v="2014-01-16T00:00:00"/>
    <x v="8"/>
    <n v="24.97"/>
    <s v="www"/>
    <d v="2014-01-16T09:53:24"/>
    <x v="0"/>
  </r>
  <r>
    <s v="0 Original"/>
    <s v="2014-01-17 Nayda Shields(683)"/>
    <n v="683"/>
    <d v="2014-01-17T00:00:00"/>
    <x v="11"/>
    <n v="21.97"/>
    <s v="www"/>
    <d v="2014-01-17T08:42:23"/>
    <x v="0"/>
  </r>
  <r>
    <s v="0 Original"/>
    <s v="2014-01-17 Zeus Trujillo(320)"/>
    <n v="320"/>
    <d v="2014-01-17T00:00:00"/>
    <x v="5"/>
    <n v="22.97"/>
    <s v="www"/>
    <d v="2014-01-17T10:23:45"/>
    <x v="0"/>
  </r>
  <r>
    <s v="0 Original"/>
    <s v="2014-01-18 Hermione Maldonado(198)"/>
    <n v="198"/>
    <d v="2014-01-18T00:00:00"/>
    <x v="22"/>
    <n v="57.93"/>
    <s v="www"/>
    <d v="2014-01-18T08:53:38"/>
    <x v="0"/>
  </r>
  <r>
    <s v="0 Original"/>
    <s v="2014-01-18 Adrian Dodson(9)"/>
    <n v="9"/>
    <d v="2014-01-18T00:00:00"/>
    <x v="12"/>
    <n v="11.98"/>
    <s v="www"/>
    <d v="2014-01-18T11:35:34"/>
    <x v="0"/>
  </r>
  <r>
    <s v="0 Original"/>
    <s v="2014-01-19 Abigail Shepard(125)"/>
    <n v="125"/>
    <d v="2014-01-19T00:00:00"/>
    <x v="23"/>
    <n v="33.950000000000003"/>
    <s v="www"/>
    <d v="2014-01-19T08:03:19"/>
    <x v="0"/>
  </r>
  <r>
    <s v="0 Original"/>
    <s v="2014-01-19 Indira Suarez(648)"/>
    <n v="648"/>
    <d v="2014-01-19T00:00:00"/>
    <x v="24"/>
    <n v="32.96"/>
    <s v="www"/>
    <d v="2014-01-19T14:07:47"/>
    <x v="0"/>
  </r>
  <r>
    <s v="0 Original"/>
    <s v="2014-01-19 Belle Short(1186)"/>
    <n v="1186"/>
    <d v="2014-01-19T00:00:00"/>
    <x v="25"/>
    <n v="47.93"/>
    <s v="www"/>
    <d v="2014-01-19T17:27:41"/>
    <x v="0"/>
  </r>
  <r>
    <s v="0 Original"/>
    <s v="2014-01-19 Belle Short(1127)"/>
    <n v="1127"/>
    <d v="2014-01-19T00:00:00"/>
    <x v="25"/>
    <n v="53.93"/>
    <s v="www"/>
    <d v="2014-01-19T19:22:33"/>
    <x v="0"/>
  </r>
  <r>
    <s v="0 Original"/>
    <s v="2014-01-21 Stacey Kirk(259)"/>
    <n v="259"/>
    <d v="2014-01-21T00:00:00"/>
    <x v="26"/>
    <n v="16.97"/>
    <s v="www"/>
    <d v="2014-01-21T11:36:19"/>
    <x v="0"/>
  </r>
  <r>
    <s v="0 Original"/>
    <s v="2014-01-22 Cameron Rivera(730)"/>
    <n v="730"/>
    <d v="2014-01-22T00:00:00"/>
    <x v="16"/>
    <n v="77.900000000000006"/>
    <s v="www"/>
    <d v="2014-01-22T00:37:54"/>
    <x v="0"/>
  </r>
  <r>
    <s v="0 Original"/>
    <s v="2014-01-22 Nayda Shields(699)"/>
    <n v="699"/>
    <d v="2014-01-22T00:00:00"/>
    <x v="11"/>
    <n v="13.98"/>
    <s v="www"/>
    <d v="2014-01-22T04:13:03"/>
    <x v="0"/>
  </r>
  <r>
    <s v="0 Original"/>
    <s v="2014-01-22 Ora Mann(1100)"/>
    <n v="1100"/>
    <d v="2014-01-22T00:00:00"/>
    <x v="27"/>
    <n v="5.99"/>
    <s v="www"/>
    <d v="2014-01-22T14:39:47"/>
    <x v="0"/>
  </r>
  <r>
    <s v="0 Original"/>
    <s v="2014-01-23 John Drake(962)"/>
    <n v="962"/>
    <d v="2014-01-23T00:00:00"/>
    <x v="9"/>
    <n v="48.94"/>
    <s v="www"/>
    <d v="2014-01-23T05:30:10"/>
    <x v="0"/>
  </r>
  <r>
    <s v="0 Original"/>
    <s v="2014-01-24 Galvin Becker(678)"/>
    <n v="678"/>
    <d v="2014-01-24T00:00:00"/>
    <x v="28"/>
    <n v="23.97"/>
    <s v="www"/>
    <d v="2014-01-24T01:34:08"/>
    <x v="0"/>
  </r>
  <r>
    <s v="0 Original"/>
    <s v="2014-01-24 Madeline Reynolds(856)"/>
    <n v="856"/>
    <d v="2014-01-24T00:00:00"/>
    <x v="13"/>
    <n v="20.97"/>
    <s v="www"/>
    <d v="2014-01-24T03:30:48"/>
    <x v="0"/>
  </r>
  <r>
    <s v="0 Original"/>
    <s v="2014-01-24 Dane Stafford(550)"/>
    <n v="550"/>
    <d v="2014-01-24T00:00:00"/>
    <x v="29"/>
    <n v="8.99"/>
    <s v="www"/>
    <d v="2014-01-24T08:12:12"/>
    <x v="0"/>
  </r>
  <r>
    <s v="0 Original"/>
    <s v="2014-01-24 Zane Parrish(305)"/>
    <n v="305"/>
    <d v="2014-01-24T00:00:00"/>
    <x v="30"/>
    <n v="22.97"/>
    <s v="www"/>
    <d v="2014-01-24T20:12:13"/>
    <x v="0"/>
  </r>
  <r>
    <s v="0 Original"/>
    <s v="2014-01-27 Belle Short(1088)"/>
    <n v="1088"/>
    <d v="2014-01-27T00:00:00"/>
    <x v="25"/>
    <n v="19.96"/>
    <s v="www"/>
    <d v="2014-01-27T10:33:08"/>
    <x v="0"/>
  </r>
  <r>
    <s v="0 Original"/>
    <s v="2014-01-27 Cameron Rivera(1004)"/>
    <n v="1004"/>
    <d v="2014-01-27T00:00:00"/>
    <x v="16"/>
    <n v="31.96"/>
    <s v="www"/>
    <d v="2014-01-27T19:38:39"/>
    <x v="0"/>
  </r>
  <r>
    <s v="0 Original"/>
    <s v="2014-01-28 Nayda Shields(725)"/>
    <n v="725"/>
    <d v="2014-01-28T00:00:00"/>
    <x v="11"/>
    <n v="9.98"/>
    <s v="www"/>
    <d v="2014-01-28T07:24:29"/>
    <x v="0"/>
  </r>
  <r>
    <s v="0 Original"/>
    <s v="2014-01-28 Tanek Santos(129)"/>
    <n v="129"/>
    <d v="2014-01-28T00:00:00"/>
    <x v="31"/>
    <n v="9.99"/>
    <s v="www"/>
    <d v="2014-01-28T07:33:42"/>
    <x v="0"/>
  </r>
  <r>
    <s v="0 Original"/>
    <s v="2014-01-28 Gabriel Carlson(537)"/>
    <n v="537"/>
    <d v="2014-01-28T00:00:00"/>
    <x v="32"/>
    <n v="25.97"/>
    <s v="www"/>
    <d v="2014-01-28T11:28:11"/>
    <x v="0"/>
  </r>
  <r>
    <s v="0 Original"/>
    <s v="2014-01-28 Lionel Vargas(271)"/>
    <n v="271"/>
    <d v="2014-01-28T00:00:00"/>
    <x v="33"/>
    <n v="31.96"/>
    <s v="www"/>
    <d v="2014-01-28T20:16:37"/>
    <x v="0"/>
  </r>
  <r>
    <s v="0 Original"/>
    <s v="2014-01-29 Lesley Keith(174)"/>
    <n v="174"/>
    <d v="2014-01-29T00:00:00"/>
    <x v="34"/>
    <n v="43.94"/>
    <s v="www"/>
    <d v="2014-01-29T18:40:24"/>
    <x v="0"/>
  </r>
  <r>
    <s v="0 Original"/>
    <s v="2014-01-29 Anne Slater(302)"/>
    <n v="302"/>
    <d v="2014-01-29T00:00:00"/>
    <x v="35"/>
    <n v="14.97"/>
    <s v="www"/>
    <d v="2014-01-29T23:48:37"/>
    <x v="0"/>
  </r>
  <r>
    <s v="0 Original"/>
    <s v="2014-01-30 Nayda Shields(1073)"/>
    <n v="1073"/>
    <d v="2014-01-30T00:00:00"/>
    <x v="11"/>
    <n v="25.97"/>
    <s v="www"/>
    <d v="2014-01-30T04:34:32"/>
    <x v="0"/>
  </r>
  <r>
    <s v="0 Original"/>
    <s v="2014-01-30 Belle Short(1149)"/>
    <n v="1149"/>
    <d v="2014-01-30T00:00:00"/>
    <x v="25"/>
    <n v="37.96"/>
    <s v="www"/>
    <d v="2014-01-30T17:17:43"/>
    <x v="0"/>
  </r>
  <r>
    <s v="0 Original"/>
    <s v="2014-01-31 Galvin Becker(348)"/>
    <n v="348"/>
    <d v="2014-01-31T00:00:00"/>
    <x v="28"/>
    <n v="17.98"/>
    <s v="www"/>
    <d v="2014-01-31T07:15:23"/>
    <x v="0"/>
  </r>
  <r>
    <s v="0 Original"/>
    <s v="2014-01-31 Hanna Simpson(369)"/>
    <n v="369"/>
    <d v="2014-01-31T00:00:00"/>
    <x v="36"/>
    <n v="15.98"/>
    <s v="www"/>
    <d v="2014-01-31T07:33:16"/>
    <x v="0"/>
  </r>
  <r>
    <s v="0 Original"/>
    <s v="2014-02-01 Ora Mann(1163)"/>
    <n v="1163"/>
    <d v="2014-02-01T00:00:00"/>
    <x v="27"/>
    <n v="31.96"/>
    <s v="www"/>
    <d v="2014-02-01T14:19:22"/>
    <x v="1"/>
  </r>
  <r>
    <s v="0 Original"/>
    <s v="2014-02-02 Harrison Klein(545)"/>
    <n v="545"/>
    <d v="2014-02-02T00:00:00"/>
    <x v="37"/>
    <n v="23.97"/>
    <s v="www"/>
    <d v="2014-02-02T00:49:08"/>
    <x v="1"/>
  </r>
  <r>
    <s v="0 Original"/>
    <s v="2014-02-02 Dane Stafford(532)"/>
    <n v="532"/>
    <d v="2014-02-02T00:00:00"/>
    <x v="29"/>
    <n v="52.93"/>
    <s v="www"/>
    <d v="2014-02-02T20:10:16"/>
    <x v="1"/>
  </r>
  <r>
    <s v="0 Original"/>
    <s v="2014-02-03 Blossom Mosley(117)"/>
    <n v="117"/>
    <d v="2014-02-03T00:00:00"/>
    <x v="38"/>
    <n v="44.94"/>
    <s v="www"/>
    <d v="2014-02-03T02:25:38"/>
    <x v="1"/>
  </r>
  <r>
    <s v="0 Original"/>
    <s v="2014-02-04 Madeline Reynolds(1182)"/>
    <n v="1182"/>
    <d v="2014-02-04T00:00:00"/>
    <x v="13"/>
    <n v="46.93"/>
    <s v="www"/>
    <d v="2014-02-04T00:12:05"/>
    <x v="1"/>
  </r>
  <r>
    <s v="0 Original"/>
    <s v="2014-02-04 Belle Short(986)"/>
    <n v="986"/>
    <d v="2014-02-04T00:00:00"/>
    <x v="25"/>
    <n v="25.97"/>
    <s v="www"/>
    <d v="2014-02-04T21:04:44"/>
    <x v="1"/>
  </r>
  <r>
    <s v="0 Original"/>
    <s v="2014-02-04 Morgan Hoffman(22)"/>
    <n v="22"/>
    <d v="2014-02-04T00:00:00"/>
    <x v="39"/>
    <n v="29.97"/>
    <s v="www"/>
    <d v="2014-02-04T23:31:00"/>
    <x v="1"/>
  </r>
  <r>
    <s v="0 Original"/>
    <s v="2014-02-05 Donovan Gomez(1160)"/>
    <n v="1160"/>
    <d v="2014-02-05T00:00:00"/>
    <x v="7"/>
    <n v="7.99"/>
    <s v="www"/>
    <d v="2014-02-05T12:28:36"/>
    <x v="1"/>
  </r>
  <r>
    <s v="0 Original"/>
    <s v="2014-02-05 Adrian Dodson(570)"/>
    <n v="570"/>
    <d v="2014-02-05T00:00:00"/>
    <x v="12"/>
    <n v="15.98"/>
    <s v="www"/>
    <d v="2014-02-05T20:43:47"/>
    <x v="1"/>
  </r>
  <r>
    <s v="0 Original"/>
    <s v="2014-02-06 Yoshi Bennett(482)"/>
    <n v="482"/>
    <d v="2014-02-06T00:00:00"/>
    <x v="40"/>
    <n v="67.91"/>
    <s v="www"/>
    <d v="2014-02-06T03:55:11"/>
    <x v="1"/>
  </r>
  <r>
    <s v="0 Original"/>
    <s v="2014-02-06 Angelica Ortiz(345)"/>
    <n v="345"/>
    <d v="2014-02-06T00:00:00"/>
    <x v="17"/>
    <n v="9.98"/>
    <s v="www"/>
    <d v="2014-02-06T07:04:20"/>
    <x v="1"/>
  </r>
  <r>
    <s v="0 Original"/>
    <s v="2014-02-06 Hanna Simpson(475)"/>
    <n v="475"/>
    <d v="2014-02-06T00:00:00"/>
    <x v="36"/>
    <n v="15.98"/>
    <s v="www"/>
    <d v="2014-02-06T11:44:04"/>
    <x v="1"/>
  </r>
  <r>
    <s v="0 Original"/>
    <s v="2014-02-07 Prescott Nelson(924)"/>
    <n v="924"/>
    <d v="2014-02-07T00:00:00"/>
    <x v="2"/>
    <n v="21.96"/>
    <s v="www"/>
    <d v="2014-02-07T22:32:46"/>
    <x v="1"/>
  </r>
  <r>
    <s v="0 Original"/>
    <s v="2014-02-10 Prescott Nelson(1164)"/>
    <n v="1164"/>
    <d v="2014-02-10T00:00:00"/>
    <x v="2"/>
    <n v="23.97"/>
    <s v="www"/>
    <d v="2014-02-10T05:32:05"/>
    <x v="1"/>
  </r>
  <r>
    <s v="0 Original"/>
    <s v="2014-02-10 Lillian Larsen(670)"/>
    <n v="670"/>
    <d v="2014-02-10T00:00:00"/>
    <x v="41"/>
    <n v="13.98"/>
    <s v="www"/>
    <d v="2014-02-10T15:52:58"/>
    <x v="1"/>
  </r>
  <r>
    <s v="0 Original"/>
    <s v="2014-02-10 Alma Salas(634)"/>
    <n v="634"/>
    <d v="2014-02-10T00:00:00"/>
    <x v="42"/>
    <n v="49.93"/>
    <s v="www"/>
    <d v="2014-02-10T21:37:09"/>
    <x v="1"/>
  </r>
  <r>
    <s v="0 Original"/>
    <s v="2014-02-11 Belle Short(1130)"/>
    <n v="1130"/>
    <d v="2014-02-11T00:00:00"/>
    <x v="25"/>
    <n v="37.950000000000003"/>
    <s v="www"/>
    <d v="2014-02-11T15:23:24"/>
    <x v="1"/>
  </r>
  <r>
    <s v="0 Original"/>
    <s v="2014-02-12 Bernard Cash(902)"/>
    <n v="902"/>
    <d v="2014-02-12T00:00:00"/>
    <x v="43"/>
    <n v="34.950000000000003"/>
    <s v="www"/>
    <d v="2014-02-12T03:37:19"/>
    <x v="1"/>
  </r>
  <r>
    <s v="0 Original"/>
    <s v="2014-02-12 Alexa Herring(4)"/>
    <n v="4"/>
    <d v="2014-02-12T00:00:00"/>
    <x v="44"/>
    <n v="29.97"/>
    <s v="www"/>
    <d v="2014-02-12T12:29:06"/>
    <x v="1"/>
  </r>
  <r>
    <s v="0 Original"/>
    <s v="2014-02-12 Lionel Vargas(161)"/>
    <n v="161"/>
    <d v="2014-02-12T00:00:00"/>
    <x v="33"/>
    <n v="21.97"/>
    <s v="www"/>
    <d v="2014-02-12T20:31:13"/>
    <x v="1"/>
  </r>
  <r>
    <s v="0 Original"/>
    <s v="2014-02-13 Belle Short(762)"/>
    <n v="762"/>
    <d v="2014-02-13T00:00:00"/>
    <x v="25"/>
    <n v="26.97"/>
    <s v="www"/>
    <d v="2014-02-13T11:11:31"/>
    <x v="1"/>
  </r>
  <r>
    <s v="0 Original"/>
    <s v="2014-02-14 Alice Bray(65)"/>
    <n v="65"/>
    <d v="2014-02-14T00:00:00"/>
    <x v="45"/>
    <n v="33.950000000000003"/>
    <s v="www"/>
    <d v="2014-02-14T13:22:15"/>
    <x v="1"/>
  </r>
  <r>
    <s v="0 Original"/>
    <s v="2014-02-15 Mariko Cameron(607)"/>
    <n v="607"/>
    <d v="2014-02-15T00:00:00"/>
    <x v="19"/>
    <n v="59.93"/>
    <s v="www"/>
    <d v="2014-02-15T11:04:53"/>
    <x v="1"/>
  </r>
  <r>
    <s v="0 Original"/>
    <s v="2014-02-15 Aristotle Avery(324)"/>
    <n v="324"/>
    <d v="2014-02-15T00:00:00"/>
    <x v="14"/>
    <n v="60.92"/>
    <s v="www"/>
    <d v="2014-02-15T11:51:06"/>
    <x v="1"/>
  </r>
  <r>
    <s v="0 Original"/>
    <s v="2014-02-16 Angelica Ortiz(385)"/>
    <n v="385"/>
    <d v="2014-02-16T00:00:00"/>
    <x v="17"/>
    <n v="46.95"/>
    <s v="www"/>
    <d v="2014-02-16T02:09:21"/>
    <x v="1"/>
  </r>
  <r>
    <s v="0 Original"/>
    <s v="2014-02-17 Colt Hart(138)"/>
    <n v="138"/>
    <d v="2014-02-17T00:00:00"/>
    <x v="46"/>
    <n v="38.950000000000003"/>
    <s v="www"/>
    <d v="2014-02-17T02:48:58"/>
    <x v="1"/>
  </r>
  <r>
    <s v="0 Original"/>
    <s v="2014-02-17 Madeline Reynolds(1087)"/>
    <n v="1087"/>
    <d v="2014-02-17T00:00:00"/>
    <x v="13"/>
    <n v="9.99"/>
    <s v="www"/>
    <d v="2014-02-17T23:27:30"/>
    <x v="1"/>
  </r>
  <r>
    <s v="0 Original"/>
    <s v="2014-02-19 Tanek Santos(200)"/>
    <n v="200"/>
    <d v="2014-02-19T00:00:00"/>
    <x v="31"/>
    <n v="61.91"/>
    <s v="www"/>
    <d v="2014-02-19T08:53:34"/>
    <x v="1"/>
  </r>
  <r>
    <s v="0 Original"/>
    <s v="2014-02-19 Buffy Jennings(181)"/>
    <n v="181"/>
    <d v="2014-02-19T00:00:00"/>
    <x v="47"/>
    <n v="49.94"/>
    <s v="www"/>
    <d v="2014-02-19T20:04:15"/>
    <x v="1"/>
  </r>
  <r>
    <s v="0 Original"/>
    <s v="2014-02-21 Nayda Shields(849)"/>
    <n v="849"/>
    <d v="2014-02-21T00:00:00"/>
    <x v="11"/>
    <n v="14.98"/>
    <s v="www"/>
    <d v="2014-02-21T04:04:33"/>
    <x v="1"/>
  </r>
  <r>
    <s v="0 Original"/>
    <s v="2014-02-21 Ora Mann(1052)"/>
    <n v="1052"/>
    <d v="2014-02-21T00:00:00"/>
    <x v="27"/>
    <n v="31.96"/>
    <s v="www"/>
    <d v="2014-02-21T14:45:58"/>
    <x v="1"/>
  </r>
  <r>
    <s v="0 Original"/>
    <s v="2014-02-22 Uta Workman(292)"/>
    <n v="292"/>
    <d v="2014-02-22T00:00:00"/>
    <x v="18"/>
    <n v="69.92"/>
    <s v="www"/>
    <d v="2014-02-22T11:42:28"/>
    <x v="1"/>
  </r>
  <r>
    <s v="0 Original"/>
    <s v="2014-02-23 Ora Mann(832)"/>
    <n v="832"/>
    <d v="2014-02-23T00:00:00"/>
    <x v="27"/>
    <n v="17.97"/>
    <s v="www"/>
    <d v="2014-02-23T05:48:45"/>
    <x v="1"/>
  </r>
  <r>
    <s v="0 Original"/>
    <s v="2014-02-23 Donovan Gomez(756)"/>
    <n v="756"/>
    <d v="2014-02-23T00:00:00"/>
    <x v="7"/>
    <n v="14.98"/>
    <s v="www"/>
    <d v="2014-02-23T07:58:18"/>
    <x v="1"/>
  </r>
  <r>
    <s v="0 Original"/>
    <s v="2014-02-23 Harrison Klein(230)"/>
    <n v="230"/>
    <d v="2014-02-23T00:00:00"/>
    <x v="37"/>
    <n v="57.93"/>
    <s v="www"/>
    <d v="2014-02-23T17:07:45"/>
    <x v="1"/>
  </r>
  <r>
    <s v="0 Original"/>
    <s v="2014-02-23 Gabriel Carlson(687)"/>
    <n v="687"/>
    <d v="2014-02-23T00:00:00"/>
    <x v="32"/>
    <n v="69.92"/>
    <s v="www"/>
    <d v="2014-02-23T21:23:29"/>
    <x v="1"/>
  </r>
  <r>
    <s v="0 Original"/>
    <s v="2014-02-24 Lionel Vargas(298)"/>
    <n v="298"/>
    <d v="2014-02-24T00:00:00"/>
    <x v="33"/>
    <n v="8.99"/>
    <s v="www"/>
    <d v="2014-02-24T07:41:13"/>
    <x v="1"/>
  </r>
  <r>
    <s v="0 Original"/>
    <s v="2014-02-25 Yvonne Brewer(144)"/>
    <n v="144"/>
    <d v="2014-02-25T00:00:00"/>
    <x v="48"/>
    <n v="7.99"/>
    <s v="www"/>
    <d v="2014-02-25T13:54:05"/>
    <x v="1"/>
  </r>
  <r>
    <s v="0 Original"/>
    <s v="2014-02-26 Donovan Gomez(855)"/>
    <n v="855"/>
    <d v="2014-02-26T00:00:00"/>
    <x v="7"/>
    <n v="24.97"/>
    <s v="www"/>
    <d v="2014-02-26T04:17:08"/>
    <x v="1"/>
  </r>
  <r>
    <s v="0 Original"/>
    <s v="2014-02-28 Christine Medina(1117)"/>
    <n v="1117"/>
    <d v="2014-02-28T00:00:00"/>
    <x v="8"/>
    <n v="51.94"/>
    <s v="www"/>
    <d v="2014-02-28T01:55:00"/>
    <x v="1"/>
  </r>
  <r>
    <s v="0 Original"/>
    <s v="2014-02-28 Colby Clay(641)"/>
    <n v="641"/>
    <d v="2014-02-28T00:00:00"/>
    <x v="0"/>
    <n v="45.94"/>
    <s v="www"/>
    <d v="2014-02-28T07:13:30"/>
    <x v="1"/>
  </r>
  <r>
    <s v="0 Original"/>
    <s v="2014-02-28 Cameron Burton(158)"/>
    <n v="158"/>
    <d v="2014-02-28T00:00:00"/>
    <x v="49"/>
    <n v="26.95"/>
    <s v="www"/>
    <d v="2014-02-28T11:38:39"/>
    <x v="1"/>
  </r>
  <r>
    <s v="0 Original"/>
    <s v="2014-02-28 Tanek Santos(666)"/>
    <n v="666"/>
    <d v="2014-02-28T00:00:00"/>
    <x v="31"/>
    <n v="11.98"/>
    <s v="www"/>
    <d v="2014-02-28T12:40:21"/>
    <x v="1"/>
  </r>
  <r>
    <s v="0 Original"/>
    <s v="2014-02-28 Uta Workman(523)"/>
    <n v="523"/>
    <d v="2014-02-28T00:00:00"/>
    <x v="18"/>
    <n v="62.92"/>
    <s v="www"/>
    <d v="2014-02-28T13:46:47"/>
    <x v="1"/>
  </r>
  <r>
    <s v="0 Original"/>
    <s v="2014-02-28 Alma Salas(353)"/>
    <n v="353"/>
    <d v="2014-02-28T00:00:00"/>
    <x v="42"/>
    <n v="21.97"/>
    <s v="www"/>
    <d v="2014-02-28T16:07:52"/>
    <x v="1"/>
  </r>
  <r>
    <s v="0 Original"/>
    <s v="2014-03-01 Donovan Gomez(907)"/>
    <n v="907"/>
    <d v="2014-03-01T00:00:00"/>
    <x v="7"/>
    <n v="39.94"/>
    <s v="www"/>
    <d v="2014-03-01T08:06:46"/>
    <x v="2"/>
  </r>
  <r>
    <s v="0 Original"/>
    <s v="2014-03-04 Irene Carver(66)"/>
    <n v="66"/>
    <d v="2014-03-04T00:00:00"/>
    <x v="50"/>
    <n v="41.95"/>
    <s v="www"/>
    <d v="2014-03-04T08:58:55"/>
    <x v="2"/>
  </r>
  <r>
    <s v="0 Original"/>
    <s v="2014-03-05 Bernard Cash(1195)"/>
    <n v="1195"/>
    <d v="2014-03-05T00:00:00"/>
    <x v="43"/>
    <n v="9.98"/>
    <s v="www"/>
    <d v="2014-03-05T02:42:49"/>
    <x v="2"/>
  </r>
  <r>
    <s v="0 Original"/>
    <s v="2014-03-05 Tanek Santos(40)"/>
    <n v="40"/>
    <d v="2014-03-05T00:00:00"/>
    <x v="31"/>
    <n v="53.93"/>
    <s v="www"/>
    <d v="2014-03-05T15:55:24"/>
    <x v="2"/>
  </r>
  <r>
    <s v="0 Original"/>
    <s v="2014-03-09 Cameron Rivera(913)"/>
    <n v="913"/>
    <d v="2014-03-09T00:00:00"/>
    <x v="16"/>
    <n v="16.98"/>
    <s v="www"/>
    <d v="2014-03-09T22:01:16"/>
    <x v="2"/>
  </r>
  <r>
    <s v="0 Original"/>
    <s v="2014-03-09 Nayda Shields(870)"/>
    <n v="870"/>
    <d v="2014-03-09T00:00:00"/>
    <x v="11"/>
    <n v="33.950000000000003"/>
    <s v="www"/>
    <d v="2014-03-09T22:31:45"/>
    <x v="2"/>
  </r>
  <r>
    <s v="0 Original"/>
    <s v="2014-03-11 Ora Mann(529)"/>
    <n v="529"/>
    <d v="2014-03-11T00:00:00"/>
    <x v="27"/>
    <n v="22.97"/>
    <s v="www"/>
    <d v="2014-03-11T05:00:32"/>
    <x v="2"/>
  </r>
  <r>
    <s v="0 Original"/>
    <s v="2014-03-11 Christine Medina(970)"/>
    <n v="970"/>
    <d v="2014-03-11T00:00:00"/>
    <x v="8"/>
    <n v="46.94"/>
    <s v="www"/>
    <d v="2014-03-11T13:49:59"/>
    <x v="2"/>
  </r>
  <r>
    <s v="0 Original"/>
    <s v="2014-03-13 Clio Carter(386)"/>
    <n v="386"/>
    <d v="2014-03-13T00:00:00"/>
    <x v="21"/>
    <n v="54.93"/>
    <s v="www"/>
    <d v="2014-03-13T02:37:22"/>
    <x v="2"/>
  </r>
  <r>
    <s v="0 Original"/>
    <s v="2014-03-13 Maile Torres(88)"/>
    <n v="88"/>
    <d v="2014-03-13T00:00:00"/>
    <x v="51"/>
    <n v="14.97"/>
    <s v="www"/>
    <d v="2014-03-13T21:26:51"/>
    <x v="2"/>
  </r>
  <r>
    <s v="0 Original"/>
    <s v="2014-03-14 Donovan Gomez(927)"/>
    <n v="927"/>
    <d v="2014-03-14T00:00:00"/>
    <x v="7"/>
    <n v="73.91"/>
    <s v="www"/>
    <d v="2014-03-14T05:45:43"/>
    <x v="2"/>
  </r>
  <r>
    <s v="0 Original"/>
    <s v="2014-03-15 Adrian Dodson(77)"/>
    <n v="77"/>
    <d v="2014-03-15T00:00:00"/>
    <x v="12"/>
    <n v="20.96"/>
    <s v="www"/>
    <d v="2014-03-15T08:22:38"/>
    <x v="2"/>
  </r>
  <r>
    <s v="0 Original"/>
    <s v="2014-03-15 Madeline Reynolds(957)"/>
    <n v="957"/>
    <d v="2014-03-15T00:00:00"/>
    <x v="13"/>
    <n v="53.93"/>
    <s v="www"/>
    <d v="2014-03-15T15:05:17"/>
    <x v="2"/>
  </r>
  <r>
    <s v="0 Original"/>
    <s v="2014-03-16 Lois Valdez(540)"/>
    <n v="540"/>
    <d v="2014-03-16T00:00:00"/>
    <x v="52"/>
    <n v="70.91"/>
    <s v="www"/>
    <d v="2014-03-16T17:12:57"/>
    <x v="2"/>
  </r>
  <r>
    <s v="0 Original"/>
    <s v="2014-03-16 Alexa Herring(141)"/>
    <n v="141"/>
    <d v="2014-03-16T00:00:00"/>
    <x v="44"/>
    <n v="53.92"/>
    <s v="www"/>
    <d v="2014-03-16T17:22:13"/>
    <x v="2"/>
  </r>
  <r>
    <s v="0 Original"/>
    <s v="2014-03-18 Bernard Cash(782)"/>
    <n v="782"/>
    <d v="2014-03-18T00:00:00"/>
    <x v="43"/>
    <n v="9.98"/>
    <s v="www"/>
    <d v="2014-03-18T13:55:09"/>
    <x v="2"/>
  </r>
  <r>
    <s v="0 Original"/>
    <s v="2014-03-18 Prescott Nelson(783)"/>
    <n v="783"/>
    <d v="2014-03-18T00:00:00"/>
    <x v="2"/>
    <n v="12.98"/>
    <s v="www"/>
    <d v="2014-03-18T15:25:39"/>
    <x v="2"/>
  </r>
  <r>
    <s v="0 Original"/>
    <s v="2014-03-18 Cameron Rivera(709)"/>
    <n v="709"/>
    <d v="2014-03-18T00:00:00"/>
    <x v="16"/>
    <n v="32.96"/>
    <s v="www"/>
    <d v="2014-03-18T19:03:19"/>
    <x v="2"/>
  </r>
  <r>
    <s v="0 Original"/>
    <s v="2014-03-18 Ulysses Hudson(27)"/>
    <n v="27"/>
    <d v="2014-03-18T00:00:00"/>
    <x v="53"/>
    <n v="73.900000000000006"/>
    <s v="www"/>
    <d v="2014-03-18T23:07:26"/>
    <x v="2"/>
  </r>
  <r>
    <s v="0 Original"/>
    <s v="2014-03-19 Indira Suarez(221)"/>
    <n v="221"/>
    <d v="2014-03-19T00:00:00"/>
    <x v="24"/>
    <n v="84.9"/>
    <s v="www"/>
    <d v="2014-03-19T19:07:39"/>
    <x v="2"/>
  </r>
  <r>
    <s v="0 Original"/>
    <s v="2014-03-19 Wade Coleman(664)"/>
    <n v="664"/>
    <d v="2014-03-19T00:00:00"/>
    <x v="4"/>
    <n v="53.94"/>
    <s v="www"/>
    <d v="2014-03-19T21:35:01"/>
    <x v="2"/>
  </r>
  <r>
    <s v="0 Original"/>
    <s v="2014-03-20 Bernard Cash(1162)"/>
    <n v="1162"/>
    <d v="2014-03-20T00:00:00"/>
    <x v="43"/>
    <n v="21.97"/>
    <s v="www"/>
    <d v="2014-03-20T18:15:58"/>
    <x v="2"/>
  </r>
  <r>
    <s v="0 Original"/>
    <s v="2014-03-20 Ivy Livingston(414)"/>
    <n v="414"/>
    <d v="2014-03-20T00:00:00"/>
    <x v="54"/>
    <n v="60.92"/>
    <s v="www"/>
    <d v="2014-03-20T20:10:45"/>
    <x v="2"/>
  </r>
  <r>
    <s v="0 Original"/>
    <s v="2014-03-21 Stuart Vega(451)"/>
    <n v="451"/>
    <d v="2014-03-21T00:00:00"/>
    <x v="3"/>
    <n v="36.96"/>
    <s v="www"/>
    <d v="2014-03-21T05:07:47"/>
    <x v="2"/>
  </r>
  <r>
    <s v="0 Original"/>
    <s v="2014-03-21 Abigail Shepard(199)"/>
    <n v="199"/>
    <d v="2014-03-21T00:00:00"/>
    <x v="23"/>
    <n v="20.97"/>
    <s v="www"/>
    <d v="2014-03-21T06:56:33"/>
    <x v="2"/>
  </r>
  <r>
    <s v="0 Original"/>
    <s v="2014-03-23 Alma Salas(201)"/>
    <n v="201"/>
    <d v="2014-03-23T00:00:00"/>
    <x v="42"/>
    <n v="19.98"/>
    <s v="www"/>
    <d v="2014-03-23T01:57:18"/>
    <x v="2"/>
  </r>
  <r>
    <s v="0 Original"/>
    <s v="2014-03-23 Anne Slater(306)"/>
    <n v="306"/>
    <d v="2014-03-23T00:00:00"/>
    <x v="35"/>
    <n v="33.96"/>
    <s v="www"/>
    <d v="2014-03-23T11:50:08"/>
    <x v="2"/>
  </r>
  <r>
    <s v="0 Original"/>
    <s v="2014-03-23 Christine Medina(833)"/>
    <n v="833"/>
    <d v="2014-03-23T00:00:00"/>
    <x v="8"/>
    <n v="58.92"/>
    <s v="www"/>
    <d v="2014-03-23T14:39:17"/>
    <x v="2"/>
  </r>
  <r>
    <s v="0 Original"/>
    <s v="2014-03-24 Belle Short(749)"/>
    <n v="749"/>
    <d v="2014-03-24T00:00:00"/>
    <x v="25"/>
    <n v="49.95"/>
    <s v="www"/>
    <d v="2014-03-24T14:30:37"/>
    <x v="2"/>
  </r>
  <r>
    <s v="0 Original"/>
    <s v="2014-03-24 Mariko Cameron(420)"/>
    <n v="420"/>
    <d v="2014-03-24T00:00:00"/>
    <x v="19"/>
    <n v="40.94"/>
    <s v="www"/>
    <d v="2014-03-24T17:00:09"/>
    <x v="2"/>
  </r>
  <r>
    <s v="0 Original"/>
    <s v="2014-03-24 Colby Clay(412)"/>
    <n v="412"/>
    <d v="2014-03-24T00:00:00"/>
    <x v="0"/>
    <n v="55.92"/>
    <s v="www"/>
    <d v="2014-03-24T21:51:01"/>
    <x v="2"/>
  </r>
  <r>
    <s v="0 Original"/>
    <s v="2014-03-24 Cameron Rivera(987)"/>
    <n v="987"/>
    <d v="2014-03-24T00:00:00"/>
    <x v="16"/>
    <n v="19.98"/>
    <s v="www"/>
    <d v="2014-03-24T22:31:29"/>
    <x v="2"/>
  </r>
  <r>
    <s v="0 Original"/>
    <s v="2014-03-25 Bernard Cash(1006)"/>
    <n v="1006"/>
    <d v="2014-03-25T00:00:00"/>
    <x v="43"/>
    <n v="61.92"/>
    <s v="www"/>
    <d v="2014-03-25T13:24:48"/>
    <x v="2"/>
  </r>
  <r>
    <s v="0 Original"/>
    <s v="2014-03-26 Claudia Crane(365)"/>
    <n v="365"/>
    <d v="2014-03-26T00:00:00"/>
    <x v="55"/>
    <n v="11.98"/>
    <s v="www"/>
    <d v="2014-03-26T15:23:12"/>
    <x v="2"/>
  </r>
  <r>
    <s v="0 Original"/>
    <s v="2014-03-26 Stuart Vega(413)"/>
    <n v="413"/>
    <d v="2014-03-26T00:00:00"/>
    <x v="3"/>
    <n v="36.950000000000003"/>
    <s v="www"/>
    <d v="2014-03-26T15:31:57"/>
    <x v="2"/>
  </r>
  <r>
    <s v="0 Original"/>
    <s v="2014-03-26 Madeline Reynolds(815)"/>
    <n v="815"/>
    <d v="2014-03-26T00:00:00"/>
    <x v="13"/>
    <n v="82.9"/>
    <s v="www"/>
    <d v="2014-03-26T18:36:28"/>
    <x v="2"/>
  </r>
  <r>
    <s v="0 Original"/>
    <s v="2014-03-27 Alma Salas(595)"/>
    <n v="595"/>
    <d v="2014-03-27T00:00:00"/>
    <x v="42"/>
    <n v="16.98"/>
    <s v="www"/>
    <d v="2014-03-27T01:34:50"/>
    <x v="2"/>
  </r>
  <r>
    <s v="0 Original"/>
    <s v="2014-03-28 Hanna Simpson(476)"/>
    <n v="476"/>
    <d v="2014-03-28T00:00:00"/>
    <x v="36"/>
    <n v="17.98"/>
    <s v="www"/>
    <d v="2014-03-28T09:01:37"/>
    <x v="2"/>
  </r>
  <r>
    <s v="0 Original"/>
    <s v="2014-03-28 Wade Coleman(269)"/>
    <n v="269"/>
    <d v="2014-03-28T00:00:00"/>
    <x v="4"/>
    <n v="27.95"/>
    <s v="www"/>
    <d v="2014-03-28T12:32:36"/>
    <x v="2"/>
  </r>
  <r>
    <s v="0 Original"/>
    <s v="2014-03-31 Nayda Shields(1064)"/>
    <n v="1064"/>
    <d v="2014-03-31T00:00:00"/>
    <x v="11"/>
    <n v="22.97"/>
    <s v="www"/>
    <d v="2014-03-31T17:04:06"/>
    <x v="2"/>
  </r>
  <r>
    <s v="0 Original"/>
    <s v="2014-04-01 Mary Moore(36)"/>
    <n v="36"/>
    <d v="2014-04-01T00:00:00"/>
    <x v="56"/>
    <n v="40.950000000000003"/>
    <s v="www"/>
    <d v="2014-04-01T00:38:59"/>
    <x v="3"/>
  </r>
  <r>
    <s v="0 Original"/>
    <s v="2014-04-01 Dane Stafford(284)"/>
    <n v="284"/>
    <d v="2014-04-01T00:00:00"/>
    <x v="29"/>
    <n v="35.950000000000003"/>
    <s v="www"/>
    <d v="2014-04-01T10:17:25"/>
    <x v="3"/>
  </r>
  <r>
    <s v="0 Original"/>
    <s v="2014-04-01 Nayda Shields(917)"/>
    <n v="917"/>
    <d v="2014-04-01T00:00:00"/>
    <x v="11"/>
    <n v="4.99"/>
    <s v="www"/>
    <d v="2014-04-01T14:29:55"/>
    <x v="3"/>
  </r>
  <r>
    <s v="0 Original"/>
    <s v="2014-04-01 Donovan Gomez(1045)"/>
    <n v="1045"/>
    <d v="2014-04-01T00:00:00"/>
    <x v="7"/>
    <n v="6.99"/>
    <s v="www"/>
    <d v="2014-04-01T18:31:00"/>
    <x v="3"/>
  </r>
  <r>
    <s v="0 Original"/>
    <s v="2014-04-01 Alma Salas(213)"/>
    <n v="213"/>
    <d v="2014-04-01T00:00:00"/>
    <x v="42"/>
    <n v="61.91"/>
    <s v="www"/>
    <d v="2014-04-01T19:16:40"/>
    <x v="3"/>
  </r>
  <r>
    <s v="0 Original"/>
    <s v="2014-04-02 Cameron Rivera(866)"/>
    <n v="866"/>
    <d v="2014-04-02T00:00:00"/>
    <x v="16"/>
    <n v="15.98"/>
    <s v="www"/>
    <d v="2014-04-02T13:35:17"/>
    <x v="3"/>
  </r>
  <r>
    <s v="0 Original"/>
    <s v="2014-04-02 Prescott Nelson(894)"/>
    <n v="894"/>
    <d v="2014-04-02T00:00:00"/>
    <x v="2"/>
    <n v="29.97"/>
    <s v="www"/>
    <d v="2014-04-02T18:35:31"/>
    <x v="3"/>
  </r>
  <r>
    <s v="0 Original"/>
    <s v="2014-04-03 Christine Medina(1169)"/>
    <n v="1169"/>
    <d v="2014-04-03T00:00:00"/>
    <x v="8"/>
    <n v="71.900000000000006"/>
    <s v="www"/>
    <d v="2014-04-03T09:24:41"/>
    <x v="3"/>
  </r>
  <r>
    <s v="0 Original"/>
    <s v="2014-04-03 Vivian Mendoza(609)"/>
    <n v="609"/>
    <d v="2014-04-03T00:00:00"/>
    <x v="10"/>
    <n v="9.99"/>
    <s v="www"/>
    <d v="2014-04-03T21:42:25"/>
    <x v="3"/>
  </r>
  <r>
    <s v="0 Original"/>
    <s v="2014-04-04 Gabriel Carlson(663)"/>
    <n v="663"/>
    <d v="2014-04-04T00:00:00"/>
    <x v="32"/>
    <n v="10.98"/>
    <s v="www"/>
    <d v="2014-04-04T06:43:50"/>
    <x v="3"/>
  </r>
  <r>
    <s v="0 Original"/>
    <s v="2014-04-04 Ora Mann(13)"/>
    <n v="13"/>
    <d v="2014-04-04T00:00:00"/>
    <x v="27"/>
    <n v="41.94"/>
    <s v="www"/>
    <d v="2014-04-04T19:44:52"/>
    <x v="3"/>
  </r>
  <r>
    <s v="0 Original"/>
    <s v="2014-04-05 Christine Medina(1194)"/>
    <n v="1194"/>
    <d v="2014-04-05T00:00:00"/>
    <x v="8"/>
    <n v="21.96"/>
    <s v="www"/>
    <d v="2014-04-05T11:18:23"/>
    <x v="3"/>
  </r>
  <r>
    <s v="0 Original"/>
    <s v="2014-04-06 Zeus Trujillo(308)"/>
    <n v="308"/>
    <d v="2014-04-06T00:00:00"/>
    <x v="5"/>
    <n v="52.93"/>
    <s v="www"/>
    <d v="2014-04-06T05:34:40"/>
    <x v="3"/>
  </r>
  <r>
    <s v="0 Original"/>
    <s v="2014-04-06 Angelica Ortiz(623)"/>
    <n v="623"/>
    <d v="2014-04-06T00:00:00"/>
    <x v="17"/>
    <n v="40.950000000000003"/>
    <s v="www"/>
    <d v="2014-04-06T05:57:53"/>
    <x v="3"/>
  </r>
  <r>
    <s v="0 Original"/>
    <s v="2014-04-06 Christine Medina(711)"/>
    <n v="711"/>
    <d v="2014-04-06T00:00:00"/>
    <x v="8"/>
    <n v="45.94"/>
    <s v="www"/>
    <d v="2014-04-06T13:03:11"/>
    <x v="3"/>
  </r>
  <r>
    <s v="0 Original"/>
    <s v="2014-04-07 Dane Stafford(25)"/>
    <n v="25"/>
    <d v="2014-04-07T00:00:00"/>
    <x v="29"/>
    <n v="55.92"/>
    <s v="www"/>
    <d v="2014-04-07T00:31:57"/>
    <x v="3"/>
  </r>
  <r>
    <s v="0 Original"/>
    <s v="2014-04-08 Iona Simpson(278)"/>
    <n v="278"/>
    <d v="2014-04-08T00:00:00"/>
    <x v="1"/>
    <n v="19.97"/>
    <s v="www"/>
    <d v="2014-04-08T02:00:30"/>
    <x v="3"/>
  </r>
  <r>
    <s v="0 Original"/>
    <s v="2014-04-08 Clio Carter(294)"/>
    <n v="294"/>
    <d v="2014-04-08T00:00:00"/>
    <x v="21"/>
    <n v="37.950000000000003"/>
    <s v="www"/>
    <d v="2014-04-08T19:53:59"/>
    <x v="3"/>
  </r>
  <r>
    <s v="0 Original"/>
    <s v="2014-04-11 Mariko Cameron(502)"/>
    <n v="502"/>
    <d v="2014-04-11T00:00:00"/>
    <x v="19"/>
    <n v="31.95"/>
    <s v="www"/>
    <d v="2014-04-11T21:58:05"/>
    <x v="3"/>
  </r>
  <r>
    <s v="0 Original"/>
    <s v="2014-04-12 Blossom Mosley(616)"/>
    <n v="616"/>
    <d v="2014-04-12T00:00:00"/>
    <x v="38"/>
    <n v="46.93"/>
    <s v="www"/>
    <d v="2014-04-12T04:06:35"/>
    <x v="3"/>
  </r>
  <r>
    <s v="0 Original"/>
    <s v="2014-04-12 Kendall Rocha(608)"/>
    <n v="608"/>
    <d v="2014-04-12T00:00:00"/>
    <x v="6"/>
    <n v="79.91"/>
    <s v="www"/>
    <d v="2014-04-12T07:55:38"/>
    <x v="3"/>
  </r>
  <r>
    <s v="0 Original"/>
    <s v="2014-04-12 Tate Lowery(356)"/>
    <n v="356"/>
    <d v="2014-04-12T00:00:00"/>
    <x v="57"/>
    <n v="53.93"/>
    <s v="www"/>
    <d v="2014-04-12T11:19:10"/>
    <x v="3"/>
  </r>
  <r>
    <s v="0 Original"/>
    <s v="2014-04-13 Iona Simpson(255)"/>
    <n v="255"/>
    <d v="2014-04-13T00:00:00"/>
    <x v="1"/>
    <n v="19.98"/>
    <s v="www"/>
    <d v="2014-04-13T09:10:18"/>
    <x v="3"/>
  </r>
  <r>
    <s v="0 Original"/>
    <s v="2014-04-14 Irene Carver(30)"/>
    <n v="30"/>
    <d v="2014-04-14T00:00:00"/>
    <x v="50"/>
    <n v="24.97"/>
    <s v="www"/>
    <d v="2014-04-14T01:42:10"/>
    <x v="3"/>
  </r>
  <r>
    <s v="0 Original"/>
    <s v="2014-04-14 Bernard Cash(821)"/>
    <n v="821"/>
    <d v="2014-04-14T00:00:00"/>
    <x v="43"/>
    <n v="38.950000000000003"/>
    <s v="www"/>
    <d v="2014-04-14T22:29:50"/>
    <x v="3"/>
  </r>
  <r>
    <s v="0 Original"/>
    <s v="2014-04-15 Claudia Crane(20)"/>
    <n v="20"/>
    <d v="2014-04-15T00:00:00"/>
    <x v="55"/>
    <n v="83.9"/>
    <s v="www"/>
    <d v="2014-04-15T01:35:11"/>
    <x v="3"/>
  </r>
  <r>
    <s v="0 Original"/>
    <s v="2014-04-15 Adrienne Sandoval(170)"/>
    <n v="170"/>
    <d v="2014-04-15T00:00:00"/>
    <x v="58"/>
    <n v="35.94"/>
    <s v="www"/>
    <d v="2014-04-15T03:24:48"/>
    <x v="3"/>
  </r>
  <r>
    <s v="0 Original"/>
    <s v="2014-04-16 Ora Mann(946)"/>
    <n v="946"/>
    <d v="2014-04-16T00:00:00"/>
    <x v="27"/>
    <n v="27.97"/>
    <s v="www"/>
    <d v="2014-04-16T11:57:24"/>
    <x v="3"/>
  </r>
  <r>
    <s v="0 Original"/>
    <s v="2014-04-16 Donovan Gomez(811)"/>
    <n v="811"/>
    <d v="2014-04-16T00:00:00"/>
    <x v="7"/>
    <n v="17.97"/>
    <s v="www"/>
    <d v="2014-04-16T14:10:34"/>
    <x v="3"/>
  </r>
  <r>
    <s v="0 Original"/>
    <s v="2014-04-17 John Drake(897)"/>
    <n v="897"/>
    <d v="2014-04-17T00:00:00"/>
    <x v="9"/>
    <n v="11.98"/>
    <s v="www"/>
    <d v="2014-04-17T06:00:22"/>
    <x v="3"/>
  </r>
  <r>
    <s v="0 Original"/>
    <s v="2014-04-17 Ora Mann(779)"/>
    <n v="779"/>
    <d v="2014-04-17T00:00:00"/>
    <x v="27"/>
    <n v="16.98"/>
    <s v="www"/>
    <d v="2014-04-17T08:22:35"/>
    <x v="3"/>
  </r>
  <r>
    <s v="0 Original"/>
    <s v="2014-04-17 Iona Simpson(101)"/>
    <n v="101"/>
    <d v="2014-04-17T00:00:00"/>
    <x v="1"/>
    <n v="17.98"/>
    <s v="www"/>
    <d v="2014-04-17T12:29:15"/>
    <x v="3"/>
  </r>
  <r>
    <s v="0 Original"/>
    <s v="2014-04-18 Cadman Huffman(95)"/>
    <n v="95"/>
    <d v="2014-04-18T00:00:00"/>
    <x v="59"/>
    <n v="22.97"/>
    <s v="www"/>
    <d v="2014-04-18T11:21:27"/>
    <x v="3"/>
  </r>
  <r>
    <s v="0 Original"/>
    <s v="2014-04-18 Stuart Vega(183)"/>
    <n v="183"/>
    <d v="2014-04-18T00:00:00"/>
    <x v="3"/>
    <n v="30.95"/>
    <s v="www"/>
    <d v="2014-04-18T13:08:16"/>
    <x v="3"/>
  </r>
  <r>
    <s v="0 Original"/>
    <s v="2014-04-18 Ulysses Hudson(538)"/>
    <n v="538"/>
    <d v="2014-04-18T00:00:00"/>
    <x v="53"/>
    <n v="60.91"/>
    <s v="www"/>
    <d v="2014-04-18T20:25:01"/>
    <x v="3"/>
  </r>
  <r>
    <s v="0 Original"/>
    <s v="2014-04-19 Tanek Santos(669)"/>
    <n v="669"/>
    <d v="2014-04-19T00:00:00"/>
    <x v="31"/>
    <n v="8.99"/>
    <s v="www"/>
    <d v="2014-04-19T07:35:37"/>
    <x v="3"/>
  </r>
  <r>
    <s v="0 Original"/>
    <s v="2014-04-21 Prescott Nelson(1082)"/>
    <n v="1082"/>
    <d v="2014-04-21T00:00:00"/>
    <x v="2"/>
    <n v="14.98"/>
    <s v="www"/>
    <d v="2014-04-21T21:10:15"/>
    <x v="3"/>
  </r>
  <r>
    <s v="0 Original"/>
    <s v="2014-04-22 Donovan Gomez(875)"/>
    <n v="875"/>
    <d v="2014-04-22T00:00:00"/>
    <x v="7"/>
    <n v="11.98"/>
    <s v="www"/>
    <d v="2014-04-22T01:21:14"/>
    <x v="3"/>
  </r>
  <r>
    <s v="0 Original"/>
    <s v="2014-04-23 Mariko Cameron(332)"/>
    <n v="332"/>
    <d v="2014-04-23T00:00:00"/>
    <x v="19"/>
    <n v="20.97"/>
    <s v="www"/>
    <d v="2014-04-23T00:19:16"/>
    <x v="3"/>
  </r>
  <r>
    <s v="0 Original"/>
    <s v="2014-04-23 Ivy Livingston(396)"/>
    <n v="396"/>
    <d v="2014-04-23T00:00:00"/>
    <x v="54"/>
    <n v="43.95"/>
    <s v="www"/>
    <d v="2014-04-23T06:52:09"/>
    <x v="3"/>
  </r>
  <r>
    <s v="0 Original"/>
    <s v="2014-04-24 Donovan Gomez(1116)"/>
    <n v="1116"/>
    <d v="2014-04-24T00:00:00"/>
    <x v="7"/>
    <n v="37.96"/>
    <s v="www"/>
    <d v="2014-04-24T06:32:13"/>
    <x v="3"/>
  </r>
  <r>
    <s v="0 Original"/>
    <s v="2014-04-26 Prescott Nelson(911)"/>
    <n v="911"/>
    <d v="2014-04-26T00:00:00"/>
    <x v="2"/>
    <n v="20.97"/>
    <s v="www"/>
    <d v="2014-04-26T09:14:03"/>
    <x v="3"/>
  </r>
  <r>
    <s v="0 Original"/>
    <s v="2014-04-26 Ivy Livingston(673)"/>
    <n v="673"/>
    <d v="2014-04-26T00:00:00"/>
    <x v="54"/>
    <n v="29.96"/>
    <s v="www"/>
    <d v="2014-04-26T17:37:55"/>
    <x v="3"/>
  </r>
  <r>
    <s v="0 Original"/>
    <s v="2014-04-26 Adrian Dodson(76)"/>
    <n v="76"/>
    <d v="2014-04-26T00:00:00"/>
    <x v="12"/>
    <n v="57.92"/>
    <s v="www"/>
    <d v="2014-04-26T17:53:43"/>
    <x v="3"/>
  </r>
  <r>
    <s v="0 Original"/>
    <s v="2014-04-26 Ivy Livingston(487)"/>
    <n v="487"/>
    <d v="2014-04-26T00:00:00"/>
    <x v="54"/>
    <n v="42.95"/>
    <s v="www"/>
    <d v="2014-04-26T21:30:16"/>
    <x v="3"/>
  </r>
  <r>
    <s v="0 Original"/>
    <s v="2014-04-27 John Drake(1144)"/>
    <n v="1144"/>
    <d v="2014-04-27T00:00:00"/>
    <x v="9"/>
    <n v="22.97"/>
    <s v="www"/>
    <d v="2014-04-27T10:25:10"/>
    <x v="3"/>
  </r>
  <r>
    <s v="0 Original"/>
    <s v="2014-04-27 Belle Short(1150)"/>
    <n v="1150"/>
    <d v="2014-04-27T00:00:00"/>
    <x v="25"/>
    <n v="49.94"/>
    <s v="www"/>
    <d v="2014-04-27T23:19:56"/>
    <x v="3"/>
  </r>
  <r>
    <s v="0 Original"/>
    <s v="2014-04-29 Ora Mann(1151)"/>
    <n v="1151"/>
    <d v="2014-04-29T00:00:00"/>
    <x v="27"/>
    <n v="10.98"/>
    <s v="www"/>
    <d v="2014-04-29T02:14:25"/>
    <x v="3"/>
  </r>
  <r>
    <s v="0 Original"/>
    <s v="2014-04-29 Christine Medina(814)"/>
    <n v="814"/>
    <d v="2014-04-29T00:00:00"/>
    <x v="8"/>
    <n v="43.94"/>
    <s v="www"/>
    <d v="2014-04-29T21:53:40"/>
    <x v="3"/>
  </r>
  <r>
    <s v="0 Original"/>
    <s v="2014-05-01 Lois Valdez(643)"/>
    <n v="643"/>
    <d v="2014-05-01T00:00:00"/>
    <x v="52"/>
    <n v="22.96"/>
    <s v="www"/>
    <d v="2014-05-01T04:06:48"/>
    <x v="4"/>
  </r>
  <r>
    <s v="0 Original"/>
    <s v="2014-05-02 Cameron Rivera(1093)"/>
    <n v="1093"/>
    <d v="2014-05-02T00:00:00"/>
    <x v="16"/>
    <n v="39.950000000000003"/>
    <s v="www"/>
    <d v="2014-05-02T09:52:04"/>
    <x v="4"/>
  </r>
  <r>
    <s v="0 Original"/>
    <s v="2014-05-02 Tate Lowery(257)"/>
    <n v="257"/>
    <d v="2014-05-02T00:00:00"/>
    <x v="57"/>
    <n v="16.98"/>
    <s v="www"/>
    <d v="2014-05-02T11:07:14"/>
    <x v="4"/>
  </r>
  <r>
    <s v="0 Original"/>
    <s v="2014-05-02 Lionel Vargas(490)"/>
    <n v="490"/>
    <d v="2014-05-02T00:00:00"/>
    <x v="33"/>
    <n v="16.97"/>
    <s v="www"/>
    <d v="2014-05-02T14:21:36"/>
    <x v="4"/>
  </r>
  <r>
    <s v="0 Original"/>
    <s v="2014-05-03 Belle Short(1119)"/>
    <n v="1119"/>
    <d v="2014-05-03T00:00:00"/>
    <x v="25"/>
    <n v="7.99"/>
    <s v="www"/>
    <d v="2014-05-03T18:35:12"/>
    <x v="4"/>
  </r>
  <r>
    <s v="0 Original"/>
    <s v="2014-05-04 Vivian Mendoza(521)"/>
    <n v="521"/>
    <d v="2014-05-04T00:00:00"/>
    <x v="10"/>
    <n v="24.97"/>
    <s v="www"/>
    <d v="2014-05-04T18:28:27"/>
    <x v="4"/>
  </r>
  <r>
    <s v="0 Original"/>
    <s v="2014-05-04 Tate Lowery(166)"/>
    <n v="166"/>
    <d v="2014-05-04T00:00:00"/>
    <x v="57"/>
    <n v="40.950000000000003"/>
    <s v="www"/>
    <d v="2014-05-04T20:01:40"/>
    <x v="4"/>
  </r>
  <r>
    <s v="0 Original"/>
    <s v="2014-05-05 Kendall Rocha(519)"/>
    <n v="519"/>
    <d v="2014-05-05T00:00:00"/>
    <x v="6"/>
    <n v="27.96"/>
    <s v="www"/>
    <d v="2014-05-05T10:46:35"/>
    <x v="4"/>
  </r>
  <r>
    <s v="0 Original"/>
    <s v="2014-05-06 Claudia Crane(682)"/>
    <n v="682"/>
    <d v="2014-05-06T00:00:00"/>
    <x v="55"/>
    <n v="22.97"/>
    <s v="www"/>
    <d v="2014-05-06T07:40:26"/>
    <x v="4"/>
  </r>
  <r>
    <s v="0 Original"/>
    <s v="2014-05-06 Belle Short(827)"/>
    <n v="827"/>
    <d v="2014-05-06T00:00:00"/>
    <x v="25"/>
    <n v="37.950000000000003"/>
    <s v="www"/>
    <d v="2014-05-06T13:04:13"/>
    <x v="4"/>
  </r>
  <r>
    <s v="0 Original"/>
    <s v="2014-05-07 Madeline Reynolds(830)"/>
    <n v="830"/>
    <d v="2014-05-07T00:00:00"/>
    <x v="13"/>
    <n v="44.95"/>
    <s v="www"/>
    <d v="2014-05-07T09:21:01"/>
    <x v="4"/>
  </r>
  <r>
    <s v="0 Original"/>
    <s v="2014-05-09 Ulysses Hudson(672)"/>
    <n v="672"/>
    <d v="2014-05-09T00:00:00"/>
    <x v="53"/>
    <n v="11.98"/>
    <s v="www"/>
    <d v="2014-05-09T00:15:21"/>
    <x v="4"/>
  </r>
  <r>
    <s v="0 Original"/>
    <s v="2014-05-09 Serina Booker(164)"/>
    <n v="164"/>
    <d v="2014-05-09T00:00:00"/>
    <x v="60"/>
    <n v="73.91"/>
    <s v="www"/>
    <d v="2014-05-09T07:01:25"/>
    <x v="4"/>
  </r>
  <r>
    <s v="0 Original"/>
    <s v="2014-05-10 Dane Stafford(445)"/>
    <n v="445"/>
    <d v="2014-05-10T00:00:00"/>
    <x v="29"/>
    <n v="31.96"/>
    <s v="www"/>
    <d v="2014-05-10T12:19:41"/>
    <x v="4"/>
  </r>
  <r>
    <s v="0 Original"/>
    <s v="2014-05-11 Bernard Cash(1101)"/>
    <n v="1101"/>
    <d v="2014-05-11T00:00:00"/>
    <x v="43"/>
    <n v="49.92"/>
    <s v="www"/>
    <d v="2014-05-11T05:01:34"/>
    <x v="4"/>
  </r>
  <r>
    <s v="0 Original"/>
    <s v="2014-05-11 Belle Short(744)"/>
    <n v="744"/>
    <d v="2014-05-11T00:00:00"/>
    <x v="25"/>
    <n v="49.93"/>
    <s v="www"/>
    <d v="2014-05-11T11:28:48"/>
    <x v="4"/>
  </r>
  <r>
    <s v="0 Original"/>
    <s v="2014-05-12 Dane Stafford(429)"/>
    <n v="429"/>
    <d v="2014-05-12T00:00:00"/>
    <x v="29"/>
    <n v="27.96"/>
    <s v="www"/>
    <d v="2014-05-12T23:15:51"/>
    <x v="4"/>
  </r>
  <r>
    <s v="0 Original"/>
    <s v="2014-05-13 Armando Le(140)"/>
    <n v="140"/>
    <d v="2014-05-13T00:00:00"/>
    <x v="61"/>
    <n v="32.96"/>
    <s v="www"/>
    <d v="2014-05-13T23:00:36"/>
    <x v="4"/>
  </r>
  <r>
    <s v="0 Original"/>
    <s v="2014-05-14 Yoshi Bennett(654)"/>
    <n v="654"/>
    <d v="2014-05-14T00:00:00"/>
    <x v="40"/>
    <n v="20.97"/>
    <s v="www"/>
    <d v="2014-05-14T06:48:01"/>
    <x v="4"/>
  </r>
  <r>
    <s v="0 Original"/>
    <s v="2014-05-14 Colby Clay(600)"/>
    <n v="600"/>
    <d v="2014-05-14T00:00:00"/>
    <x v="0"/>
    <n v="18.97"/>
    <s v="www"/>
    <d v="2014-05-14T11:28:42"/>
    <x v="4"/>
  </r>
  <r>
    <s v="0 Original"/>
    <s v="2014-05-14 John Drake(785)"/>
    <n v="785"/>
    <d v="2014-05-14T00:00:00"/>
    <x v="9"/>
    <n v="21.96"/>
    <s v="www"/>
    <d v="2014-05-14T13:12:43"/>
    <x v="4"/>
  </r>
  <r>
    <s v="0 Original"/>
    <s v="2014-05-15 Lois Valdez(497)"/>
    <n v="497"/>
    <d v="2014-05-15T00:00:00"/>
    <x v="52"/>
    <n v="27.96"/>
    <s v="www"/>
    <d v="2014-05-15T13:10:00"/>
    <x v="4"/>
  </r>
  <r>
    <s v="0 Original"/>
    <s v="2014-05-15 Madeline Reynolds(872)"/>
    <n v="872"/>
    <d v="2014-05-15T00:00:00"/>
    <x v="13"/>
    <n v="7.99"/>
    <s v="www"/>
    <d v="2014-05-15T19:38:39"/>
    <x v="4"/>
  </r>
  <r>
    <s v="0 Original"/>
    <s v="2014-05-15 Bernard Cash(733)"/>
    <n v="733"/>
    <d v="2014-05-15T00:00:00"/>
    <x v="43"/>
    <n v="4.99"/>
    <s v="www"/>
    <d v="2014-05-15T22:08:27"/>
    <x v="4"/>
  </r>
  <r>
    <s v="0 Original"/>
    <s v="2014-05-17 Galvin Becker(657)"/>
    <n v="657"/>
    <d v="2014-05-17T00:00:00"/>
    <x v="28"/>
    <n v="49.94"/>
    <s v="www"/>
    <d v="2014-05-17T15:18:51"/>
    <x v="4"/>
  </r>
  <r>
    <s v="0 Original"/>
    <s v="2014-05-19 Indira Suarez(245)"/>
    <n v="245"/>
    <d v="2014-05-19T00:00:00"/>
    <x v="24"/>
    <n v="20.97"/>
    <s v="www"/>
    <d v="2014-05-19T22:51:22"/>
    <x v="4"/>
  </r>
  <r>
    <s v="0 Original"/>
    <s v="2014-05-20 Stacey Kirk(400)"/>
    <n v="400"/>
    <d v="2014-05-20T00:00:00"/>
    <x v="26"/>
    <n v="49.95"/>
    <s v="www"/>
    <d v="2014-05-20T04:53:05"/>
    <x v="4"/>
  </r>
  <r>
    <s v="0 Original"/>
    <s v="2014-05-20 Uta Workman(321)"/>
    <n v="321"/>
    <d v="2014-05-20T00:00:00"/>
    <x v="18"/>
    <n v="4.99"/>
    <s v="www"/>
    <d v="2014-05-20T05:16:49"/>
    <x v="4"/>
  </r>
  <r>
    <s v="0 Original"/>
    <s v="2014-05-20 Alexa Herring(197)"/>
    <n v="197"/>
    <d v="2014-05-20T00:00:00"/>
    <x v="44"/>
    <n v="40.94"/>
    <s v="www"/>
    <d v="2014-05-20T19:43:46"/>
    <x v="4"/>
  </r>
  <r>
    <s v="0 Original"/>
    <s v="2014-05-21 Alexa Herring(124)"/>
    <n v="124"/>
    <d v="2014-05-21T00:00:00"/>
    <x v="44"/>
    <n v="53.94"/>
    <s v="www"/>
    <d v="2014-05-21T08:59:03"/>
    <x v="4"/>
  </r>
  <r>
    <s v="0 Original"/>
    <s v="2014-05-22 Alma Salas(217)"/>
    <n v="217"/>
    <d v="2014-05-22T00:00:00"/>
    <x v="42"/>
    <n v="68.92"/>
    <s v="www"/>
    <d v="2014-05-22T04:33:48"/>
    <x v="4"/>
  </r>
  <r>
    <s v="0 Original"/>
    <s v="2014-05-23 Nayda Shields(787)"/>
    <n v="787"/>
    <d v="2014-05-23T00:00:00"/>
    <x v="11"/>
    <n v="27.97"/>
    <s v="www"/>
    <d v="2014-05-23T04:58:54"/>
    <x v="4"/>
  </r>
  <r>
    <s v="0 Original"/>
    <s v="2014-05-23 Madeline Reynolds(1189)"/>
    <n v="1189"/>
    <d v="2014-05-23T00:00:00"/>
    <x v="13"/>
    <n v="21.97"/>
    <s v="www"/>
    <d v="2014-05-23T15:58:35"/>
    <x v="4"/>
  </r>
  <r>
    <s v="0 Original"/>
    <s v="2014-05-23 Lionel Vargas(527)"/>
    <n v="527"/>
    <d v="2014-05-23T00:00:00"/>
    <x v="33"/>
    <n v="31.95"/>
    <s v="www"/>
    <d v="2014-05-23T20:21:45"/>
    <x v="4"/>
  </r>
  <r>
    <s v="0 Original"/>
    <s v="2014-05-23 Kendall Rocha(585)"/>
    <n v="585"/>
    <d v="2014-05-23T00:00:00"/>
    <x v="6"/>
    <n v="15.98"/>
    <s v="www"/>
    <d v="2014-05-23T22:13:11"/>
    <x v="4"/>
  </r>
  <r>
    <s v="0 Original"/>
    <s v="2014-05-24 Madeline Reynolds(1056)"/>
    <n v="1056"/>
    <d v="2014-05-24T00:00:00"/>
    <x v="13"/>
    <n v="35.950000000000003"/>
    <s v="www"/>
    <d v="2014-05-24T07:45:33"/>
    <x v="4"/>
  </r>
  <r>
    <s v="0 Original"/>
    <s v="2014-05-24 Cameron Rivera(934)"/>
    <n v="934"/>
    <d v="2014-05-24T00:00:00"/>
    <x v="16"/>
    <n v="79.900000000000006"/>
    <s v="www"/>
    <d v="2014-05-24T15:49:38"/>
    <x v="4"/>
  </r>
  <r>
    <s v="0 Original"/>
    <s v="2014-05-24 Christine Medina(984)"/>
    <n v="984"/>
    <d v="2014-05-24T00:00:00"/>
    <x v="8"/>
    <n v="16.98"/>
    <s v="www"/>
    <d v="2014-05-24T21:46:00"/>
    <x v="4"/>
  </r>
  <r>
    <s v="0 Original"/>
    <s v="2014-05-25 Ora Mann(498)"/>
    <n v="498"/>
    <d v="2014-05-25T00:00:00"/>
    <x v="27"/>
    <n v="6.99"/>
    <s v="www"/>
    <d v="2014-05-25T04:50:20"/>
    <x v="4"/>
  </r>
  <r>
    <s v="0 Original"/>
    <s v="2014-05-25 Donovan Gomez(1051)"/>
    <n v="1051"/>
    <d v="2014-05-25T00:00:00"/>
    <x v="7"/>
    <n v="39.94"/>
    <s v="www"/>
    <d v="2014-05-25T19:00:02"/>
    <x v="4"/>
  </r>
  <r>
    <s v="0 Original"/>
    <s v="2014-05-26 Christine Medina(999)"/>
    <n v="999"/>
    <d v="2014-05-26T00:00:00"/>
    <x v="8"/>
    <n v="9.99"/>
    <s v="www"/>
    <d v="2014-05-26T02:33:19"/>
    <x v="4"/>
  </r>
  <r>
    <s v="0 Original"/>
    <s v="2014-05-26 Zane Parrish(499)"/>
    <n v="499"/>
    <d v="2014-05-26T00:00:00"/>
    <x v="30"/>
    <n v="33.96"/>
    <s v="www"/>
    <d v="2014-05-26T12:15:44"/>
    <x v="4"/>
  </r>
  <r>
    <s v="0 Original"/>
    <s v="2014-05-26 Colt Hart(127)"/>
    <n v="127"/>
    <d v="2014-05-26T00:00:00"/>
    <x v="46"/>
    <n v="4.99"/>
    <s v="www"/>
    <d v="2014-05-26T19:11:32"/>
    <x v="4"/>
  </r>
  <r>
    <s v="0 Original"/>
    <s v="2014-05-27 Galvin Becker(624)"/>
    <n v="624"/>
    <d v="2014-05-27T00:00:00"/>
    <x v="28"/>
    <n v="26.97"/>
    <s v="www"/>
    <d v="2014-05-27T22:35:40"/>
    <x v="4"/>
  </r>
  <r>
    <s v="0 Original"/>
    <s v="2014-05-28 Cameron Rivera(816)"/>
    <n v="816"/>
    <d v="2014-05-28T00:00:00"/>
    <x v="16"/>
    <n v="14.98"/>
    <s v="www"/>
    <d v="2014-05-28T03:02:32"/>
    <x v="4"/>
  </r>
  <r>
    <s v="0 Original"/>
    <s v="2014-05-28 Madeline Reynolds(1172)"/>
    <n v="1172"/>
    <d v="2014-05-28T00:00:00"/>
    <x v="13"/>
    <n v="56.93"/>
    <s v="www"/>
    <d v="2014-05-28T12:15:43"/>
    <x v="4"/>
  </r>
  <r>
    <s v="0 Original"/>
    <s v="2014-05-28 Stacey Kirk(620)"/>
    <n v="620"/>
    <d v="2014-05-28T00:00:00"/>
    <x v="26"/>
    <n v="19.97"/>
    <s v="www"/>
    <d v="2014-05-28T17:44:01"/>
    <x v="4"/>
  </r>
  <r>
    <s v="0 Original"/>
    <s v="2014-05-30 Angelica Ortiz(484)"/>
    <n v="484"/>
    <d v="2014-05-30T00:00:00"/>
    <x v="17"/>
    <n v="15.98"/>
    <s v="www"/>
    <d v="2014-05-30T08:36:45"/>
    <x v="4"/>
  </r>
  <r>
    <s v="0 Original"/>
    <s v="2014-05-30 Nayda Shields(751)"/>
    <n v="751"/>
    <d v="2014-05-30T00:00:00"/>
    <x v="11"/>
    <n v="24.97"/>
    <s v="www"/>
    <d v="2014-05-30T21:21:34"/>
    <x v="4"/>
  </r>
  <r>
    <s v="0 Original"/>
    <s v="2014-05-31 Nayda Shields(839)"/>
    <n v="839"/>
    <d v="2014-05-31T00:00:00"/>
    <x v="11"/>
    <n v="4.99"/>
    <s v="www"/>
    <d v="2014-05-31T14:06:27"/>
    <x v="4"/>
  </r>
  <r>
    <s v="0 Original"/>
    <s v="2014-06-01 John Drake(1036)"/>
    <n v="1036"/>
    <d v="2014-06-01T00:00:00"/>
    <x v="9"/>
    <n v="49.94"/>
    <s v="www"/>
    <d v="2014-06-01T02:59:31"/>
    <x v="5"/>
  </r>
  <r>
    <s v="0 Original"/>
    <s v="2014-06-01 Martin Dunlap(565)"/>
    <n v="565"/>
    <d v="2014-06-01T00:00:00"/>
    <x v="20"/>
    <n v="43.95"/>
    <s v="www"/>
    <d v="2014-06-01T09:14:16"/>
    <x v="5"/>
  </r>
  <r>
    <s v="0 Original"/>
    <s v="2014-06-02 Adrian Dodson(404)"/>
    <n v="404"/>
    <d v="2014-06-02T00:00:00"/>
    <x v="12"/>
    <n v="37.96"/>
    <s v="www"/>
    <d v="2014-06-02T08:32:16"/>
    <x v="5"/>
  </r>
  <r>
    <s v="0 Original"/>
    <s v="2014-06-03 Donovan Gomez(1054)"/>
    <n v="1054"/>
    <d v="2014-06-03T00:00:00"/>
    <x v="7"/>
    <n v="7.99"/>
    <s v="www"/>
    <d v="2014-06-03T02:46:28"/>
    <x v="5"/>
  </r>
  <r>
    <s v="0 Original"/>
    <s v="2014-06-03 Theodore Mills(318)"/>
    <n v="318"/>
    <d v="2014-06-03T00:00:00"/>
    <x v="62"/>
    <n v="28.97"/>
    <s v="www"/>
    <d v="2014-06-03T16:58:55"/>
    <x v="5"/>
  </r>
  <r>
    <s v="0 Original"/>
    <s v="2014-06-03 Harrison Klein(450)"/>
    <n v="450"/>
    <d v="2014-06-03T00:00:00"/>
    <x v="37"/>
    <n v="19.97"/>
    <s v="www"/>
    <d v="2014-06-03T23:09:02"/>
    <x v="5"/>
  </r>
  <r>
    <s v="0 Original"/>
    <s v="2014-06-04 Indira Suarez(194)"/>
    <n v="194"/>
    <d v="2014-06-04T00:00:00"/>
    <x v="24"/>
    <n v="18.97"/>
    <s v="www"/>
    <d v="2014-06-04T04:59:57"/>
    <x v="5"/>
  </r>
  <r>
    <s v="0 Original"/>
    <s v="2014-06-06 Yoshi Bennett(354)"/>
    <n v="354"/>
    <d v="2014-06-06T00:00:00"/>
    <x v="40"/>
    <n v="15.98"/>
    <s v="www"/>
    <d v="2014-06-06T22:12:42"/>
    <x v="5"/>
  </r>
  <r>
    <s v="0 Original"/>
    <s v="2014-06-07 Zane Parrish(239)"/>
    <n v="239"/>
    <d v="2014-06-07T00:00:00"/>
    <x v="30"/>
    <n v="28.96"/>
    <s v="www"/>
    <d v="2014-06-07T17:10:01"/>
    <x v="5"/>
  </r>
  <r>
    <s v="0 Original"/>
    <s v="2014-06-08 Belle Short(1138)"/>
    <n v="1138"/>
    <d v="2014-06-08T00:00:00"/>
    <x v="25"/>
    <n v="16.98"/>
    <s v="www"/>
    <d v="2014-06-08T21:22:26"/>
    <x v="5"/>
  </r>
  <r>
    <s v="0 Original"/>
    <s v="2014-06-08 Zeus Trujillo(60)"/>
    <n v="60"/>
    <d v="2014-06-08T00:00:00"/>
    <x v="5"/>
    <n v="16.98"/>
    <s v="www"/>
    <d v="2014-06-08T21:53:59"/>
    <x v="5"/>
  </r>
  <r>
    <s v="0 Original"/>
    <s v="2014-06-09 Madeson Silva(291)"/>
    <n v="291"/>
    <d v="2014-06-09T00:00:00"/>
    <x v="63"/>
    <n v="21.96"/>
    <s v="www"/>
    <d v="2014-06-09T07:00:25"/>
    <x v="5"/>
  </r>
  <r>
    <s v="0 Original"/>
    <s v="2014-06-09 Stuart Vega(589)"/>
    <n v="589"/>
    <d v="2014-06-09T00:00:00"/>
    <x v="3"/>
    <n v="14.98"/>
    <s v="www"/>
    <d v="2014-06-09T13:21:43"/>
    <x v="5"/>
  </r>
  <r>
    <s v="0 Original"/>
    <s v="2014-06-09 John Drake(1125)"/>
    <n v="1125"/>
    <d v="2014-06-09T00:00:00"/>
    <x v="9"/>
    <n v="46.93"/>
    <s v="www"/>
    <d v="2014-06-09T22:11:32"/>
    <x v="5"/>
  </r>
  <r>
    <s v="0 Original"/>
    <s v="2014-06-10 Prescott Nelson(971)"/>
    <n v="971"/>
    <d v="2014-06-10T00:00:00"/>
    <x v="2"/>
    <n v="37.94"/>
    <s v="www"/>
    <d v="2014-06-10T04:22:49"/>
    <x v="5"/>
  </r>
  <r>
    <s v="0 Original"/>
    <s v="2014-06-10 Blossom Mosley(211)"/>
    <n v="211"/>
    <d v="2014-06-10T00:00:00"/>
    <x v="38"/>
    <n v="35.950000000000003"/>
    <s v="www"/>
    <d v="2014-06-10T09:52:09"/>
    <x v="5"/>
  </r>
  <r>
    <s v="0 Original"/>
    <s v="2014-06-10 Christine Medina(1013)"/>
    <n v="1013"/>
    <d v="2014-06-10T00:00:00"/>
    <x v="8"/>
    <n v="41.95"/>
    <s v="www"/>
    <d v="2014-06-10T23:55:21"/>
    <x v="5"/>
  </r>
  <r>
    <s v="0 Original"/>
    <s v="2014-06-11 Madeson Silva(169)"/>
    <n v="169"/>
    <d v="2014-06-11T00:00:00"/>
    <x v="63"/>
    <n v="24.97"/>
    <s v="www"/>
    <d v="2014-06-11T02:12:16"/>
    <x v="5"/>
  </r>
  <r>
    <s v="0 Original"/>
    <s v="2014-06-12 Ulysses Hudson(119)"/>
    <n v="119"/>
    <d v="2014-06-12T00:00:00"/>
    <x v="53"/>
    <n v="24.97"/>
    <s v="www"/>
    <d v="2014-06-12T05:41:48"/>
    <x v="5"/>
  </r>
  <r>
    <s v="0 Original"/>
    <s v="2014-06-12 Donovan Gomez(1110)"/>
    <n v="1110"/>
    <d v="2014-06-12T00:00:00"/>
    <x v="7"/>
    <n v="44.94"/>
    <s v="www"/>
    <d v="2014-06-12T16:37:05"/>
    <x v="5"/>
  </r>
  <r>
    <s v="0 Original"/>
    <s v="2014-06-14 John Drake(1029)"/>
    <n v="1029"/>
    <d v="2014-06-14T00:00:00"/>
    <x v="9"/>
    <n v="34.950000000000003"/>
    <s v="www"/>
    <d v="2014-06-14T12:10:41"/>
    <x v="5"/>
  </r>
  <r>
    <s v="0 Original"/>
    <s v="2014-06-15 John Drake(770)"/>
    <n v="770"/>
    <d v="2014-06-15T00:00:00"/>
    <x v="9"/>
    <n v="14.98"/>
    <s v="www"/>
    <d v="2014-06-15T03:12:25"/>
    <x v="5"/>
  </r>
  <r>
    <s v="0 Original"/>
    <s v="2014-06-15 Prescott Nelson(5)"/>
    <n v="5"/>
    <d v="2014-06-15T00:00:00"/>
    <x v="2"/>
    <n v="18.97"/>
    <s v="www"/>
    <d v="2014-06-15T14:47:41"/>
    <x v="5"/>
  </r>
  <r>
    <s v="0 Original"/>
    <s v="2014-06-15 Bernard Cash(1076)"/>
    <n v="1076"/>
    <d v="2014-06-15T00:00:00"/>
    <x v="43"/>
    <n v="42.94"/>
    <s v="www"/>
    <d v="2014-06-15T19:06:57"/>
    <x v="5"/>
  </r>
  <r>
    <s v="0 Original"/>
    <s v="2014-06-16 Armando Le(343)"/>
    <n v="343"/>
    <d v="2014-06-16T00:00:00"/>
    <x v="61"/>
    <n v="50.93"/>
    <s v="www"/>
    <d v="2014-06-16T15:00:43"/>
    <x v="5"/>
  </r>
  <r>
    <s v="0 Original"/>
    <s v="2014-06-16 Donovan Gomez(1057)"/>
    <n v="1057"/>
    <d v="2014-06-16T00:00:00"/>
    <x v="7"/>
    <n v="29.96"/>
    <s v="www"/>
    <d v="2014-06-16T21:52:19"/>
    <x v="5"/>
  </r>
  <r>
    <s v="0 Original"/>
    <s v="2014-06-18 Serina Booker(207)"/>
    <n v="207"/>
    <d v="2014-06-18T00:00:00"/>
    <x v="60"/>
    <n v="41.95"/>
    <s v="www"/>
    <d v="2014-06-18T10:19:07"/>
    <x v="5"/>
  </r>
  <r>
    <s v="0 Original"/>
    <s v="2014-06-18 Claudia Crane(346)"/>
    <n v="346"/>
    <d v="2014-06-18T00:00:00"/>
    <x v="55"/>
    <n v="25.97"/>
    <s v="www"/>
    <d v="2014-06-18T16:32:15"/>
    <x v="5"/>
  </r>
  <r>
    <s v="0 Original"/>
    <s v="2014-06-19 Donovan Gomez(944)"/>
    <n v="944"/>
    <d v="2014-06-19T00:00:00"/>
    <x v="7"/>
    <n v="39.96"/>
    <s v="www"/>
    <d v="2014-06-19T02:42:36"/>
    <x v="5"/>
  </r>
  <r>
    <s v="0 Original"/>
    <s v="2014-06-19 Cameron Rivera(818)"/>
    <n v="818"/>
    <d v="2014-06-19T00:00:00"/>
    <x v="16"/>
    <n v="7.99"/>
    <s v="www"/>
    <d v="2014-06-19T04:27:12"/>
    <x v="5"/>
  </r>
  <r>
    <s v="0 Original"/>
    <s v="2014-06-20 Serina Booker(260)"/>
    <n v="260"/>
    <d v="2014-06-20T00:00:00"/>
    <x v="60"/>
    <n v="60.93"/>
    <s v="www"/>
    <d v="2014-06-20T14:56:12"/>
    <x v="5"/>
  </r>
  <r>
    <s v="0 Original"/>
    <s v="2014-06-20 Prescott Nelson(1199)"/>
    <n v="1199"/>
    <d v="2014-06-20T00:00:00"/>
    <x v="2"/>
    <n v="15.98"/>
    <s v="www"/>
    <d v="2014-06-20T15:11:19"/>
    <x v="5"/>
  </r>
  <r>
    <s v="0 Original"/>
    <s v="2014-06-22 John Drake(1049)"/>
    <n v="1049"/>
    <d v="2014-06-22T00:00:00"/>
    <x v="9"/>
    <n v="23.97"/>
    <s v="www"/>
    <d v="2014-06-22T04:40:20"/>
    <x v="5"/>
  </r>
  <r>
    <s v="0 Original"/>
    <s v="2014-06-22 Tanek Santos(576)"/>
    <n v="576"/>
    <d v="2014-06-22T00:00:00"/>
    <x v="31"/>
    <n v="40.950000000000003"/>
    <s v="www"/>
    <d v="2014-06-22T06:29:09"/>
    <x v="5"/>
  </r>
  <r>
    <s v="0 Original"/>
    <s v="2014-06-22 Dane Stafford(338)"/>
    <n v="338"/>
    <d v="2014-06-22T00:00:00"/>
    <x v="29"/>
    <n v="29.97"/>
    <s v="www"/>
    <d v="2014-06-22T08:15:11"/>
    <x v="5"/>
  </r>
  <r>
    <s v="0 Original"/>
    <s v="2014-06-22 Iona Simpson(344)"/>
    <n v="344"/>
    <d v="2014-06-22T00:00:00"/>
    <x v="1"/>
    <n v="67.900000000000006"/>
    <s v="www"/>
    <d v="2014-06-22T19:37:18"/>
    <x v="5"/>
  </r>
  <r>
    <s v="0 Original"/>
    <s v="2014-06-23 Madeline Reynolds(841)"/>
    <n v="841"/>
    <d v="2014-06-23T00:00:00"/>
    <x v="13"/>
    <n v="27.95"/>
    <s v="www"/>
    <d v="2014-06-23T07:24:17"/>
    <x v="5"/>
  </r>
  <r>
    <s v="0 Original"/>
    <s v="2014-06-23 John Drake(1167)"/>
    <n v="1167"/>
    <d v="2014-06-23T00:00:00"/>
    <x v="9"/>
    <n v="9.98"/>
    <s v="www"/>
    <d v="2014-06-23T14:36:13"/>
    <x v="5"/>
  </r>
  <r>
    <s v="0 Original"/>
    <s v="2014-06-24 Dane Stafford(546)"/>
    <n v="546"/>
    <d v="2014-06-24T00:00:00"/>
    <x v="29"/>
    <n v="20.97"/>
    <s v="www"/>
    <d v="2014-06-24T15:47:15"/>
    <x v="5"/>
  </r>
  <r>
    <s v="0 Original"/>
    <s v="2014-06-25 Gabriel Carlson(379)"/>
    <n v="379"/>
    <d v="2014-06-25T00:00:00"/>
    <x v="32"/>
    <n v="6.99"/>
    <s v="www"/>
    <d v="2014-06-25T00:52:25"/>
    <x v="5"/>
  </r>
  <r>
    <s v="0 Original"/>
    <s v="2014-06-25 Nayda Shields(912)"/>
    <n v="912"/>
    <d v="2014-06-25T00:00:00"/>
    <x v="11"/>
    <n v="67.91"/>
    <s v="www"/>
    <d v="2014-06-25T03:36:47"/>
    <x v="5"/>
  </r>
  <r>
    <s v="0 Original"/>
    <s v="2014-06-25 Martin Dunlap(625)"/>
    <n v="625"/>
    <d v="2014-06-25T00:00:00"/>
    <x v="20"/>
    <n v="4.99"/>
    <s v="www"/>
    <d v="2014-06-25T11:20:07"/>
    <x v="5"/>
  </r>
  <r>
    <s v="0 Original"/>
    <s v="2014-06-25 Madeline Reynolds(564)"/>
    <n v="564"/>
    <d v="2014-06-25T00:00:00"/>
    <x v="13"/>
    <n v="21.97"/>
    <s v="www"/>
    <d v="2014-06-25T11:50:46"/>
    <x v="5"/>
  </r>
  <r>
    <s v="0 Original"/>
    <s v="2014-06-25 Christine Medina(1158)"/>
    <n v="1158"/>
    <d v="2014-06-25T00:00:00"/>
    <x v="8"/>
    <n v="18.97"/>
    <s v="www"/>
    <d v="2014-06-25T23:52:49"/>
    <x v="5"/>
  </r>
  <r>
    <s v="0 Original"/>
    <s v="2014-06-27 Madeline Reynolds(853)"/>
    <n v="853"/>
    <d v="2014-06-27T00:00:00"/>
    <x v="13"/>
    <n v="33.950000000000003"/>
    <s v="www"/>
    <d v="2014-06-27T02:10:56"/>
    <x v="5"/>
  </r>
  <r>
    <s v="0 Original"/>
    <s v="2014-06-28 Armando Le(64)"/>
    <n v="64"/>
    <d v="2014-06-28T00:00:00"/>
    <x v="61"/>
    <n v="24.97"/>
    <s v="www"/>
    <d v="2014-06-28T09:42:18"/>
    <x v="5"/>
  </r>
  <r>
    <s v="0 Original"/>
    <s v="2014-06-28 Anne Slater(374)"/>
    <n v="374"/>
    <d v="2014-06-28T00:00:00"/>
    <x v="35"/>
    <n v="15.98"/>
    <s v="www"/>
    <d v="2014-06-28T20:09:24"/>
    <x v="5"/>
  </r>
  <r>
    <s v="0 Original"/>
    <s v="2014-06-29 Lois Valdez(594)"/>
    <n v="594"/>
    <d v="2014-06-29T00:00:00"/>
    <x v="52"/>
    <n v="32.96"/>
    <s v="www"/>
    <d v="2014-06-29T02:17:40"/>
    <x v="5"/>
  </r>
  <r>
    <s v="0 Original"/>
    <s v="2014-06-29 Rhonda Curtis(352)"/>
    <n v="352"/>
    <d v="2014-06-29T00:00:00"/>
    <x v="15"/>
    <n v="47.94"/>
    <s v="www"/>
    <d v="2014-06-29T17:10:32"/>
    <x v="5"/>
  </r>
  <r>
    <s v="0 Original"/>
    <s v="2014-06-29 Alma Salas(518)"/>
    <n v="518"/>
    <d v="2014-06-29T00:00:00"/>
    <x v="42"/>
    <n v="43.95"/>
    <s v="www"/>
    <d v="2014-06-29T18:21:30"/>
    <x v="5"/>
  </r>
  <r>
    <s v="0 Original"/>
    <s v="2014-06-30 Lionel Vargas(553)"/>
    <n v="553"/>
    <d v="2014-06-30T00:00:00"/>
    <x v="33"/>
    <n v="33.950000000000003"/>
    <s v="www"/>
    <d v="2014-06-30T10:35:41"/>
    <x v="5"/>
  </r>
  <r>
    <s v="0 Original"/>
    <s v="2014-06-30 Lois Valdez(438)"/>
    <n v="438"/>
    <d v="2014-06-30T00:00:00"/>
    <x v="52"/>
    <n v="45.94"/>
    <s v="www"/>
    <d v="2014-06-30T11:46:03"/>
    <x v="5"/>
  </r>
  <r>
    <s v="0 Original"/>
    <s v="2014-06-30 Harrison Klein(238)"/>
    <n v="238"/>
    <d v="2014-06-30T00:00:00"/>
    <x v="37"/>
    <n v="13.98"/>
    <s v="www"/>
    <d v="2014-06-30T13:22:22"/>
    <x v="5"/>
  </r>
  <r>
    <s v="0 Original"/>
    <s v="2014-06-30 Ora Mann(748)"/>
    <n v="748"/>
    <d v="2014-06-30T00:00:00"/>
    <x v="27"/>
    <n v="30.96"/>
    <s v="www"/>
    <d v="2014-06-30T22:12:31"/>
    <x v="5"/>
  </r>
  <r>
    <s v="0 Original"/>
    <s v="2014-06-30 Nayda Shields(1103)"/>
    <n v="1103"/>
    <d v="2014-06-30T00:00:00"/>
    <x v="11"/>
    <n v="22.96"/>
    <s v="www"/>
    <d v="2014-06-30T23:02:34"/>
    <x v="5"/>
  </r>
  <r>
    <s v="0 Original"/>
    <s v="2014-07-01 Benedict Todd(478)"/>
    <n v="478"/>
    <d v="2014-07-01T00:00:00"/>
    <x v="64"/>
    <n v="26.97"/>
    <s v="www"/>
    <d v="2014-07-01T06:08:22"/>
    <x v="6"/>
  </r>
  <r>
    <s v="0 Original"/>
    <s v="2014-07-02 John Drake(788)"/>
    <n v="788"/>
    <d v="2014-07-02T00:00:00"/>
    <x v="9"/>
    <n v="29.97"/>
    <s v="www"/>
    <d v="2014-07-02T19:23:48"/>
    <x v="6"/>
  </r>
  <r>
    <s v="0 Original"/>
    <s v="2014-07-02 Prescott Nelson(729)"/>
    <n v="729"/>
    <d v="2014-07-02T00:00:00"/>
    <x v="2"/>
    <n v="4.99"/>
    <s v="www"/>
    <d v="2014-07-02T20:19:55"/>
    <x v="6"/>
  </r>
  <r>
    <s v="0 Original"/>
    <s v="2014-07-03 Madeline Reynolds(928)"/>
    <n v="928"/>
    <d v="2014-07-03T00:00:00"/>
    <x v="13"/>
    <n v="71.900000000000006"/>
    <s v="www"/>
    <d v="2014-07-03T03:59:48"/>
    <x v="6"/>
  </r>
  <r>
    <s v="0 Original"/>
    <s v="2014-07-03 Claudia Crane(690)"/>
    <n v="690"/>
    <d v="2014-07-03T00:00:00"/>
    <x v="55"/>
    <n v="26.97"/>
    <s v="www"/>
    <d v="2014-07-03T06:48:50"/>
    <x v="6"/>
  </r>
  <r>
    <s v="0 Original"/>
    <s v="2014-07-03 Nayda Shields(943)"/>
    <n v="943"/>
    <d v="2014-07-03T00:00:00"/>
    <x v="11"/>
    <n v="15.98"/>
    <s v="www"/>
    <d v="2014-07-03T15:21:30"/>
    <x v="6"/>
  </r>
  <r>
    <s v="0 Original"/>
    <s v="2014-07-03 Nayda Shields(1092)"/>
    <n v="1092"/>
    <d v="2014-07-03T00:00:00"/>
    <x v="11"/>
    <n v="23.96"/>
    <s v="www"/>
    <d v="2014-07-03T22:00:58"/>
    <x v="6"/>
  </r>
  <r>
    <s v="0 Original"/>
    <s v="2014-07-05 Blossom Mosley(283)"/>
    <n v="283"/>
    <d v="2014-07-05T00:00:00"/>
    <x v="38"/>
    <n v="45.94"/>
    <s v="www"/>
    <d v="2014-07-05T21:19:29"/>
    <x v="6"/>
  </r>
  <r>
    <s v="0 Original"/>
    <s v="2014-07-08 Ivy Livingston(646)"/>
    <n v="646"/>
    <d v="2014-07-08T00:00:00"/>
    <x v="54"/>
    <n v="92.89"/>
    <s v="www"/>
    <d v="2014-07-08T05:21:47"/>
    <x v="6"/>
  </r>
  <r>
    <s v="0 Original"/>
    <s v="2014-07-08 Madeline Reynolds(887)"/>
    <n v="887"/>
    <d v="2014-07-08T00:00:00"/>
    <x v="13"/>
    <n v="55.94"/>
    <s v="www"/>
    <d v="2014-07-08T07:14:55"/>
    <x v="6"/>
  </r>
  <r>
    <s v="0 Original"/>
    <s v="2014-07-08 Yoshi Bennett(152)"/>
    <n v="152"/>
    <d v="2014-07-08T00:00:00"/>
    <x v="40"/>
    <n v="19.97"/>
    <s v="www"/>
    <d v="2014-07-08T13:56:58"/>
    <x v="6"/>
  </r>
  <r>
    <s v="0 Original"/>
    <s v="2014-07-08 Irene Carver(49)"/>
    <n v="49"/>
    <d v="2014-07-08T00:00:00"/>
    <x v="50"/>
    <n v="17.98"/>
    <s v="www"/>
    <d v="2014-07-08T16:15:05"/>
    <x v="6"/>
  </r>
  <r>
    <s v="0 Original"/>
    <s v="2014-07-09 Ora Mann(530)"/>
    <n v="530"/>
    <d v="2014-07-09T00:00:00"/>
    <x v="27"/>
    <n v="34.96"/>
    <s v="www"/>
    <d v="2014-07-09T17:32:08"/>
    <x v="6"/>
  </r>
  <r>
    <s v="0 Original"/>
    <s v="2014-07-09 Wade Coleman(137)"/>
    <n v="137"/>
    <d v="2014-07-09T00:00:00"/>
    <x v="4"/>
    <n v="50.93"/>
    <s v="www"/>
    <d v="2014-07-09T23:49:49"/>
    <x v="6"/>
  </r>
  <r>
    <s v="0 Original"/>
    <s v="2014-07-10 Galvin Becker(373)"/>
    <n v="373"/>
    <d v="2014-07-10T00:00:00"/>
    <x v="28"/>
    <n v="30.96"/>
    <s v="www"/>
    <d v="2014-07-10T07:49:27"/>
    <x v="6"/>
  </r>
  <r>
    <s v="0 Original"/>
    <s v="2014-07-10 Christine Medina(989)"/>
    <n v="989"/>
    <d v="2014-07-10T00:00:00"/>
    <x v="8"/>
    <n v="4.99"/>
    <s v="www"/>
    <d v="2014-07-10T08:01:39"/>
    <x v="6"/>
  </r>
  <r>
    <s v="0 Original"/>
    <s v="2014-07-11 April Buckley(584)"/>
    <n v="584"/>
    <d v="2014-07-11T00:00:00"/>
    <x v="65"/>
    <n v="32.950000000000003"/>
    <s v="www"/>
    <d v="2014-07-11T08:04:01"/>
    <x v="6"/>
  </r>
  <r>
    <s v="0 Original"/>
    <s v="2014-07-11 Cameron Rivera(1042)"/>
    <n v="1042"/>
    <d v="2014-07-11T00:00:00"/>
    <x v="16"/>
    <n v="10.98"/>
    <s v="www"/>
    <d v="2014-07-11T09:52:10"/>
    <x v="6"/>
  </r>
  <r>
    <s v="0 Original"/>
    <s v="2014-07-12 Prescott Nelson(706)"/>
    <n v="706"/>
    <d v="2014-07-12T00:00:00"/>
    <x v="2"/>
    <n v="4.99"/>
    <s v="www"/>
    <d v="2014-07-12T00:17:26"/>
    <x v="6"/>
  </r>
  <r>
    <s v="0 Original"/>
    <s v="2014-07-12 Ulysses Hudson(573)"/>
    <n v="573"/>
    <d v="2014-07-12T00:00:00"/>
    <x v="53"/>
    <n v="18.98"/>
    <s v="www"/>
    <d v="2014-07-12T05:18:22"/>
    <x v="6"/>
  </r>
  <r>
    <s v="0 Original"/>
    <s v="2014-07-12 Iona Simpson(399)"/>
    <n v="399"/>
    <d v="2014-07-12T00:00:00"/>
    <x v="1"/>
    <n v="43.95"/>
    <s v="www"/>
    <d v="2014-07-12T21:07:31"/>
    <x v="6"/>
  </r>
  <r>
    <s v="0 Original"/>
    <s v="2014-07-13 Yoshi Bennett(567)"/>
    <n v="567"/>
    <d v="2014-07-13T00:00:00"/>
    <x v="40"/>
    <n v="49.94"/>
    <s v="www"/>
    <d v="2014-07-13T16:41:23"/>
    <x v="6"/>
  </r>
  <r>
    <s v="0 Original"/>
    <s v="2014-07-14 Zane Parrish(511)"/>
    <n v="511"/>
    <d v="2014-07-14T00:00:00"/>
    <x v="30"/>
    <n v="16.98"/>
    <s v="www"/>
    <d v="2014-07-14T10:02:01"/>
    <x v="6"/>
  </r>
  <r>
    <s v="0 Original"/>
    <s v="2014-07-14 Madeline Reynolds(1047)"/>
    <n v="1047"/>
    <d v="2014-07-14T00:00:00"/>
    <x v="13"/>
    <n v="14.98"/>
    <s v="www"/>
    <d v="2014-07-14T14:34:14"/>
    <x v="6"/>
  </r>
  <r>
    <s v="0 Original"/>
    <s v="2014-07-14 Gabriel Carlson(674)"/>
    <n v="674"/>
    <d v="2014-07-14T00:00:00"/>
    <x v="32"/>
    <n v="40.950000000000003"/>
    <s v="www"/>
    <d v="2014-07-14T15:07:57"/>
    <x v="6"/>
  </r>
  <r>
    <s v="0 Original"/>
    <s v="2014-07-14 Dale Fry(272)"/>
    <n v="272"/>
    <d v="2014-07-14T00:00:00"/>
    <x v="66"/>
    <n v="14.98"/>
    <s v="www"/>
    <d v="2014-07-14T21:21:51"/>
    <x v="6"/>
  </r>
  <r>
    <s v="0 Original"/>
    <s v="2014-07-14 Madeline Reynolds(786)"/>
    <n v="786"/>
    <d v="2014-07-14T00:00:00"/>
    <x v="13"/>
    <n v="29.95"/>
    <s v="www"/>
    <d v="2014-07-14T21:33:28"/>
    <x v="6"/>
  </r>
  <r>
    <s v="0 Original"/>
    <s v="2014-07-14 Prescott Nelson(33)"/>
    <n v="33"/>
    <d v="2014-07-14T00:00:00"/>
    <x v="2"/>
    <n v="28.96"/>
    <s v="www"/>
    <d v="2014-07-14T22:49:35"/>
    <x v="6"/>
  </r>
  <r>
    <s v="0 Original"/>
    <s v="2014-07-15 Indira Suarez(449)"/>
    <n v="449"/>
    <d v="2014-07-15T00:00:00"/>
    <x v="24"/>
    <n v="19.97"/>
    <s v="www"/>
    <d v="2014-07-15T17:47:50"/>
    <x v="6"/>
  </r>
  <r>
    <s v="0 Original"/>
    <s v="2014-07-16 Harrison Klein(362)"/>
    <n v="362"/>
    <d v="2014-07-16T00:00:00"/>
    <x v="37"/>
    <n v="97.88"/>
    <s v="www"/>
    <d v="2014-07-16T00:54:59"/>
    <x v="6"/>
  </r>
  <r>
    <s v="0 Original"/>
    <s v="2014-07-16 Ulysses Hudson(395)"/>
    <n v="395"/>
    <d v="2014-07-16T00:00:00"/>
    <x v="53"/>
    <n v="8.99"/>
    <s v="www"/>
    <d v="2014-07-16T05:09:36"/>
    <x v="6"/>
  </r>
  <r>
    <s v="0 Original"/>
    <s v="2014-07-16 Bernard Cash(1106)"/>
    <n v="1106"/>
    <d v="2014-07-16T00:00:00"/>
    <x v="43"/>
    <n v="25.96"/>
    <s v="www"/>
    <d v="2014-07-16T12:01:36"/>
    <x v="6"/>
  </r>
  <r>
    <s v="0 Original"/>
    <s v="2014-07-18 Nayda Shields(1183)"/>
    <n v="1183"/>
    <d v="2014-07-18T00:00:00"/>
    <x v="11"/>
    <n v="38.950000000000003"/>
    <s v="www"/>
    <d v="2014-07-18T01:05:56"/>
    <x v="6"/>
  </r>
  <r>
    <s v="0 Original"/>
    <s v="2014-07-18 Hanna Simpson(680)"/>
    <n v="680"/>
    <d v="2014-07-18T00:00:00"/>
    <x v="36"/>
    <n v="6.99"/>
    <s v="www"/>
    <d v="2014-07-18T01:50:18"/>
    <x v="6"/>
  </r>
  <r>
    <s v="0 Original"/>
    <s v="2014-07-18 Prescott Nelson(1141)"/>
    <n v="1141"/>
    <d v="2014-07-18T00:00:00"/>
    <x v="2"/>
    <n v="14.98"/>
    <s v="www"/>
    <d v="2014-07-18T04:11:25"/>
    <x v="6"/>
  </r>
  <r>
    <s v="0 Original"/>
    <s v="2014-07-18 Cameron Rivera(1007)"/>
    <n v="1007"/>
    <d v="2014-07-18T00:00:00"/>
    <x v="16"/>
    <n v="48.94"/>
    <s v="www"/>
    <d v="2014-07-18T14:02:31"/>
    <x v="6"/>
  </r>
  <r>
    <s v="0 Original"/>
    <s v="2014-07-19 Prescott Nelson(1026)"/>
    <n v="1026"/>
    <d v="2014-07-19T00:00:00"/>
    <x v="2"/>
    <n v="53.92"/>
    <s v="www"/>
    <d v="2014-07-19T00:52:58"/>
    <x v="6"/>
  </r>
  <r>
    <s v="0 Original"/>
    <s v="2014-07-20 Blossom Mosley(681)"/>
    <n v="681"/>
    <d v="2014-07-20T00:00:00"/>
    <x v="38"/>
    <n v="38.96"/>
    <s v="www"/>
    <d v="2014-07-20T04:18:21"/>
    <x v="6"/>
  </r>
  <r>
    <s v="0 Original"/>
    <s v="2014-07-20 Hayley Foster(237)"/>
    <n v="237"/>
    <d v="2014-07-20T00:00:00"/>
    <x v="67"/>
    <n v="18.98"/>
    <s v="www"/>
    <d v="2014-07-20T04:24:37"/>
    <x v="6"/>
  </r>
  <r>
    <s v="0 Original"/>
    <s v="2014-07-20 Yoshi Bennett(453)"/>
    <n v="453"/>
    <d v="2014-07-20T00:00:00"/>
    <x v="40"/>
    <n v="25.96"/>
    <s v="www"/>
    <d v="2014-07-20T07:24:13"/>
    <x v="6"/>
  </r>
  <r>
    <s v="0 Original"/>
    <s v="2014-07-20 Adrian Dodson(492)"/>
    <n v="492"/>
    <d v="2014-07-20T00:00:00"/>
    <x v="12"/>
    <n v="12.98"/>
    <s v="www"/>
    <d v="2014-07-20T17:30:01"/>
    <x v="6"/>
  </r>
  <r>
    <s v="0 Original"/>
    <s v="2014-07-20 Galvin Becker(256)"/>
    <n v="256"/>
    <d v="2014-07-20T00:00:00"/>
    <x v="28"/>
    <n v="37.950000000000003"/>
    <s v="www"/>
    <d v="2014-07-20T20:57:35"/>
    <x v="6"/>
  </r>
  <r>
    <s v="0 Original"/>
    <s v="2014-07-22 Ora Mann(969)"/>
    <n v="969"/>
    <d v="2014-07-22T00:00:00"/>
    <x v="27"/>
    <n v="6.99"/>
    <s v="www"/>
    <d v="2014-07-22T12:37:32"/>
    <x v="6"/>
  </r>
  <r>
    <s v="0 Original"/>
    <s v="2014-07-22 Gabriel Carlson(94)"/>
    <n v="94"/>
    <d v="2014-07-22T00:00:00"/>
    <x v="32"/>
    <n v="56.91"/>
    <s v="www"/>
    <d v="2014-07-22T15:18:32"/>
    <x v="6"/>
  </r>
  <r>
    <s v="0 Original"/>
    <s v="2014-07-24 Donovan Gomez(890)"/>
    <n v="890"/>
    <d v="2014-07-24T00:00:00"/>
    <x v="7"/>
    <n v="24.97"/>
    <s v="www"/>
    <d v="2014-07-24T07:01:24"/>
    <x v="6"/>
  </r>
  <r>
    <s v="0 Original"/>
    <s v="2014-07-25 Christine Medina(813)"/>
    <n v="813"/>
    <d v="2014-07-25T00:00:00"/>
    <x v="8"/>
    <n v="64.92"/>
    <s v="www"/>
    <d v="2014-07-25T22:20:22"/>
    <x v="6"/>
  </r>
  <r>
    <s v="0 Original"/>
    <s v="2014-07-26 Belle Short(1197)"/>
    <n v="1197"/>
    <d v="2014-07-26T00:00:00"/>
    <x v="25"/>
    <n v="43.95"/>
    <s v="www"/>
    <d v="2014-07-26T12:45:59"/>
    <x v="6"/>
  </r>
  <r>
    <s v="0 Original"/>
    <s v="2014-07-26 Belle Short(993)"/>
    <n v="993"/>
    <d v="2014-07-26T00:00:00"/>
    <x v="25"/>
    <n v="24.97"/>
    <s v="www"/>
    <d v="2014-07-26T18:44:08"/>
    <x v="6"/>
  </r>
  <r>
    <s v="0 Original"/>
    <s v="2014-07-27 Yoshi Bennett(301)"/>
    <n v="301"/>
    <d v="2014-07-27T00:00:00"/>
    <x v="40"/>
    <n v="61.92"/>
    <s v="www"/>
    <d v="2014-07-27T02:27:01"/>
    <x v="6"/>
  </r>
  <r>
    <s v="0 Original"/>
    <s v="2014-07-27 Anne Slater(188)"/>
    <n v="188"/>
    <d v="2014-07-27T00:00:00"/>
    <x v="35"/>
    <n v="7.99"/>
    <s v="www"/>
    <d v="2014-07-27T10:43:07"/>
    <x v="6"/>
  </r>
  <r>
    <s v="0 Original"/>
    <s v="2014-07-27 Angelica Ortiz(539)"/>
    <n v="539"/>
    <d v="2014-07-27T00:00:00"/>
    <x v="17"/>
    <n v="27.97"/>
    <s v="www"/>
    <d v="2014-07-27T11:11:07"/>
    <x v="6"/>
  </r>
  <r>
    <s v="0 Original"/>
    <s v="2014-07-28 Ora Mann(758)"/>
    <n v="758"/>
    <d v="2014-07-28T00:00:00"/>
    <x v="27"/>
    <n v="38.950000000000003"/>
    <s v="www"/>
    <d v="2014-07-28T00:26:21"/>
    <x v="6"/>
  </r>
  <r>
    <s v="0 Original"/>
    <s v="2014-07-28 Belle Short(926)"/>
    <n v="926"/>
    <d v="2014-07-28T00:00:00"/>
    <x v="25"/>
    <n v="23.97"/>
    <s v="www"/>
    <d v="2014-07-28T15:24:34"/>
    <x v="6"/>
  </r>
  <r>
    <s v="0 Original"/>
    <s v="2014-07-28 Ora Mann(1011)"/>
    <n v="1011"/>
    <d v="2014-07-28T00:00:00"/>
    <x v="27"/>
    <n v="77.900000000000006"/>
    <s v="www"/>
    <d v="2014-07-28T17:32:53"/>
    <x v="6"/>
  </r>
  <r>
    <s v="0 Original"/>
    <s v="2014-07-28 Colt Hart(182)"/>
    <n v="182"/>
    <d v="2014-07-28T00:00:00"/>
    <x v="46"/>
    <n v="99.88"/>
    <s v="www"/>
    <d v="2014-07-28T19:45:24"/>
    <x v="6"/>
  </r>
  <r>
    <s v="0 Original"/>
    <s v="2014-07-29 Prescott Nelson(1175)"/>
    <n v="1175"/>
    <d v="2014-07-29T00:00:00"/>
    <x v="2"/>
    <n v="33.96"/>
    <s v="www"/>
    <d v="2014-07-29T21:12:02"/>
    <x v="6"/>
  </r>
  <r>
    <s v="0 Original"/>
    <s v="2014-07-30 Belle Short(1060)"/>
    <n v="1060"/>
    <d v="2014-07-30T00:00:00"/>
    <x v="25"/>
    <n v="60.92"/>
    <s v="www"/>
    <d v="2014-07-30T02:15:08"/>
    <x v="6"/>
  </r>
  <r>
    <s v="0 Original"/>
    <s v="2014-07-31 Cameron Rivera(1137)"/>
    <n v="1137"/>
    <d v="2014-07-31T00:00:00"/>
    <x v="16"/>
    <n v="21.96"/>
    <s v="www"/>
    <d v="2014-07-31T11:47:13"/>
    <x v="6"/>
  </r>
  <r>
    <s v="0 Original"/>
    <s v="2014-07-31 Sloane Goodwin(185)"/>
    <n v="185"/>
    <d v="2014-07-31T00:00:00"/>
    <x v="68"/>
    <n v="58.92"/>
    <s v="www"/>
    <d v="2014-07-31T12:31:46"/>
    <x v="6"/>
  </r>
  <r>
    <s v="0 Original"/>
    <s v="2014-08-01 Blossom Mosley(165)"/>
    <n v="165"/>
    <d v="2014-08-01T00:00:00"/>
    <x v="38"/>
    <n v="15.98"/>
    <s v="www"/>
    <d v="2014-08-01T12:36:04"/>
    <x v="7"/>
  </r>
  <r>
    <s v="0 Original"/>
    <s v="2014-08-04 Madeline Reynolds(1015)"/>
    <n v="1015"/>
    <d v="2014-08-04T00:00:00"/>
    <x v="13"/>
    <n v="31.96"/>
    <s v="www"/>
    <d v="2014-08-04T07:55:41"/>
    <x v="7"/>
  </r>
  <r>
    <s v="0 Original"/>
    <s v="2014-08-04 Lois Valdez(218)"/>
    <n v="218"/>
    <d v="2014-08-04T00:00:00"/>
    <x v="52"/>
    <n v="37.950000000000003"/>
    <s v="www"/>
    <d v="2014-08-04T08:14:21"/>
    <x v="7"/>
  </r>
  <r>
    <s v="0 Original"/>
    <s v="2014-08-04 Indira Suarez(307)"/>
    <n v="307"/>
    <d v="2014-08-04T00:00:00"/>
    <x v="24"/>
    <n v="37.950000000000003"/>
    <s v="www"/>
    <d v="2014-08-04T16:57:19"/>
    <x v="7"/>
  </r>
  <r>
    <s v="0 Original"/>
    <s v="2014-08-05 Anne Slater(389)"/>
    <n v="389"/>
    <d v="2014-08-05T00:00:00"/>
    <x v="35"/>
    <n v="27.96"/>
    <s v="www"/>
    <d v="2014-08-05T09:56:41"/>
    <x v="7"/>
  </r>
  <r>
    <s v="0 Original"/>
    <s v="2014-08-07 Adrian Dodson(282)"/>
    <n v="282"/>
    <d v="2014-08-07T00:00:00"/>
    <x v="12"/>
    <n v="33.950000000000003"/>
    <s v="www"/>
    <d v="2014-08-07T14:37:34"/>
    <x v="7"/>
  </r>
  <r>
    <s v="0 Original"/>
    <s v="2014-08-08 April Buckley(331)"/>
    <n v="331"/>
    <d v="2014-08-08T00:00:00"/>
    <x v="65"/>
    <n v="22.97"/>
    <s v="www"/>
    <d v="2014-08-08T09:46:50"/>
    <x v="7"/>
  </r>
  <r>
    <s v="0 Original"/>
    <s v="2014-08-08 Aristotle Avery(552)"/>
    <n v="552"/>
    <d v="2014-08-08T00:00:00"/>
    <x v="14"/>
    <n v="13.98"/>
    <s v="www"/>
    <d v="2014-08-08T11:15:44"/>
    <x v="7"/>
  </r>
  <r>
    <s v="0 Original"/>
    <s v="2014-08-08 Donovan Gomez(721)"/>
    <n v="721"/>
    <d v="2014-08-08T00:00:00"/>
    <x v="7"/>
    <n v="41.95"/>
    <s v="www"/>
    <d v="2014-08-08T23:03:04"/>
    <x v="7"/>
  </r>
  <r>
    <s v="0 Original"/>
    <s v="2014-08-10 Adrian Dodson(212)"/>
    <n v="212"/>
    <d v="2014-08-10T00:00:00"/>
    <x v="12"/>
    <n v="50.93"/>
    <s v="www"/>
    <d v="2014-08-10T00:21:36"/>
    <x v="7"/>
  </r>
  <r>
    <s v="0 Original"/>
    <s v="2014-08-10 Alma Salas(542)"/>
    <n v="542"/>
    <d v="2014-08-10T00:00:00"/>
    <x v="42"/>
    <n v="15.98"/>
    <s v="www"/>
    <d v="2014-08-10T04:24:23"/>
    <x v="7"/>
  </r>
  <r>
    <s v="0 Original"/>
    <s v="2014-08-10 Tate Lowery(407)"/>
    <n v="407"/>
    <d v="2014-08-10T00:00:00"/>
    <x v="57"/>
    <n v="37.94"/>
    <s v="www"/>
    <d v="2014-08-10T05:25:20"/>
    <x v="7"/>
  </r>
  <r>
    <s v="0 Original"/>
    <s v="2014-08-10 Bernard Cash(847)"/>
    <n v="847"/>
    <d v="2014-08-10T00:00:00"/>
    <x v="43"/>
    <n v="57.93"/>
    <s v="www"/>
    <d v="2014-08-10T05:57:50"/>
    <x v="7"/>
  </r>
  <r>
    <s v="0 Original"/>
    <s v="2014-08-12 Madeline Reynolds(896)"/>
    <n v="896"/>
    <d v="2014-08-12T00:00:00"/>
    <x v="13"/>
    <n v="6.99"/>
    <s v="www"/>
    <d v="2014-08-12T02:00:34"/>
    <x v="7"/>
  </r>
  <r>
    <s v="0 Original"/>
    <s v="2014-08-12 Clio Carter(205)"/>
    <n v="205"/>
    <d v="2014-08-12T00:00:00"/>
    <x v="21"/>
    <n v="23.96"/>
    <s v="www"/>
    <d v="2014-08-12T10:27:17"/>
    <x v="7"/>
  </r>
  <r>
    <s v="0 Original"/>
    <s v="2014-08-13 Rhonda Curtis(580)"/>
    <n v="580"/>
    <d v="2014-08-13T00:00:00"/>
    <x v="15"/>
    <n v="80.900000000000006"/>
    <s v="www"/>
    <d v="2014-08-13T08:49:31"/>
    <x v="7"/>
  </r>
  <r>
    <s v="0 Original"/>
    <s v="2014-08-14 Ora Mann(1063)"/>
    <n v="1063"/>
    <d v="2014-08-14T00:00:00"/>
    <x v="27"/>
    <n v="31.96"/>
    <s v="www"/>
    <d v="2014-08-14T03:26:40"/>
    <x v="7"/>
  </r>
  <r>
    <s v="0 Original"/>
    <s v="2014-08-14 Belle Short(810)"/>
    <n v="810"/>
    <d v="2014-08-14T00:00:00"/>
    <x v="25"/>
    <n v="23.97"/>
    <s v="www"/>
    <d v="2014-08-14T04:54:04"/>
    <x v="7"/>
  </r>
  <r>
    <s v="0 Original"/>
    <s v="2014-08-14 Belle Short(997)"/>
    <n v="997"/>
    <d v="2014-08-14T00:00:00"/>
    <x v="25"/>
    <n v="17.97"/>
    <s v="www"/>
    <d v="2014-08-14T05:26:47"/>
    <x v="7"/>
  </r>
  <r>
    <s v="0 Original"/>
    <s v="2014-08-14 Theodore Mills(381)"/>
    <n v="381"/>
    <d v="2014-08-14T00:00:00"/>
    <x v="62"/>
    <n v="40.950000000000003"/>
    <s v="www"/>
    <d v="2014-08-14T17:53:07"/>
    <x v="7"/>
  </r>
  <r>
    <s v="0 Original"/>
    <s v="2014-08-14 Hanna Simpson(351)"/>
    <n v="351"/>
    <d v="2014-08-14T00:00:00"/>
    <x v="36"/>
    <n v="24.97"/>
    <s v="www"/>
    <d v="2014-08-14T22:32:51"/>
    <x v="7"/>
  </r>
  <r>
    <s v="0 Original"/>
    <s v="2014-08-15 Nayda Shields(1070)"/>
    <n v="1070"/>
    <d v="2014-08-15T00:00:00"/>
    <x v="11"/>
    <n v="44.94"/>
    <s v="www"/>
    <d v="2014-08-15T09:00:51"/>
    <x v="7"/>
  </r>
  <r>
    <s v="0 Original"/>
    <s v="2014-08-16 Alexa Herring(59)"/>
    <n v="59"/>
    <d v="2014-08-16T00:00:00"/>
    <x v="44"/>
    <n v="46.95"/>
    <s v="www"/>
    <d v="2014-08-16T18:00:07"/>
    <x v="7"/>
  </r>
  <r>
    <s v="0 Original"/>
    <s v="2014-08-16 Oprah Horton(154)"/>
    <n v="154"/>
    <d v="2014-08-16T00:00:00"/>
    <x v="69"/>
    <n v="40.950000000000003"/>
    <s v="www"/>
    <d v="2014-08-16T22:21:25"/>
    <x v="7"/>
  </r>
  <r>
    <s v="0 Original"/>
    <s v="2014-08-17 Ora Mann(905)"/>
    <n v="905"/>
    <d v="2014-08-17T00:00:00"/>
    <x v="27"/>
    <n v="69.91"/>
    <s v="www"/>
    <d v="2014-08-17T08:32:47"/>
    <x v="7"/>
  </r>
  <r>
    <s v="0 Original"/>
    <s v="2014-08-17 John Drake(819)"/>
    <n v="819"/>
    <d v="2014-08-17T00:00:00"/>
    <x v="9"/>
    <n v="21.97"/>
    <s v="www"/>
    <d v="2014-08-17T19:08:53"/>
    <x v="7"/>
  </r>
  <r>
    <s v="0 Original"/>
    <s v="2014-08-18 April Buckley(209)"/>
    <n v="209"/>
    <d v="2014-08-18T00:00:00"/>
    <x v="65"/>
    <n v="4.99"/>
    <s v="www"/>
    <d v="2014-08-18T02:31:29"/>
    <x v="7"/>
  </r>
  <r>
    <s v="0 Original"/>
    <s v="2014-08-18 Nayda Shields(918)"/>
    <n v="918"/>
    <d v="2014-08-18T00:00:00"/>
    <x v="11"/>
    <n v="34.96"/>
    <s v="www"/>
    <d v="2014-08-18T04:07:53"/>
    <x v="7"/>
  </r>
  <r>
    <s v="0 Original"/>
    <s v="2014-08-18 Ora Mann(735)"/>
    <n v="735"/>
    <d v="2014-08-18T00:00:00"/>
    <x v="27"/>
    <n v="32.96"/>
    <s v="www"/>
    <d v="2014-08-18T07:50:58"/>
    <x v="7"/>
  </r>
  <r>
    <s v="0 Original"/>
    <s v="2014-08-18 Nayda Shields(252)"/>
    <n v="252"/>
    <d v="2014-08-18T00:00:00"/>
    <x v="11"/>
    <n v="16.98"/>
    <s v="www"/>
    <d v="2014-08-18T08:58:12"/>
    <x v="7"/>
  </r>
  <r>
    <s v="0 Original"/>
    <s v="2014-08-18 Cameron Rivera(798)"/>
    <n v="798"/>
    <d v="2014-08-18T00:00:00"/>
    <x v="16"/>
    <n v="19.98"/>
    <s v="www"/>
    <d v="2014-08-18T23:51:26"/>
    <x v="7"/>
  </r>
  <r>
    <s v="0 Original"/>
    <s v="2014-08-19 Cameron Rivera(712)"/>
    <n v="712"/>
    <d v="2014-08-19T00:00:00"/>
    <x v="16"/>
    <n v="24.96"/>
    <s v="www"/>
    <d v="2014-08-19T08:22:06"/>
    <x v="7"/>
  </r>
  <r>
    <s v="0 Original"/>
    <s v="2014-08-19 Hanna Simpson(507)"/>
    <n v="507"/>
    <d v="2014-08-19T00:00:00"/>
    <x v="36"/>
    <n v="29.97"/>
    <s v="www"/>
    <d v="2014-08-19T22:38:07"/>
    <x v="7"/>
  </r>
  <r>
    <s v="0 Original"/>
    <s v="2014-08-19 Rhonda Curtis(275)"/>
    <n v="275"/>
    <d v="2014-08-19T00:00:00"/>
    <x v="15"/>
    <n v="16.98"/>
    <s v="www"/>
    <d v="2014-08-19T22:57:31"/>
    <x v="7"/>
  </r>
  <r>
    <s v="0 Original"/>
    <s v="2014-08-20 Ora Mann(58)"/>
    <n v="58"/>
    <d v="2014-08-20T00:00:00"/>
    <x v="27"/>
    <n v="7.99"/>
    <s v="www"/>
    <d v="2014-08-20T09:05:53"/>
    <x v="7"/>
  </r>
  <r>
    <s v="0 Original"/>
    <s v="2014-08-20 Bernard Cash(1109)"/>
    <n v="1109"/>
    <d v="2014-08-20T00:00:00"/>
    <x v="43"/>
    <n v="54.93"/>
    <s v="www"/>
    <d v="2014-08-20T16:31:29"/>
    <x v="7"/>
  </r>
  <r>
    <s v="0 Original"/>
    <s v="2014-08-20 Vivian Mendoza(241)"/>
    <n v="241"/>
    <d v="2014-08-20T00:00:00"/>
    <x v="10"/>
    <n v="58.9"/>
    <s v="www"/>
    <d v="2014-08-20T18:55:37"/>
    <x v="7"/>
  </r>
  <r>
    <s v="0 Original"/>
    <s v="2014-08-22 Madeline Reynolds(877)"/>
    <n v="877"/>
    <d v="2014-08-22T00:00:00"/>
    <x v="13"/>
    <n v="67.91"/>
    <s v="www"/>
    <d v="2014-08-22T09:23:17"/>
    <x v="7"/>
  </r>
  <r>
    <s v="0 Original"/>
    <s v="2014-08-22 Ora Mann(1105)"/>
    <n v="1105"/>
    <d v="2014-08-22T00:00:00"/>
    <x v="27"/>
    <n v="19.98"/>
    <s v="www"/>
    <d v="2014-08-22T10:52:32"/>
    <x v="7"/>
  </r>
  <r>
    <s v="0 Original"/>
    <s v="2014-08-23 Scarlett Odonnell(167)"/>
    <n v="167"/>
    <d v="2014-08-23T00:00:00"/>
    <x v="70"/>
    <n v="17.98"/>
    <s v="www"/>
    <d v="2014-08-23T20:51:47"/>
    <x v="7"/>
  </r>
  <r>
    <s v="0 Original"/>
    <s v="2014-08-23 Cameron Rivera(720)"/>
    <n v="720"/>
    <d v="2014-08-23T00:00:00"/>
    <x v="16"/>
    <n v="9.99"/>
    <s v="www"/>
    <d v="2014-08-23T22:17:39"/>
    <x v="7"/>
  </r>
  <r>
    <s v="0 Original"/>
    <s v="2014-08-24 Rhonda Curtis(50)"/>
    <n v="50"/>
    <d v="2014-08-24T00:00:00"/>
    <x v="15"/>
    <n v="79.900000000000006"/>
    <s v="www"/>
    <d v="2014-08-24T03:40:45"/>
    <x v="7"/>
  </r>
  <r>
    <s v="0 Original"/>
    <s v="2014-08-24 Vivian Mendoza(171)"/>
    <n v="171"/>
    <d v="2014-08-24T00:00:00"/>
    <x v="10"/>
    <n v="20.97"/>
    <s v="www"/>
    <d v="2014-08-24T20:56:11"/>
    <x v="7"/>
  </r>
  <r>
    <s v="0 Original"/>
    <s v="2014-08-24 Blossom Mosley(14)"/>
    <n v="14"/>
    <d v="2014-08-24T00:00:00"/>
    <x v="38"/>
    <n v="28.96"/>
    <s v="www"/>
    <d v="2014-08-24T21:06:11"/>
    <x v="7"/>
  </r>
  <r>
    <s v="0 Original"/>
    <s v="2014-08-25 Serina Booker(514)"/>
    <n v="514"/>
    <d v="2014-08-25T00:00:00"/>
    <x v="60"/>
    <n v="43.95"/>
    <s v="www"/>
    <d v="2014-08-25T10:03:25"/>
    <x v="7"/>
  </r>
  <r>
    <s v="0 Original"/>
    <s v="2014-08-25 Stacey Kirk(425)"/>
    <n v="425"/>
    <d v="2014-08-25T00:00:00"/>
    <x v="26"/>
    <n v="40.950000000000003"/>
    <s v="www"/>
    <d v="2014-08-25T23:50:57"/>
    <x v="7"/>
  </r>
  <r>
    <s v="0 Original"/>
    <s v="2014-08-26 Christine Medina(713)"/>
    <n v="713"/>
    <d v="2014-08-26T00:00:00"/>
    <x v="8"/>
    <n v="9.98"/>
    <s v="www"/>
    <d v="2014-08-26T10:50:36"/>
    <x v="7"/>
  </r>
  <r>
    <s v="0 Original"/>
    <s v="2014-08-26 Belle Short(895)"/>
    <n v="895"/>
    <d v="2014-08-26T00:00:00"/>
    <x v="25"/>
    <n v="47.94"/>
    <s v="www"/>
    <d v="2014-08-26T12:18:00"/>
    <x v="7"/>
  </r>
  <r>
    <s v="0 Original"/>
    <s v="2014-08-26 Ivy Livingston(493)"/>
    <n v="493"/>
    <d v="2014-08-26T00:00:00"/>
    <x v="54"/>
    <n v="17.98"/>
    <s v="www"/>
    <d v="2014-08-26T14:39:05"/>
    <x v="7"/>
  </r>
  <r>
    <s v="0 Original"/>
    <s v="2014-08-27 Serina Booker(466)"/>
    <n v="466"/>
    <d v="2014-08-27T00:00:00"/>
    <x v="60"/>
    <n v="59.92"/>
    <s v="www"/>
    <d v="2014-08-27T04:45:27"/>
    <x v="7"/>
  </r>
  <r>
    <s v="0 Original"/>
    <s v="2014-08-27 Jonah Griffin(560)"/>
    <n v="560"/>
    <d v="2014-08-27T00:00:00"/>
    <x v="71"/>
    <n v="34.96"/>
    <s v="www"/>
    <d v="2014-08-27T12:13:37"/>
    <x v="7"/>
  </r>
  <r>
    <s v="0 Original"/>
    <s v="2014-08-28 Nayda Shields(860)"/>
    <n v="860"/>
    <d v="2014-08-28T00:00:00"/>
    <x v="11"/>
    <n v="52.93"/>
    <s v="www"/>
    <d v="2014-08-28T10:51:35"/>
    <x v="7"/>
  </r>
  <r>
    <s v="0 Original"/>
    <s v="2014-08-28 Christine Medina(1157)"/>
    <n v="1157"/>
    <d v="2014-08-28T00:00:00"/>
    <x v="8"/>
    <n v="34.950000000000003"/>
    <s v="www"/>
    <d v="2014-08-28T18:04:11"/>
    <x v="7"/>
  </r>
  <r>
    <s v="0 Original"/>
    <s v="2014-08-29 Bernard Cash(761)"/>
    <n v="761"/>
    <d v="2014-08-29T00:00:00"/>
    <x v="43"/>
    <n v="42.94"/>
    <s v="www"/>
    <d v="2014-08-29T11:07:39"/>
    <x v="7"/>
  </r>
  <r>
    <s v="0 Original"/>
    <s v="2014-08-29 Zane Parrish(223)"/>
    <n v="223"/>
    <d v="2014-08-29T00:00:00"/>
    <x v="30"/>
    <n v="18.98"/>
    <s v="www"/>
    <d v="2014-08-29T19:18:19"/>
    <x v="7"/>
  </r>
  <r>
    <s v="0 Original"/>
    <s v="2014-08-30 Prescott Nelson(908)"/>
    <n v="908"/>
    <d v="2014-08-30T00:00:00"/>
    <x v="2"/>
    <n v="19.98"/>
    <s v="www"/>
    <d v="2014-08-30T01:29:21"/>
    <x v="7"/>
  </r>
  <r>
    <s v="0 Original"/>
    <s v="2014-08-30 Ora Mann(799)"/>
    <n v="799"/>
    <d v="2014-08-30T00:00:00"/>
    <x v="27"/>
    <n v="32.96"/>
    <s v="www"/>
    <d v="2014-08-30T01:43:00"/>
    <x v="7"/>
  </r>
  <r>
    <s v="0 Original"/>
    <s v="2014-08-30 Nayda Shields(1028)"/>
    <n v="1028"/>
    <d v="2014-08-30T00:00:00"/>
    <x v="11"/>
    <n v="27.97"/>
    <s v="www"/>
    <d v="2014-08-30T13:52:30"/>
    <x v="7"/>
  </r>
  <r>
    <s v="0 Original"/>
    <s v="2014-08-31 Christine Medina(1112)"/>
    <n v="1112"/>
    <d v="2014-08-31T00:00:00"/>
    <x v="8"/>
    <n v="19.97"/>
    <s v="www"/>
    <d v="2014-08-31T03:39:04"/>
    <x v="7"/>
  </r>
  <r>
    <s v="0 Original"/>
    <s v="2014-08-31 Bernard Cash(885)"/>
    <n v="885"/>
    <d v="2014-08-31T00:00:00"/>
    <x v="43"/>
    <n v="9.99"/>
    <s v="www"/>
    <d v="2014-08-31T05:08:28"/>
    <x v="7"/>
  </r>
  <r>
    <s v="0 Original"/>
    <s v="2014-08-31 Mariam Juarez(47)"/>
    <n v="47"/>
    <d v="2014-08-31T00:00:00"/>
    <x v="72"/>
    <n v="48.93"/>
    <s v="www"/>
    <d v="2014-08-31T05:25:31"/>
    <x v="7"/>
  </r>
  <r>
    <s v="0 Original"/>
    <s v="2014-08-31 Iona Simpson(313)"/>
    <n v="313"/>
    <d v="2014-08-31T00:00:00"/>
    <x v="1"/>
    <n v="33.96"/>
    <s v="www"/>
    <d v="2014-08-31T12:17:09"/>
    <x v="7"/>
  </r>
  <r>
    <s v="0 Original"/>
    <s v="2014-08-31 Lois Valdez(508)"/>
    <n v="508"/>
    <d v="2014-08-31T00:00:00"/>
    <x v="52"/>
    <n v="5.99"/>
    <s v="www"/>
    <d v="2014-08-31T20:24:40"/>
    <x v="7"/>
  </r>
  <r>
    <s v="0 Original"/>
    <s v="2014-09-01 Mohammad Carrillo(44)"/>
    <n v="44"/>
    <d v="2014-09-01T00:00:00"/>
    <x v="73"/>
    <n v="63.92"/>
    <s v="www"/>
    <d v="2014-09-01T03:42:29"/>
    <x v="8"/>
  </r>
  <r>
    <s v="0 Original"/>
    <s v="2014-09-01 Claudia Crane(615)"/>
    <n v="615"/>
    <d v="2014-09-01T00:00:00"/>
    <x v="55"/>
    <n v="49.94"/>
    <s v="www"/>
    <d v="2014-09-01T13:16:07"/>
    <x v="8"/>
  </r>
  <r>
    <s v="0 Original"/>
    <s v="2014-09-01 Belle Short(829)"/>
    <n v="829"/>
    <d v="2014-09-01T00:00:00"/>
    <x v="25"/>
    <n v="43.95"/>
    <s v="www"/>
    <d v="2014-09-01T18:39:13"/>
    <x v="8"/>
  </r>
  <r>
    <s v="0 Original"/>
    <s v="2014-09-02 Stuart Vega(160)"/>
    <n v="160"/>
    <d v="2014-09-02T00:00:00"/>
    <x v="3"/>
    <n v="24.97"/>
    <s v="www"/>
    <d v="2014-09-02T02:37:15"/>
    <x v="8"/>
  </r>
  <r>
    <s v="0 Original"/>
    <s v="2014-09-02 Ora Mann(876)"/>
    <n v="876"/>
    <d v="2014-09-02T00:00:00"/>
    <x v="27"/>
    <n v="7.99"/>
    <s v="www"/>
    <d v="2014-09-02T05:53:24"/>
    <x v="8"/>
  </r>
  <r>
    <s v="0 Original"/>
    <s v="2014-09-03 Adrienne Sandoval(92)"/>
    <n v="92"/>
    <d v="2014-09-03T00:00:00"/>
    <x v="58"/>
    <n v="5.99"/>
    <s v="www"/>
    <d v="2014-09-03T11:00:32"/>
    <x v="8"/>
  </r>
  <r>
    <s v="0 Original"/>
    <s v="2014-09-04 Nayda Shields(234)"/>
    <n v="234"/>
    <d v="2014-09-04T00:00:00"/>
    <x v="11"/>
    <n v="47.93"/>
    <s v="www"/>
    <d v="2014-09-04T11:21:23"/>
    <x v="8"/>
  </r>
  <r>
    <s v="0 Original"/>
    <s v="2014-09-04 Morgan Hoffman(659)"/>
    <n v="659"/>
    <d v="2014-09-04T00:00:00"/>
    <x v="39"/>
    <n v="25.97"/>
    <s v="www"/>
    <d v="2014-09-04T12:09:31"/>
    <x v="8"/>
  </r>
  <r>
    <s v="0 Original"/>
    <s v="2014-09-04 Madeline Reynolds(930)"/>
    <n v="930"/>
    <d v="2014-09-04T00:00:00"/>
    <x v="13"/>
    <n v="15.98"/>
    <s v="www"/>
    <d v="2014-09-04T14:37:17"/>
    <x v="8"/>
  </r>
  <r>
    <s v="0 Original"/>
    <s v="2014-09-04 Ora Mann(312)"/>
    <n v="312"/>
    <d v="2014-09-04T00:00:00"/>
    <x v="27"/>
    <n v="9.99"/>
    <s v="www"/>
    <d v="2014-09-04T19:35:42"/>
    <x v="8"/>
  </r>
  <r>
    <s v="0 Original"/>
    <s v="2014-09-05 Zorita Rutledge(54)"/>
    <n v="54"/>
    <d v="2014-09-05T00:00:00"/>
    <x v="74"/>
    <n v="21.96"/>
    <s v="www"/>
    <d v="2014-09-05T22:49:11"/>
    <x v="8"/>
  </r>
  <r>
    <s v="0 Original"/>
    <s v="2014-09-06 Zane Parrish(637)"/>
    <n v="637"/>
    <d v="2014-09-06T00:00:00"/>
    <x v="30"/>
    <n v="48.94"/>
    <s v="www"/>
    <d v="2014-09-06T06:19:43"/>
    <x v="8"/>
  </r>
  <r>
    <s v="0 Original"/>
    <s v="2014-09-06 Adrian Dodson(229)"/>
    <n v="229"/>
    <d v="2014-09-06T00:00:00"/>
    <x v="12"/>
    <n v="24.97"/>
    <s v="www"/>
    <d v="2014-09-06T19:02:24"/>
    <x v="8"/>
  </r>
  <r>
    <s v="0 Original"/>
    <s v="2014-09-07 Donna Molina(105)"/>
    <n v="105"/>
    <d v="2014-09-07T00:00:00"/>
    <x v="75"/>
    <n v="33.94"/>
    <s v="www"/>
    <d v="2014-09-07T13:01:00"/>
    <x v="8"/>
  </r>
  <r>
    <s v="0 Original"/>
    <s v="2014-09-07 Stacey Kirk(684)"/>
    <n v="684"/>
    <d v="2014-09-07T00:00:00"/>
    <x v="26"/>
    <n v="19.97"/>
    <s v="www"/>
    <d v="2014-09-07T19:59:54"/>
    <x v="8"/>
  </r>
  <r>
    <s v="0 Original"/>
    <s v="2014-09-08 Ferris Erickson(327)"/>
    <n v="327"/>
    <d v="2014-09-08T00:00:00"/>
    <x v="76"/>
    <n v="24.97"/>
    <s v="www"/>
    <d v="2014-09-08T05:49:26"/>
    <x v="8"/>
  </r>
  <r>
    <s v="0 Original"/>
    <s v="2014-09-08 Benedict Todd(337)"/>
    <n v="337"/>
    <d v="2014-09-08T00:00:00"/>
    <x v="64"/>
    <n v="22.96"/>
    <s v="www"/>
    <d v="2014-09-08T08:07:57"/>
    <x v="8"/>
  </r>
  <r>
    <s v="0 Original"/>
    <s v="2014-09-09 Stacey Kirk(428)"/>
    <n v="428"/>
    <d v="2014-09-09T00:00:00"/>
    <x v="26"/>
    <n v="24.97"/>
    <s v="www"/>
    <d v="2014-09-09T03:49:01"/>
    <x v="8"/>
  </r>
  <r>
    <s v="0 Original"/>
    <s v="2014-09-09 Nayda Shields(938)"/>
    <n v="938"/>
    <d v="2014-09-09T00:00:00"/>
    <x v="11"/>
    <n v="15.98"/>
    <s v="www"/>
    <d v="2014-09-09T21:56:10"/>
    <x v="8"/>
  </r>
  <r>
    <s v="0 Original"/>
    <s v="2014-09-10 Cameron Rivera(966)"/>
    <n v="966"/>
    <d v="2014-09-10T00:00:00"/>
    <x v="16"/>
    <n v="30.96"/>
    <s v="www"/>
    <d v="2014-09-10T18:21:23"/>
    <x v="8"/>
  </r>
  <r>
    <s v="0 Original"/>
    <s v="2014-09-11 Benedict Todd(52)"/>
    <n v="52"/>
    <d v="2014-09-11T00:00:00"/>
    <x v="64"/>
    <n v="55.93"/>
    <s v="www"/>
    <d v="2014-09-11T19:51:32"/>
    <x v="8"/>
  </r>
  <r>
    <s v="0 Original"/>
    <s v="2014-09-12 Ulysses Hudson(459)"/>
    <n v="459"/>
    <d v="2014-09-12T00:00:00"/>
    <x v="53"/>
    <n v="25.96"/>
    <s v="www"/>
    <d v="2014-09-12T15:59:30"/>
    <x v="8"/>
  </r>
  <r>
    <s v="0 Original"/>
    <s v="2014-09-12 Prescott Nelson(1190)"/>
    <n v="1190"/>
    <d v="2014-09-12T00:00:00"/>
    <x v="2"/>
    <n v="16.97"/>
    <s v="www"/>
    <d v="2014-09-12T17:58:04"/>
    <x v="8"/>
  </r>
  <r>
    <s v="0 Original"/>
    <s v="2014-09-13 Aristotle Avery(633)"/>
    <n v="633"/>
    <d v="2014-09-13T00:00:00"/>
    <x v="14"/>
    <n v="5.99"/>
    <s v="www"/>
    <d v="2014-09-13T17:01:28"/>
    <x v="8"/>
  </r>
  <r>
    <s v="0 Original"/>
    <s v="2014-09-14 Mannix Owen(24)"/>
    <n v="24"/>
    <d v="2014-09-14T00:00:00"/>
    <x v="77"/>
    <n v="24.97"/>
    <s v="www"/>
    <d v="2014-09-14T10:28:35"/>
    <x v="8"/>
  </r>
  <r>
    <s v="0 Original"/>
    <s v="2014-09-14 Jonah Griffin(243)"/>
    <n v="243"/>
    <d v="2014-09-14T00:00:00"/>
    <x v="71"/>
    <n v="27.96"/>
    <s v="www"/>
    <d v="2014-09-14T12:51:50"/>
    <x v="8"/>
  </r>
  <r>
    <s v="0 Original"/>
    <s v="2014-09-14 Ivy Livingston(638)"/>
    <n v="638"/>
    <d v="2014-09-14T00:00:00"/>
    <x v="54"/>
    <n v="23.97"/>
    <s v="www"/>
    <d v="2014-09-14T19:36:31"/>
    <x v="8"/>
  </r>
  <r>
    <s v="0 Original"/>
    <s v="2014-09-16 Lucius Gallagher(46)"/>
    <n v="46"/>
    <d v="2014-09-16T00:00:00"/>
    <x v="78"/>
    <n v="79.900000000000006"/>
    <s v="www"/>
    <d v="2014-09-16T01:22:24"/>
    <x v="8"/>
  </r>
  <r>
    <s v="0 Original"/>
    <s v="2014-09-17 Yoshi Bennett(415)"/>
    <n v="415"/>
    <d v="2014-09-17T00:00:00"/>
    <x v="40"/>
    <n v="33.950000000000003"/>
    <s v="www"/>
    <d v="2014-09-17T08:36:29"/>
    <x v="8"/>
  </r>
  <r>
    <s v="0 Original"/>
    <s v="2014-09-17 Angelica Ortiz(297)"/>
    <n v="297"/>
    <d v="2014-09-17T00:00:00"/>
    <x v="17"/>
    <n v="30.96"/>
    <s v="www"/>
    <d v="2014-09-17T21:58:03"/>
    <x v="8"/>
  </r>
  <r>
    <s v="0 Original"/>
    <s v="2014-09-18 Stuart Vega(392)"/>
    <n v="392"/>
    <d v="2014-09-18T00:00:00"/>
    <x v="3"/>
    <n v="20.97"/>
    <s v="www"/>
    <d v="2014-09-18T00:49:44"/>
    <x v="8"/>
  </r>
  <r>
    <s v="0 Original"/>
    <s v="2014-09-18 Irene Carver(98)"/>
    <n v="98"/>
    <d v="2014-09-18T00:00:00"/>
    <x v="50"/>
    <n v="11.98"/>
    <s v="www"/>
    <d v="2014-09-18T03:42:50"/>
    <x v="8"/>
  </r>
  <r>
    <s v="0 Original"/>
    <s v="2014-09-18 Zeus Trujillo(402)"/>
    <n v="402"/>
    <d v="2014-09-18T00:00:00"/>
    <x v="5"/>
    <n v="21.97"/>
    <s v="www"/>
    <d v="2014-09-18T09:11:51"/>
    <x v="8"/>
  </r>
  <r>
    <s v="0 Original"/>
    <s v="2014-09-21 Angelica Ortiz(69)"/>
    <n v="69"/>
    <d v="2014-09-21T00:00:00"/>
    <x v="17"/>
    <n v="9.99"/>
    <s v="www"/>
    <d v="2014-09-21T06:30:53"/>
    <x v="8"/>
  </r>
  <r>
    <s v="0 Original"/>
    <s v="2014-09-21 Claudia Crane(359)"/>
    <n v="359"/>
    <d v="2014-09-21T00:00:00"/>
    <x v="55"/>
    <n v="43.94"/>
    <s v="www"/>
    <d v="2014-09-21T22:14:38"/>
    <x v="8"/>
  </r>
  <r>
    <s v="0 Original"/>
    <s v="2014-09-22 John Drake(990)"/>
    <n v="990"/>
    <d v="2014-09-22T00:00:00"/>
    <x v="9"/>
    <n v="24.97"/>
    <s v="www"/>
    <d v="2014-09-22T19:43:44"/>
    <x v="8"/>
  </r>
  <r>
    <s v="0 Original"/>
    <s v="2014-09-23 Ferris Erickson(463)"/>
    <n v="463"/>
    <d v="2014-09-23T00:00:00"/>
    <x v="76"/>
    <n v="45.95"/>
    <s v="www"/>
    <d v="2014-09-23T02:31:43"/>
    <x v="8"/>
  </r>
  <r>
    <s v="0 Original"/>
    <s v="2014-09-23 Shelly Bridges(118)"/>
    <n v="118"/>
    <d v="2014-09-23T00:00:00"/>
    <x v="79"/>
    <n v="45.94"/>
    <s v="www"/>
    <d v="2014-09-23T12:51:11"/>
    <x v="8"/>
  </r>
  <r>
    <s v="0 Original"/>
    <s v="2014-09-23 Donovan Gomez(702)"/>
    <n v="702"/>
    <d v="2014-09-23T00:00:00"/>
    <x v="7"/>
    <n v="19.97"/>
    <s v="www"/>
    <d v="2014-09-23T19:33:29"/>
    <x v="8"/>
  </r>
  <r>
    <s v="0 Original"/>
    <s v="2014-09-24 Madeline Reynolds(903)"/>
    <n v="903"/>
    <d v="2014-09-24T00:00:00"/>
    <x v="13"/>
    <n v="31.96"/>
    <s v="www"/>
    <d v="2014-09-24T16:54:01"/>
    <x v="8"/>
  </r>
  <r>
    <s v="0 Original"/>
    <s v="2014-09-25 Cameron Rivera(726)"/>
    <n v="726"/>
    <d v="2014-09-25T00:00:00"/>
    <x v="16"/>
    <n v="30.95"/>
    <s v="www"/>
    <d v="2014-09-25T19:02:44"/>
    <x v="8"/>
  </r>
  <r>
    <s v="0 Original"/>
    <s v="2014-09-25 Bernard Cash(948)"/>
    <n v="948"/>
    <d v="2014-09-25T00:00:00"/>
    <x v="43"/>
    <n v="15.97"/>
    <s v="www"/>
    <d v="2014-09-25T19:43:46"/>
    <x v="8"/>
  </r>
  <r>
    <s v="0 Original"/>
    <s v="2014-09-26 Doris Valdez(149)"/>
    <n v="149"/>
    <d v="2014-09-26T00:00:00"/>
    <x v="80"/>
    <n v="30.96"/>
    <s v="www"/>
    <d v="2014-09-26T21:41:23"/>
    <x v="8"/>
  </r>
  <r>
    <s v="0 Original"/>
    <s v="2014-09-27 Wade Coleman(378)"/>
    <n v="378"/>
    <d v="2014-09-27T00:00:00"/>
    <x v="4"/>
    <n v="47.94"/>
    <s v="www"/>
    <d v="2014-09-27T02:54:20"/>
    <x v="8"/>
  </r>
  <r>
    <s v="0 Original"/>
    <s v="2014-09-27 Cameron Rivera(955)"/>
    <n v="955"/>
    <d v="2014-09-27T00:00:00"/>
    <x v="16"/>
    <n v="33.96"/>
    <s v="www"/>
    <d v="2014-09-27T20:29:54"/>
    <x v="8"/>
  </r>
  <r>
    <s v="0 Original"/>
    <s v="2014-09-27 Lionel Vargas(323)"/>
    <n v="323"/>
    <d v="2014-09-27T00:00:00"/>
    <x v="33"/>
    <n v="20.97"/>
    <s v="www"/>
    <d v="2014-09-27T21:35:31"/>
    <x v="8"/>
  </r>
  <r>
    <s v="0 Original"/>
    <s v="2014-09-28 Harrison Klein(394)"/>
    <n v="394"/>
    <d v="2014-09-28T00:00:00"/>
    <x v="37"/>
    <n v="24.96"/>
    <s v="www"/>
    <d v="2014-09-28T02:10:02"/>
    <x v="8"/>
  </r>
  <r>
    <s v="0 Original"/>
    <s v="2014-09-28 Blossom Mosley(510)"/>
    <n v="510"/>
    <d v="2014-09-28T00:00:00"/>
    <x v="38"/>
    <n v="38.950000000000003"/>
    <s v="www"/>
    <d v="2014-09-28T07:13:32"/>
    <x v="8"/>
  </r>
  <r>
    <s v="0 Original"/>
    <s v="2014-09-28 Donovan Gomez(939)"/>
    <n v="939"/>
    <d v="2014-09-28T00:00:00"/>
    <x v="7"/>
    <n v="35.950000000000003"/>
    <s v="www"/>
    <d v="2014-09-28T10:57:13"/>
    <x v="8"/>
  </r>
  <r>
    <s v="0 Original"/>
    <s v="2014-09-28 Donovan Gomez(774)"/>
    <n v="774"/>
    <d v="2014-09-28T00:00:00"/>
    <x v="7"/>
    <n v="29.97"/>
    <s v="www"/>
    <d v="2014-09-28T17:14:58"/>
    <x v="8"/>
  </r>
  <r>
    <s v="0 Original"/>
    <s v="2014-09-28 April Buckley(254)"/>
    <n v="254"/>
    <d v="2014-09-28T00:00:00"/>
    <x v="65"/>
    <n v="57.92"/>
    <s v="www"/>
    <d v="2014-09-28T23:09:36"/>
    <x v="8"/>
  </r>
  <r>
    <s v="0 Original"/>
    <s v="2014-09-30 Lionel Vargas(483)"/>
    <n v="483"/>
    <d v="2014-09-30T00:00:00"/>
    <x v="33"/>
    <n v="22.97"/>
    <s v="www"/>
    <d v="2014-09-30T01:17:43"/>
    <x v="8"/>
  </r>
  <r>
    <s v="0 Original"/>
    <s v="2014-09-30 Zeus Trujillo(206)"/>
    <n v="206"/>
    <d v="2014-09-30T00:00:00"/>
    <x v="5"/>
    <n v="32.96"/>
    <s v="www"/>
    <d v="2014-09-30T22:49:55"/>
    <x v="8"/>
  </r>
  <r>
    <s v="0 Original"/>
    <s v="2014-10-02 Adrian Dodson(405)"/>
    <n v="405"/>
    <d v="2014-10-02T00:00:00"/>
    <x v="12"/>
    <n v="82.89"/>
    <s v="www"/>
    <d v="2014-10-02T09:16:33"/>
    <x v="9"/>
  </r>
  <r>
    <s v="0 Original"/>
    <s v="2014-10-02 Iona Simpson(81)"/>
    <n v="81"/>
    <d v="2014-10-02T00:00:00"/>
    <x v="1"/>
    <n v="64.91"/>
    <s v="www"/>
    <d v="2014-10-02T15:15:53"/>
    <x v="9"/>
  </r>
  <r>
    <s v="0 Original"/>
    <s v="2014-10-03 Christine Medina(1008)"/>
    <n v="1008"/>
    <d v="2014-10-03T00:00:00"/>
    <x v="8"/>
    <n v="32.96"/>
    <s v="www"/>
    <d v="2014-10-03T00:55:55"/>
    <x v="9"/>
  </r>
  <r>
    <s v="0 Original"/>
    <s v="2014-10-05 Cameron Rivera(759)"/>
    <n v="759"/>
    <d v="2014-10-05T00:00:00"/>
    <x v="16"/>
    <n v="6.99"/>
    <s v="www"/>
    <d v="2014-10-05T18:38:14"/>
    <x v="9"/>
  </r>
  <r>
    <s v="0 Original"/>
    <s v="2014-10-06 Bernard Cash(958)"/>
    <n v="958"/>
    <d v="2014-10-06T00:00:00"/>
    <x v="43"/>
    <n v="20.97"/>
    <s v="www"/>
    <d v="2014-10-06T02:26:52"/>
    <x v="9"/>
  </r>
  <r>
    <s v="0 Original"/>
    <s v="2014-10-06 Ora Mann(1143)"/>
    <n v="1143"/>
    <d v="2014-10-06T00:00:00"/>
    <x v="27"/>
    <n v="36.96"/>
    <s v="www"/>
    <d v="2014-10-06T05:08:39"/>
    <x v="9"/>
  </r>
  <r>
    <s v="0 Original"/>
    <s v="2014-10-06 Alma Salas(314)"/>
    <n v="314"/>
    <d v="2014-10-06T00:00:00"/>
    <x v="42"/>
    <n v="4.99"/>
    <s v="www"/>
    <d v="2014-10-06T11:04:39"/>
    <x v="9"/>
  </r>
  <r>
    <s v="0 Original"/>
    <s v="2014-10-06 Lois Valdez(215)"/>
    <n v="215"/>
    <d v="2014-10-06T00:00:00"/>
    <x v="52"/>
    <n v="29.96"/>
    <s v="www"/>
    <d v="2014-10-06T14:56:55"/>
    <x v="9"/>
  </r>
  <r>
    <s v="0 Original"/>
    <s v="2014-10-06 Ulysses Hudson(592)"/>
    <n v="592"/>
    <d v="2014-10-06T00:00:00"/>
    <x v="53"/>
    <n v="89.9"/>
    <s v="www"/>
    <d v="2014-10-06T23:18:36"/>
    <x v="9"/>
  </r>
  <r>
    <s v="0 Original"/>
    <s v="2014-10-08 John Drake(1068)"/>
    <n v="1068"/>
    <d v="2014-10-08T00:00:00"/>
    <x v="9"/>
    <n v="31.96"/>
    <s v="www"/>
    <d v="2014-10-08T19:51:24"/>
    <x v="9"/>
  </r>
  <r>
    <s v="0 Original"/>
    <s v="2014-10-09 Claudia Crane(195)"/>
    <n v="195"/>
    <d v="2014-10-09T00:00:00"/>
    <x v="55"/>
    <n v="52.94"/>
    <s v="www"/>
    <d v="2014-10-09T21:15:06"/>
    <x v="9"/>
  </r>
  <r>
    <s v="0 Original"/>
    <s v="2014-10-10 Prescott Nelson(873)"/>
    <n v="873"/>
    <d v="2014-10-10T00:00:00"/>
    <x v="2"/>
    <n v="37.950000000000003"/>
    <s v="www"/>
    <d v="2014-10-10T07:35:07"/>
    <x v="9"/>
  </r>
  <r>
    <s v="0 Original"/>
    <s v="2014-10-10 Christine Medina(1025)"/>
    <n v="1025"/>
    <d v="2014-10-10T00:00:00"/>
    <x v="8"/>
    <n v="72.91"/>
    <s v="www"/>
    <d v="2014-10-10T11:33:34"/>
    <x v="9"/>
  </r>
  <r>
    <s v="0 Original"/>
    <s v="2014-10-10 Nayda Shields(660)"/>
    <n v="660"/>
    <d v="2014-10-10T00:00:00"/>
    <x v="11"/>
    <n v="31.96"/>
    <s v="www"/>
    <d v="2014-10-10T15:58:33"/>
    <x v="9"/>
  </r>
  <r>
    <s v="0 Original"/>
    <s v="2014-10-11 John Drake(1124)"/>
    <n v="1124"/>
    <d v="2014-10-11T00:00:00"/>
    <x v="9"/>
    <n v="41.95"/>
    <s v="www"/>
    <d v="2014-10-11T00:09:40"/>
    <x v="9"/>
  </r>
  <r>
    <s v="0 Original"/>
    <s v="2014-10-11 Lucius Gallagher(32)"/>
    <n v="32"/>
    <d v="2014-10-11T00:00:00"/>
    <x v="78"/>
    <n v="34.950000000000003"/>
    <s v="www"/>
    <d v="2014-10-11T09:22:38"/>
    <x v="9"/>
  </r>
  <r>
    <s v="0 Original"/>
    <s v="2014-10-12 Nayda Shields(867)"/>
    <n v="867"/>
    <d v="2014-10-12T00:00:00"/>
    <x v="11"/>
    <n v="11.98"/>
    <s v="www"/>
    <d v="2014-10-12T02:22:03"/>
    <x v="9"/>
  </r>
  <r>
    <s v="0 Original"/>
    <s v="2014-10-13 Donovan Gomez(1188)"/>
    <n v="1188"/>
    <d v="2014-10-13T00:00:00"/>
    <x v="7"/>
    <n v="21.96"/>
    <s v="www"/>
    <d v="2014-10-13T13:02:36"/>
    <x v="9"/>
  </r>
  <r>
    <s v="0 Original"/>
    <s v="2014-10-13 Christine Medina(112)"/>
    <n v="112"/>
    <d v="2014-10-13T00:00:00"/>
    <x v="8"/>
    <n v="19.97"/>
    <s v="www"/>
    <d v="2014-10-13T18:13:36"/>
    <x v="9"/>
  </r>
  <r>
    <s v="0 Original"/>
    <s v="2014-10-14 Madeline Reynolds(1050)"/>
    <n v="1050"/>
    <d v="2014-10-14T00:00:00"/>
    <x v="13"/>
    <n v="35.950000000000003"/>
    <s v="www"/>
    <d v="2014-10-14T03:09:30"/>
    <x v="9"/>
  </r>
  <r>
    <s v="0 Original"/>
    <s v="2014-10-14 Anne Slater(500)"/>
    <n v="500"/>
    <d v="2014-10-14T00:00:00"/>
    <x v="35"/>
    <n v="7.99"/>
    <s v="www"/>
    <d v="2014-10-14T09:18:16"/>
    <x v="9"/>
  </r>
  <r>
    <s v="0 Original"/>
    <s v="2014-10-15 Christine Medina(919)"/>
    <n v="919"/>
    <d v="2014-10-15T00:00:00"/>
    <x v="8"/>
    <n v="16.98"/>
    <s v="www"/>
    <d v="2014-10-15T03:15:39"/>
    <x v="9"/>
  </r>
  <r>
    <s v="0 Original"/>
    <s v="2014-10-15 Belle Short(1033)"/>
    <n v="1033"/>
    <d v="2014-10-15T00:00:00"/>
    <x v="25"/>
    <n v="83.9"/>
    <s v="www"/>
    <d v="2014-10-15T13:07:18"/>
    <x v="9"/>
  </r>
  <r>
    <s v="0 Original"/>
    <s v="2014-10-15 Ulysses Hudson(700)"/>
    <n v="700"/>
    <d v="2014-10-15T00:00:00"/>
    <x v="53"/>
    <n v="28.96"/>
    <s v="www"/>
    <d v="2014-10-15T22:32:35"/>
    <x v="9"/>
  </r>
  <r>
    <s v="0 Original"/>
    <s v="2014-10-17 John Drake(763)"/>
    <n v="763"/>
    <d v="2014-10-17T00:00:00"/>
    <x v="9"/>
    <n v="45.94"/>
    <s v="www"/>
    <d v="2014-10-17T10:16:47"/>
    <x v="9"/>
  </r>
  <r>
    <s v="0 Original"/>
    <s v="2014-10-17 Vivian Mendoza(177)"/>
    <n v="177"/>
    <d v="2014-10-17T00:00:00"/>
    <x v="10"/>
    <n v="39.950000000000003"/>
    <s v="www"/>
    <d v="2014-10-17T17:48:43"/>
    <x v="9"/>
  </r>
  <r>
    <s v="0 Original"/>
    <s v="2014-10-18 Prescott Nelson(991)"/>
    <n v="991"/>
    <d v="2014-10-18T00:00:00"/>
    <x v="2"/>
    <n v="22.97"/>
    <s v="www"/>
    <d v="2014-10-18T03:08:34"/>
    <x v="9"/>
  </r>
  <r>
    <s v="0 Original"/>
    <s v="2014-10-19 Tate Lowery(336)"/>
    <n v="336"/>
    <d v="2014-10-19T00:00:00"/>
    <x v="57"/>
    <n v="21.97"/>
    <s v="www"/>
    <d v="2014-10-19T04:04:48"/>
    <x v="9"/>
  </r>
  <r>
    <s v="0 Original"/>
    <s v="2014-10-19 Cameron Rivera(710)"/>
    <n v="710"/>
    <d v="2014-10-19T00:00:00"/>
    <x v="16"/>
    <n v="16.98"/>
    <s v="www"/>
    <d v="2014-10-19T14:46:07"/>
    <x v="9"/>
  </r>
  <r>
    <s v="0 Original"/>
    <s v="2014-10-19 Hanna Simpson(279)"/>
    <n v="279"/>
    <d v="2014-10-19T00:00:00"/>
    <x v="36"/>
    <n v="36.950000000000003"/>
    <s v="www"/>
    <d v="2014-10-19T23:45:33"/>
    <x v="9"/>
  </r>
  <r>
    <s v="0 Original"/>
    <s v="2014-10-20 Theodore Mills(376)"/>
    <n v="376"/>
    <d v="2014-10-20T00:00:00"/>
    <x v="62"/>
    <n v="45.94"/>
    <s v="www"/>
    <d v="2014-10-20T01:01:00"/>
    <x v="9"/>
  </r>
  <r>
    <s v="0 Original"/>
    <s v="2014-10-20 Christine Medina(1079)"/>
    <n v="1079"/>
    <d v="2014-10-20T00:00:00"/>
    <x v="8"/>
    <n v="38.950000000000003"/>
    <s v="www"/>
    <d v="2014-10-20T02:22:58"/>
    <x v="9"/>
  </r>
  <r>
    <s v="0 Original"/>
    <s v="2014-10-20 Christine Medina(1095)"/>
    <n v="1095"/>
    <d v="2014-10-20T00:00:00"/>
    <x v="8"/>
    <n v="11.98"/>
    <s v="www"/>
    <d v="2014-10-20T11:13:28"/>
    <x v="9"/>
  </r>
  <r>
    <s v="0 Original"/>
    <s v="2014-10-20 Uta Workman(172)"/>
    <n v="172"/>
    <d v="2014-10-20T00:00:00"/>
    <x v="18"/>
    <n v="85.89"/>
    <s v="www"/>
    <d v="2014-10-20T22:45:28"/>
    <x v="9"/>
  </r>
  <r>
    <s v="0 Original"/>
    <s v="2014-10-21 Donovan Gomez(757)"/>
    <n v="757"/>
    <d v="2014-10-21T00:00:00"/>
    <x v="7"/>
    <n v="19.98"/>
    <s v="www"/>
    <d v="2014-10-21T09:27:24"/>
    <x v="9"/>
  </r>
  <r>
    <s v="0 Original"/>
    <s v="2014-10-22 Adrian Dodson(388)"/>
    <n v="388"/>
    <d v="2014-10-22T00:00:00"/>
    <x v="12"/>
    <n v="22.97"/>
    <s v="www"/>
    <d v="2014-10-22T19:15:29"/>
    <x v="9"/>
  </r>
  <r>
    <s v="0 Original"/>
    <s v="2014-10-22 Mariam Juarez(159)"/>
    <n v="159"/>
    <d v="2014-10-22T00:00:00"/>
    <x v="72"/>
    <n v="78.91"/>
    <s v="www"/>
    <d v="2014-10-22T22:38:44"/>
    <x v="9"/>
  </r>
  <r>
    <s v="0 Original"/>
    <s v="2014-10-23 Ora Mann(656)"/>
    <n v="656"/>
    <d v="2014-10-23T00:00:00"/>
    <x v="27"/>
    <n v="38.950000000000003"/>
    <s v="www"/>
    <d v="2014-10-23T06:20:10"/>
    <x v="9"/>
  </r>
  <r>
    <s v="0 Original"/>
    <s v="2014-10-24 Madeson Silva(417)"/>
    <n v="417"/>
    <d v="2014-10-24T00:00:00"/>
    <x v="63"/>
    <n v="27.97"/>
    <s v="www"/>
    <d v="2014-10-24T01:52:52"/>
    <x v="9"/>
  </r>
  <r>
    <s v="0 Original"/>
    <s v="2014-10-24 Belle Short(1166)"/>
    <n v="1166"/>
    <d v="2014-10-24T00:00:00"/>
    <x v="25"/>
    <n v="77.91"/>
    <s v="www"/>
    <d v="2014-10-24T09:04:17"/>
    <x v="9"/>
  </r>
  <r>
    <s v="0 Original"/>
    <s v="2014-10-24 Clio Carter(629)"/>
    <n v="629"/>
    <d v="2014-10-24T00:00:00"/>
    <x v="21"/>
    <n v="38.950000000000003"/>
    <s v="www"/>
    <d v="2014-10-24T17:30:49"/>
    <x v="9"/>
  </r>
  <r>
    <s v="0 Original"/>
    <s v="2014-10-26 Prescott Nelson(862)"/>
    <n v="862"/>
    <d v="2014-10-26T00:00:00"/>
    <x v="2"/>
    <n v="20.97"/>
    <s v="www"/>
    <d v="2014-10-26T09:35:45"/>
    <x v="9"/>
  </r>
  <r>
    <s v="0 Original"/>
    <s v="2014-10-26 Prescott Nelson(906)"/>
    <n v="906"/>
    <d v="2014-10-26T00:00:00"/>
    <x v="2"/>
    <n v="15.98"/>
    <s v="www"/>
    <d v="2014-10-26T16:58:43"/>
    <x v="9"/>
  </r>
  <r>
    <s v="0 Original"/>
    <s v="2014-10-27 Ora Mann(972)"/>
    <n v="972"/>
    <d v="2014-10-27T00:00:00"/>
    <x v="27"/>
    <n v="49.92"/>
    <s v="www"/>
    <d v="2014-10-27T14:07:36"/>
    <x v="9"/>
  </r>
  <r>
    <s v="0 Original"/>
    <s v="2014-10-27 Lois Valdez(265)"/>
    <n v="265"/>
    <d v="2014-10-27T00:00:00"/>
    <x v="52"/>
    <n v="43.95"/>
    <s v="www"/>
    <d v="2014-10-27T14:18:05"/>
    <x v="9"/>
  </r>
  <r>
    <s v="0 Original"/>
    <s v="2014-10-28 Colby Clay(281)"/>
    <n v="281"/>
    <d v="2014-10-28T00:00:00"/>
    <x v="0"/>
    <n v="18.98"/>
    <s v="www"/>
    <d v="2014-10-28T01:13:19"/>
    <x v="9"/>
  </r>
  <r>
    <s v="0 Original"/>
    <s v="2014-10-28 Madeline Reynolds(1136)"/>
    <n v="1136"/>
    <d v="2014-10-28T00:00:00"/>
    <x v="13"/>
    <n v="19.97"/>
    <s v="www"/>
    <d v="2014-10-28T08:54:21"/>
    <x v="9"/>
  </r>
  <r>
    <s v="0 Original"/>
    <s v="2014-10-29 Prescott Nelson(130)"/>
    <n v="130"/>
    <d v="2014-10-29T00:00:00"/>
    <x v="2"/>
    <n v="26.97"/>
    <s v="www"/>
    <d v="2014-10-29T21:17:58"/>
    <x v="9"/>
  </r>
  <r>
    <s v="0 Original"/>
    <s v="2014-10-30 Ora Mann(216)"/>
    <n v="216"/>
    <d v="2014-10-30T00:00:00"/>
    <x v="27"/>
    <n v="15.98"/>
    <s v="www"/>
    <d v="2014-10-30T06:03:02"/>
    <x v="9"/>
  </r>
  <r>
    <s v="0 Original"/>
    <s v="2014-10-30 Ora Mann(1111)"/>
    <n v="1111"/>
    <d v="2014-10-30T00:00:00"/>
    <x v="27"/>
    <n v="35.94"/>
    <s v="www"/>
    <d v="2014-10-30T16:20:17"/>
    <x v="9"/>
  </r>
  <r>
    <s v="0 Original"/>
    <s v="2014-10-31 Wade Coleman(489)"/>
    <n v="489"/>
    <d v="2014-10-31T00:00:00"/>
    <x v="4"/>
    <n v="43.95"/>
    <s v="www"/>
    <d v="2014-10-31T08:21:15"/>
    <x v="9"/>
  </r>
  <r>
    <s v="0 Original"/>
    <s v="2014-11-02 Armando Le(250)"/>
    <n v="250"/>
    <d v="2014-11-02T00:00:00"/>
    <x v="61"/>
    <n v="16.98"/>
    <s v="www"/>
    <d v="2014-11-02T12:37:58"/>
    <x v="10"/>
  </r>
  <r>
    <s v="0 Original"/>
    <s v="2014-11-03 Ivy Livingston(454)"/>
    <n v="454"/>
    <d v="2014-11-03T00:00:00"/>
    <x v="54"/>
    <n v="5.99"/>
    <s v="www"/>
    <d v="2014-11-03T08:38:03"/>
    <x v="10"/>
  </r>
  <r>
    <s v="0 Original"/>
    <s v="2014-11-03 Theodore Mills(266)"/>
    <n v="266"/>
    <d v="2014-11-03T00:00:00"/>
    <x v="62"/>
    <n v="11.98"/>
    <s v="www"/>
    <d v="2014-11-03T15:48:19"/>
    <x v="10"/>
  </r>
  <r>
    <s v="0 Original"/>
    <s v="2014-11-03 Gabriel Carlson(228)"/>
    <n v="228"/>
    <d v="2014-11-03T00:00:00"/>
    <x v="32"/>
    <n v="37.950000000000003"/>
    <s v="www"/>
    <d v="2014-11-03T19:25:29"/>
    <x v="10"/>
  </r>
  <r>
    <s v="0 Original"/>
    <s v="2014-11-04 Belle Short(1012)"/>
    <n v="1012"/>
    <d v="2014-11-04T00:00:00"/>
    <x v="25"/>
    <n v="82.89"/>
    <s v="www"/>
    <d v="2014-11-04T18:15:37"/>
    <x v="10"/>
  </r>
  <r>
    <s v="0 Original"/>
    <s v="2014-11-05 Madeline Reynolds(222)"/>
    <n v="222"/>
    <d v="2014-11-05T00:00:00"/>
    <x v="13"/>
    <n v="32.96"/>
    <s v="www"/>
    <d v="2014-11-05T10:22:54"/>
    <x v="10"/>
  </r>
  <r>
    <s v="0 Original"/>
    <s v="2014-11-05 Tanek Santos(145)"/>
    <n v="145"/>
    <d v="2014-11-05T00:00:00"/>
    <x v="31"/>
    <n v="7.99"/>
    <s v="www"/>
    <d v="2014-11-05T12:14:59"/>
    <x v="10"/>
  </r>
  <r>
    <s v="0 Original"/>
    <s v="2014-11-05 John Drake(914)"/>
    <n v="914"/>
    <d v="2014-11-05T00:00:00"/>
    <x v="9"/>
    <n v="34.950000000000003"/>
    <s v="www"/>
    <d v="2014-11-05T19:28:53"/>
    <x v="10"/>
  </r>
  <r>
    <s v="0 Original"/>
    <s v="2014-11-06 Colby Clay(689)"/>
    <n v="689"/>
    <d v="2014-11-06T00:00:00"/>
    <x v="0"/>
    <n v="24.97"/>
    <s v="www"/>
    <d v="2014-11-06T16:03:51"/>
    <x v="10"/>
  </r>
  <r>
    <s v="0 Original"/>
    <s v="2014-11-06 Theodore Mills(528)"/>
    <n v="528"/>
    <d v="2014-11-06T00:00:00"/>
    <x v="62"/>
    <n v="31.96"/>
    <s v="www"/>
    <d v="2014-11-06T20:19:56"/>
    <x v="10"/>
  </r>
  <r>
    <s v="0 Original"/>
    <s v="2014-11-07 Cameron Rivera(1037)"/>
    <n v="1037"/>
    <d v="2014-11-07T00:00:00"/>
    <x v="16"/>
    <n v="23.97"/>
    <s v="www"/>
    <d v="2014-11-07T03:02:09"/>
    <x v="10"/>
  </r>
  <r>
    <s v="0 Original"/>
    <s v="2014-11-07 Serina Booker(543)"/>
    <n v="543"/>
    <d v="2014-11-07T00:00:00"/>
    <x v="60"/>
    <n v="35.96"/>
    <s v="www"/>
    <d v="2014-11-07T08:51:24"/>
    <x v="10"/>
  </r>
  <r>
    <s v="0 Original"/>
    <s v="2014-11-08 Belle Short(996)"/>
    <n v="996"/>
    <d v="2014-11-08T00:00:00"/>
    <x v="25"/>
    <n v="39.950000000000003"/>
    <s v="www"/>
    <d v="2014-11-08T07:12:36"/>
    <x v="10"/>
  </r>
  <r>
    <s v="0 Original"/>
    <s v="2014-11-10 Bernard Cash(951)"/>
    <n v="951"/>
    <d v="2014-11-10T00:00:00"/>
    <x v="43"/>
    <n v="56.93"/>
    <s v="www"/>
    <d v="2014-11-10T20:47:28"/>
    <x v="10"/>
  </r>
  <r>
    <s v="0 Original"/>
    <s v="2014-11-11 Rhoda Jacobson(42)"/>
    <n v="42"/>
    <d v="2014-11-11T00:00:00"/>
    <x v="81"/>
    <n v="53.94"/>
    <s v="www"/>
    <d v="2014-11-11T19:32:21"/>
    <x v="10"/>
  </r>
  <r>
    <s v="0 Original"/>
    <s v="2014-11-14 Tanek Santos(474)"/>
    <n v="474"/>
    <d v="2014-11-14T00:00:00"/>
    <x v="31"/>
    <n v="31.94"/>
    <s v="www"/>
    <d v="2014-11-14T12:43:32"/>
    <x v="10"/>
  </r>
  <r>
    <s v="0 Original"/>
    <s v="2014-11-16 Galvin Becker(671)"/>
    <n v="671"/>
    <d v="2014-11-16T00:00:00"/>
    <x v="28"/>
    <n v="43.94"/>
    <s v="www"/>
    <d v="2014-11-16T11:09:20"/>
    <x v="10"/>
  </r>
  <r>
    <s v="0 Original"/>
    <s v="2014-11-16 Ora Mann(974)"/>
    <n v="974"/>
    <d v="2014-11-16T00:00:00"/>
    <x v="27"/>
    <n v="36.950000000000003"/>
    <s v="www"/>
    <d v="2014-11-16T12:49:55"/>
    <x v="10"/>
  </r>
  <r>
    <s v="0 Original"/>
    <s v="2014-11-16 Belle Short(1148)"/>
    <n v="1148"/>
    <d v="2014-11-16T00:00:00"/>
    <x v="25"/>
    <n v="21.97"/>
    <s v="www"/>
    <d v="2014-11-16T16:54:54"/>
    <x v="10"/>
  </r>
  <r>
    <s v="0 Original"/>
    <s v="2014-11-16 Yoshi Bennett(83)"/>
    <n v="83"/>
    <d v="2014-11-16T00:00:00"/>
    <x v="40"/>
    <n v="50.93"/>
    <s v="www"/>
    <d v="2014-11-16T17:06:31"/>
    <x v="10"/>
  </r>
  <r>
    <s v="0 Original"/>
    <s v="2014-11-16 Ora Mann(525)"/>
    <n v="525"/>
    <d v="2014-11-16T00:00:00"/>
    <x v="27"/>
    <n v="28.97"/>
    <s v="www"/>
    <d v="2014-11-16T19:51:21"/>
    <x v="10"/>
  </r>
  <r>
    <s v="0 Original"/>
    <s v="2014-11-16 Indira Suarez(442)"/>
    <n v="442"/>
    <d v="2014-11-16T00:00:00"/>
    <x v="24"/>
    <n v="19.98"/>
    <s v="www"/>
    <d v="2014-11-16T20:17:47"/>
    <x v="10"/>
  </r>
  <r>
    <s v="0 Original"/>
    <s v="2014-11-18 Belle Short(837)"/>
    <n v="837"/>
    <d v="2014-11-18T00:00:00"/>
    <x v="25"/>
    <n v="58.93"/>
    <s v="www"/>
    <d v="2014-11-18T03:18:51"/>
    <x v="10"/>
  </r>
  <r>
    <s v="0 Original"/>
    <s v="2014-11-18 Serina Booker(639)"/>
    <n v="639"/>
    <d v="2014-11-18T00:00:00"/>
    <x v="60"/>
    <n v="11.98"/>
    <s v="www"/>
    <d v="2014-11-18T13:28:26"/>
    <x v="10"/>
  </r>
  <r>
    <s v="0 Original"/>
    <s v="2014-11-19 John Drake(704)"/>
    <n v="704"/>
    <d v="2014-11-19T00:00:00"/>
    <x v="9"/>
    <n v="74.91"/>
    <s v="www"/>
    <d v="2014-11-19T16:08:46"/>
    <x v="10"/>
  </r>
  <r>
    <s v="0 Original"/>
    <s v="2014-11-19 Donovan Gomez(766)"/>
    <n v="766"/>
    <d v="2014-11-19T00:00:00"/>
    <x v="7"/>
    <n v="15.98"/>
    <s v="www"/>
    <d v="2014-11-19T20:35:22"/>
    <x v="10"/>
  </r>
  <r>
    <s v="0 Original"/>
    <s v="2014-11-19 Nayda Shields(1096)"/>
    <n v="1096"/>
    <d v="2014-11-19T00:00:00"/>
    <x v="11"/>
    <n v="17.98"/>
    <s v="www"/>
    <d v="2014-11-19T23:05:38"/>
    <x v="10"/>
  </r>
  <r>
    <s v="0 Original"/>
    <s v="2014-11-21 Cameron Rivera(1168)"/>
    <n v="1168"/>
    <d v="2014-11-21T00:00:00"/>
    <x v="16"/>
    <n v="62.91"/>
    <s v="www"/>
    <d v="2014-11-21T10:16:32"/>
    <x v="10"/>
  </r>
  <r>
    <s v="0 Original"/>
    <s v="2014-11-22 Prescott Nelson(53)"/>
    <n v="53"/>
    <d v="2014-11-22T00:00:00"/>
    <x v="2"/>
    <n v="20.96"/>
    <s v="www"/>
    <d v="2014-11-22T12:28:50"/>
    <x v="10"/>
  </r>
  <r>
    <s v="0 Original"/>
    <s v="2014-11-25 Donovan Gomez(718)"/>
    <n v="718"/>
    <d v="2014-11-25T00:00:00"/>
    <x v="7"/>
    <n v="48.93"/>
    <s v="www"/>
    <d v="2014-11-25T18:43:32"/>
    <x v="10"/>
  </r>
  <r>
    <s v="0 Original"/>
    <s v="2014-11-25 Ulysses Hudson(577)"/>
    <n v="577"/>
    <d v="2014-11-25T00:00:00"/>
    <x v="53"/>
    <n v="25.97"/>
    <s v="www"/>
    <d v="2014-11-25T18:56:58"/>
    <x v="10"/>
  </r>
  <r>
    <s v="0 Original"/>
    <s v="2014-11-25 Cameron Rivera(1179)"/>
    <n v="1179"/>
    <d v="2014-11-25T00:00:00"/>
    <x v="16"/>
    <n v="29.95"/>
    <s v="www"/>
    <d v="2014-11-25T23:39:34"/>
    <x v="10"/>
  </r>
  <r>
    <s v="0 Original"/>
    <s v="2014-11-27 Ora Mann(1156)"/>
    <n v="1156"/>
    <d v="2014-11-27T00:00:00"/>
    <x v="27"/>
    <n v="14.98"/>
    <s v="www"/>
    <d v="2014-11-27T07:17:26"/>
    <x v="10"/>
  </r>
  <r>
    <s v="0 Original"/>
    <s v="2014-11-28 Christine Medina(1120)"/>
    <n v="1120"/>
    <d v="2014-11-28T00:00:00"/>
    <x v="8"/>
    <n v="17.97"/>
    <s v="www"/>
    <d v="2014-11-28T06:32:06"/>
    <x v="10"/>
  </r>
  <r>
    <s v="0 Original"/>
    <s v="2014-11-28 Alice Bray(97)"/>
    <n v="97"/>
    <d v="2014-11-28T00:00:00"/>
    <x v="45"/>
    <n v="10.98"/>
    <s v="www"/>
    <d v="2014-11-28T10:25:24"/>
    <x v="10"/>
  </r>
  <r>
    <s v="0 Original"/>
    <s v="2014-11-30 Gabriel Carlson(233)"/>
    <n v="233"/>
    <d v="2014-11-30T00:00:00"/>
    <x v="32"/>
    <n v="12.98"/>
    <s v="www"/>
    <d v="2014-11-30T09:20:00"/>
    <x v="10"/>
  </r>
  <r>
    <s v="0 Original"/>
    <s v="2014-12-02 John Drake(1034)"/>
    <n v="1034"/>
    <d v="2014-12-02T00:00:00"/>
    <x v="9"/>
    <n v="26.97"/>
    <s v="www"/>
    <d v="2014-12-02T02:31:43"/>
    <x v="11"/>
  </r>
  <r>
    <s v="0 Original"/>
    <s v="2014-12-02 Nayda Shields(843)"/>
    <n v="843"/>
    <d v="2014-12-02T00:00:00"/>
    <x v="11"/>
    <n v="32.96"/>
    <s v="www"/>
    <d v="2014-12-02T20:41:24"/>
    <x v="11"/>
  </r>
  <r>
    <s v="0 Original"/>
    <s v="2014-12-02 Alma Salas(477)"/>
    <n v="477"/>
    <d v="2014-12-02T00:00:00"/>
    <x v="42"/>
    <n v="42.95"/>
    <s v="www"/>
    <d v="2014-12-02T23:47:54"/>
    <x v="11"/>
  </r>
  <r>
    <s v="0 Original"/>
    <s v="2014-12-03 John Drake(1046)"/>
    <n v="1046"/>
    <d v="2014-12-03T00:00:00"/>
    <x v="9"/>
    <n v="54.93"/>
    <s v="www"/>
    <d v="2014-12-03T09:15:03"/>
    <x v="11"/>
  </r>
  <r>
    <s v="0 Original"/>
    <s v="2014-12-03 Kendall Rocha(691)"/>
    <n v="691"/>
    <d v="2014-12-03T00:00:00"/>
    <x v="6"/>
    <n v="40.94"/>
    <s v="www"/>
    <d v="2014-12-03T09:54:04"/>
    <x v="11"/>
  </r>
  <r>
    <s v="0 Original"/>
    <s v="2014-12-04 Madeline Reynolds(1065)"/>
    <n v="1065"/>
    <d v="2014-12-04T00:00:00"/>
    <x v="13"/>
    <n v="33.96"/>
    <s v="www"/>
    <d v="2014-12-04T17:48:41"/>
    <x v="11"/>
  </r>
  <r>
    <s v="0 Original"/>
    <s v="2014-12-04 Ora Mann(727)"/>
    <n v="727"/>
    <d v="2014-12-04T00:00:00"/>
    <x v="27"/>
    <n v="24.97"/>
    <s v="www"/>
    <d v="2014-12-04T21:09:06"/>
    <x v="11"/>
  </r>
  <r>
    <s v="0 Original"/>
    <s v="2014-12-05 Ulysses Hudson(219)"/>
    <n v="219"/>
    <d v="2014-12-05T00:00:00"/>
    <x v="53"/>
    <n v="18.97"/>
    <s v="www"/>
    <d v="2014-12-05T21:18:12"/>
    <x v="11"/>
  </r>
  <r>
    <s v="0 Original"/>
    <s v="2014-12-06 Donovan Gomez(920)"/>
    <n v="920"/>
    <d v="2014-12-06T00:00:00"/>
    <x v="7"/>
    <n v="22.97"/>
    <s v="www"/>
    <d v="2014-12-06T07:12:08"/>
    <x v="11"/>
  </r>
  <r>
    <s v="0 Original"/>
    <s v="2014-12-07 Bernard Cash(1118)"/>
    <n v="1118"/>
    <d v="2014-12-07T00:00:00"/>
    <x v="43"/>
    <n v="9.98"/>
    <s v="www"/>
    <d v="2014-12-07T10:26:43"/>
    <x v="11"/>
  </r>
  <r>
    <s v="0 Original"/>
    <s v="2014-12-07 Vivian Mendoza(401)"/>
    <n v="401"/>
    <d v="2014-12-07T00:00:00"/>
    <x v="10"/>
    <n v="51.93"/>
    <s v="www"/>
    <d v="2014-12-07T17:36:43"/>
    <x v="11"/>
  </r>
  <r>
    <s v="0 Original"/>
    <s v="2014-12-09 Belle Short(1113)"/>
    <n v="1113"/>
    <d v="2014-12-09T00:00:00"/>
    <x v="25"/>
    <n v="33.96"/>
    <s v="www"/>
    <d v="2014-12-09T02:35:31"/>
    <x v="11"/>
  </r>
  <r>
    <s v="0 Original"/>
    <s v="2014-12-10 Theodore Mills(85)"/>
    <n v="85"/>
    <d v="2014-12-10T00:00:00"/>
    <x v="62"/>
    <n v="9.99"/>
    <s v="www"/>
    <d v="2014-12-10T12:47:12"/>
    <x v="11"/>
  </r>
  <r>
    <s v="0 Original"/>
    <s v="2014-12-10 Christine Medina(975)"/>
    <n v="975"/>
    <d v="2014-12-10T00:00:00"/>
    <x v="8"/>
    <n v="19.96"/>
    <s v="www"/>
    <d v="2014-12-10T23:37:18"/>
    <x v="11"/>
  </r>
  <r>
    <s v="0 Original"/>
    <s v="2014-12-12 Belle Short(1161)"/>
    <n v="1161"/>
    <d v="2014-12-12T00:00:00"/>
    <x v="25"/>
    <n v="16.97"/>
    <s v="www"/>
    <d v="2014-12-12T12:26:24"/>
    <x v="11"/>
  </r>
  <r>
    <s v="0 Original"/>
    <s v="2014-12-13 Dane Stafford(524)"/>
    <n v="524"/>
    <d v="2014-12-13T00:00:00"/>
    <x v="29"/>
    <n v="78.91"/>
    <s v="www"/>
    <d v="2014-12-13T10:35:57"/>
    <x v="11"/>
  </r>
  <r>
    <s v="0 Original"/>
    <s v="2014-12-14 Tashya Osborne(562)"/>
    <n v="562"/>
    <d v="2014-12-14T00:00:00"/>
    <x v="82"/>
    <n v="15.98"/>
    <s v="www"/>
    <d v="2014-12-14T01:07:52"/>
    <x v="11"/>
  </r>
  <r>
    <s v="0 Original"/>
    <s v="2014-12-14 Claudia Crane(421)"/>
    <n v="421"/>
    <d v="2014-12-14T00:00:00"/>
    <x v="55"/>
    <n v="16.98"/>
    <s v="www"/>
    <d v="2014-12-14T01:43:28"/>
    <x v="11"/>
  </r>
  <r>
    <s v="0 Original"/>
    <s v="2014-12-15 Zane Parrish(658)"/>
    <n v="658"/>
    <d v="2014-12-15T00:00:00"/>
    <x v="30"/>
    <n v="78.900000000000006"/>
    <s v="www"/>
    <d v="2014-12-15T13:46:40"/>
    <x v="11"/>
  </r>
  <r>
    <s v="0 Original"/>
    <s v="2014-12-15 Donovan Gomez(1193)"/>
    <n v="1193"/>
    <d v="2014-12-15T00:00:00"/>
    <x v="7"/>
    <n v="29.96"/>
    <s v="www"/>
    <d v="2014-12-15T19:39:33"/>
    <x v="11"/>
  </r>
  <r>
    <s v="0 Original"/>
    <s v="2014-12-16 Tate Lowery(555)"/>
    <n v="555"/>
    <d v="2014-12-16T00:00:00"/>
    <x v="57"/>
    <n v="32.96"/>
    <s v="www"/>
    <d v="2014-12-16T00:00:44"/>
    <x v="11"/>
  </r>
  <r>
    <s v="0 Original"/>
    <s v="2014-12-16 Nayda Shields(949)"/>
    <n v="949"/>
    <d v="2014-12-16T00:00:00"/>
    <x v="11"/>
    <n v="32.950000000000003"/>
    <s v="www"/>
    <d v="2014-12-16T06:12:00"/>
    <x v="11"/>
  </r>
  <r>
    <s v="0 Original"/>
    <s v="2014-12-16 Colby Clay(309)"/>
    <n v="309"/>
    <d v="2014-12-16T00:00:00"/>
    <x v="0"/>
    <n v="66.92"/>
    <s v="www"/>
    <d v="2014-12-16T13:32:56"/>
    <x v="11"/>
  </r>
  <r>
    <s v="0 Original"/>
    <s v="2014-12-16 Ora Mann(1040)"/>
    <n v="1040"/>
    <d v="2014-12-16T00:00:00"/>
    <x v="27"/>
    <n v="44.94"/>
    <s v="www"/>
    <d v="2014-12-16T14:15:24"/>
    <x v="11"/>
  </r>
  <r>
    <s v="0 Original"/>
    <s v="2014-12-16 Dane Stafford(605)"/>
    <n v="605"/>
    <d v="2014-12-16T00:00:00"/>
    <x v="29"/>
    <n v="29.96"/>
    <s v="www"/>
    <d v="2014-12-16T16:52:12"/>
    <x v="11"/>
  </r>
  <r>
    <s v="0 Original"/>
    <s v="2014-12-16 Indira Suarez(688)"/>
    <n v="688"/>
    <d v="2014-12-16T00:00:00"/>
    <x v="24"/>
    <n v="36.96"/>
    <s v="www"/>
    <d v="2014-12-16T20:13:52"/>
    <x v="11"/>
  </r>
  <r>
    <s v="0 Original"/>
    <s v="2014-12-17 Yoshi Bennett(549)"/>
    <n v="549"/>
    <d v="2014-12-17T00:00:00"/>
    <x v="40"/>
    <n v="68.91"/>
    <s v="www"/>
    <d v="2014-12-17T20:43:09"/>
    <x v="11"/>
  </r>
  <r>
    <s v="0 Original"/>
    <s v="2014-12-18 Bernard Cash(1022)"/>
    <n v="1022"/>
    <d v="2014-12-18T00:00:00"/>
    <x v="43"/>
    <n v="20.97"/>
    <s v="www"/>
    <d v="2014-12-18T01:38:46"/>
    <x v="11"/>
  </r>
  <r>
    <s v="0 Original"/>
    <s v="2014-12-18 Lesley Keith(133)"/>
    <n v="133"/>
    <d v="2014-12-18T00:00:00"/>
    <x v="34"/>
    <n v="33.96"/>
    <s v="www"/>
    <d v="2014-12-18T03:12:44"/>
    <x v="11"/>
  </r>
  <r>
    <s v="0 Original"/>
    <s v="2014-12-18 Stacey Kirk(611)"/>
    <n v="611"/>
    <d v="2014-12-18T00:00:00"/>
    <x v="26"/>
    <n v="57.92"/>
    <s v="www"/>
    <d v="2014-12-18T15:29:39"/>
    <x v="11"/>
  </r>
  <r>
    <s v="0 Original"/>
    <s v="2014-12-19 Hayley Foster(90)"/>
    <n v="90"/>
    <d v="2014-12-19T00:00:00"/>
    <x v="67"/>
    <n v="8.99"/>
    <s v="www"/>
    <d v="2014-12-19T13:51:45"/>
    <x v="11"/>
  </r>
  <r>
    <s v="0 Original"/>
    <s v="2014-12-19 Yvonne Brewer(17)"/>
    <n v="17"/>
    <d v="2014-12-19T00:00:00"/>
    <x v="48"/>
    <n v="54.93"/>
    <s v="www"/>
    <d v="2014-12-19T14:34:04"/>
    <x v="11"/>
  </r>
  <r>
    <s v="0 Original"/>
    <s v="2014-12-19 Nayda Shields(846)"/>
    <n v="846"/>
    <d v="2014-12-19T00:00:00"/>
    <x v="11"/>
    <n v="17.98"/>
    <s v="www"/>
    <d v="2014-12-19T20:45:18"/>
    <x v="11"/>
  </r>
  <r>
    <s v="0 Original"/>
    <s v="2014-12-20 Cameron Rivera(1085)"/>
    <n v="1085"/>
    <d v="2014-12-20T00:00:00"/>
    <x v="16"/>
    <n v="15.98"/>
    <s v="www"/>
    <d v="2014-12-20T01:00:46"/>
    <x v="11"/>
  </r>
  <r>
    <s v="0 Original"/>
    <s v="2014-12-20 Donovan Gomez(773)"/>
    <n v="773"/>
    <d v="2014-12-20T00:00:00"/>
    <x v="7"/>
    <n v="62.93"/>
    <s v="www"/>
    <d v="2014-12-20T06:39:22"/>
    <x v="11"/>
  </r>
  <r>
    <s v="0 Original"/>
    <s v="2014-12-20 John Drake(859)"/>
    <n v="859"/>
    <d v="2014-12-20T00:00:00"/>
    <x v="9"/>
    <n v="6.99"/>
    <s v="www"/>
    <d v="2014-12-20T09:12:22"/>
    <x v="11"/>
  </r>
  <r>
    <s v="0 Original"/>
    <s v="2014-12-21 Belle Short(976)"/>
    <n v="976"/>
    <d v="2014-12-21T00:00:00"/>
    <x v="25"/>
    <n v="39.94"/>
    <s v="www"/>
    <d v="2014-12-21T04:52:27"/>
    <x v="11"/>
  </r>
  <r>
    <s v="0 Original"/>
    <s v="2014-12-21 Dale Fry(304)"/>
    <n v="304"/>
    <d v="2014-12-21T00:00:00"/>
    <x v="66"/>
    <n v="19.98"/>
    <s v="www"/>
    <d v="2014-12-21T06:26:13"/>
    <x v="11"/>
  </r>
  <r>
    <s v="0 Original"/>
    <s v="2014-12-21 John Drake(945)"/>
    <n v="945"/>
    <d v="2014-12-21T00:00:00"/>
    <x v="9"/>
    <n v="9.98"/>
    <s v="www"/>
    <d v="2014-12-21T10:41:58"/>
    <x v="11"/>
  </r>
  <r>
    <s v="0 Original"/>
    <s v="2014-12-22 Anne Slater(698)"/>
    <n v="698"/>
    <d v="2014-12-22T00:00:00"/>
    <x v="35"/>
    <n v="37.96"/>
    <s v="www"/>
    <d v="2014-12-22T03:00:19"/>
    <x v="11"/>
  </r>
  <r>
    <s v="0 Original"/>
    <s v="2014-12-23 Indira Suarez(303)"/>
    <n v="303"/>
    <d v="2014-12-23T00:00:00"/>
    <x v="24"/>
    <n v="4.99"/>
    <s v="www"/>
    <d v="2014-12-23T04:38:29"/>
    <x v="11"/>
  </r>
  <r>
    <s v="0 Original"/>
    <s v="2014-12-23 John Drake(981)"/>
    <n v="981"/>
    <d v="2014-12-23T00:00:00"/>
    <x v="9"/>
    <n v="9.99"/>
    <s v="www"/>
    <d v="2014-12-23T09:23:13"/>
    <x v="11"/>
  </r>
  <r>
    <s v="0 Original"/>
    <s v="2014-12-24 Irene Carver(142)"/>
    <n v="142"/>
    <d v="2014-12-24T00:00:00"/>
    <x v="50"/>
    <n v="43.95"/>
    <s v="www"/>
    <d v="2014-12-24T08:21:20"/>
    <x v="11"/>
  </r>
  <r>
    <s v="0 Original"/>
    <s v="2014-12-24 Jescie Peck(139)"/>
    <n v="139"/>
    <d v="2014-12-24T00:00:00"/>
    <x v="83"/>
    <n v="64.930000000000007"/>
    <s v="www"/>
    <d v="2014-12-24T17:14:12"/>
    <x v="11"/>
  </r>
  <r>
    <s v="0 Original"/>
    <s v="2014-12-25 Tashya Osborne(411)"/>
    <n v="411"/>
    <d v="2014-12-25T00:00:00"/>
    <x v="82"/>
    <n v="41.94"/>
    <s v="www"/>
    <d v="2014-12-25T02:37:54"/>
    <x v="11"/>
  </r>
  <r>
    <s v="0 Original"/>
    <s v="2014-12-25 Nayda Shields(38)"/>
    <n v="38"/>
    <d v="2014-12-25T00:00:00"/>
    <x v="11"/>
    <n v="9.99"/>
    <s v="www"/>
    <d v="2014-12-25T05:36:44"/>
    <x v="11"/>
  </r>
  <r>
    <s v="0 Original"/>
    <s v="2014-12-25 Wade Coleman(559)"/>
    <n v="559"/>
    <d v="2014-12-25T00:00:00"/>
    <x v="4"/>
    <n v="35.96"/>
    <s v="www"/>
    <d v="2014-12-25T22:04:07"/>
    <x v="11"/>
  </r>
  <r>
    <s v="0 Original"/>
    <s v="2014-12-26 Yoshi Bennett(443)"/>
    <n v="443"/>
    <d v="2014-12-26T00:00:00"/>
    <x v="40"/>
    <n v="23.97"/>
    <s v="www"/>
    <d v="2014-12-26T12:12:08"/>
    <x v="11"/>
  </r>
  <r>
    <s v="0 Original"/>
    <s v="2014-12-26 Belle Short(1044)"/>
    <n v="1044"/>
    <d v="2014-12-26T00:00:00"/>
    <x v="25"/>
    <n v="61.93"/>
    <s v="www"/>
    <d v="2014-12-26T21:11:21"/>
    <x v="11"/>
  </r>
  <r>
    <s v="0 Original"/>
    <s v="2014-12-27 Adrienne Sandoval(113)"/>
    <n v="113"/>
    <d v="2014-12-27T00:00:00"/>
    <x v="58"/>
    <n v="24.97"/>
    <s v="www"/>
    <d v="2014-12-27T15:33:23"/>
    <x v="11"/>
  </r>
  <r>
    <s v="0 Original"/>
    <s v="2014-12-29 Yoshi Bennett(636)"/>
    <n v="636"/>
    <d v="2014-12-29T00:00:00"/>
    <x v="40"/>
    <n v="9.98"/>
    <s v="www"/>
    <d v="2014-12-29T13:22:06"/>
    <x v="11"/>
  </r>
  <r>
    <s v="0 Original"/>
    <s v="2014-12-29 Colby Clay(224)"/>
    <n v="224"/>
    <d v="2014-12-29T00:00:00"/>
    <x v="0"/>
    <n v="69.91"/>
    <s v="www"/>
    <d v="2014-12-29T13:51:02"/>
    <x v="11"/>
  </r>
  <r>
    <s v="0 Original"/>
    <s v="2014-12-29 Anne Slater(102)"/>
    <n v="102"/>
    <d v="2014-12-29T00:00:00"/>
    <x v="35"/>
    <n v="25.97"/>
    <s v="www"/>
    <d v="2014-12-29T18:05:59"/>
    <x v="11"/>
  </r>
  <r>
    <s v="0 Original"/>
    <s v="2014-12-29 Vivian Mendoza(640)"/>
    <n v="640"/>
    <d v="2014-12-29T00:00:00"/>
    <x v="10"/>
    <n v="26.96"/>
    <s v="www"/>
    <d v="2014-12-29T22:43:36"/>
    <x v="11"/>
  </r>
  <r>
    <s v="0 Original"/>
    <s v="2014-12-30 Nayda Shields(947)"/>
    <n v="947"/>
    <d v="2014-12-30T00:00:00"/>
    <x v="11"/>
    <n v="61.92"/>
    <s v="www"/>
    <d v="2014-12-30T22:28:57"/>
    <x v="11"/>
  </r>
  <r>
    <s v="0 Original"/>
    <s v="2014-12-31 Nayda Shields(719)"/>
    <n v="719"/>
    <d v="2014-12-31T00:00:00"/>
    <x v="11"/>
    <n v="26.97"/>
    <s v="www"/>
    <d v="2014-12-31T10:44:39"/>
    <x v="11"/>
  </r>
  <r>
    <s v="0 Original"/>
    <s v="2014-12-31 Belle Short(1081)"/>
    <n v="1081"/>
    <d v="2014-12-31T00:00:00"/>
    <x v="25"/>
    <n v="44.94"/>
    <s v="www"/>
    <d v="2014-12-31T16:02:01"/>
    <x v="11"/>
  </r>
  <r>
    <s v="0 Original"/>
    <s v="2014-12-31 Vivian Mendoza(632)"/>
    <n v="632"/>
    <d v="2014-12-31T00:00:00"/>
    <x v="10"/>
    <n v="31.96"/>
    <s v="www"/>
    <d v="2014-12-31T20:36:11"/>
    <x v="11"/>
  </r>
  <r>
    <s v="0 Original"/>
    <s v="2015-01-03 Donovan Gomez(823)"/>
    <n v="823"/>
    <d v="2015-01-03T00:00:00"/>
    <x v="7"/>
    <n v="33.96"/>
    <s v="www"/>
    <d v="2015-01-03T06:21:10"/>
    <x v="12"/>
  </r>
  <r>
    <s v="0 Original"/>
    <s v="2015-01-04 Ora Mann(1134)"/>
    <n v="1134"/>
    <d v="2015-01-04T00:00:00"/>
    <x v="27"/>
    <n v="59.92"/>
    <s v="www"/>
    <d v="2015-01-04T18:03:49"/>
    <x v="12"/>
  </r>
  <r>
    <s v="0 Original"/>
    <s v="2015-01-04 Shelly Bridges(1391)"/>
    <n v="1391"/>
    <d v="2015-01-04T00:00:00"/>
    <x v="79"/>
    <n v="53.93"/>
    <s v="www"/>
    <d v="2015-01-04T23:38:32"/>
    <x v="12"/>
  </r>
  <r>
    <s v="0 Original"/>
    <s v="2015-01-05 Ora Mann(1252)"/>
    <n v="1252"/>
    <d v="2015-01-05T00:00:00"/>
    <x v="27"/>
    <n v="58.92"/>
    <s v="www"/>
    <d v="2015-01-05T03:32:19"/>
    <x v="12"/>
  </r>
  <r>
    <s v="0 Original"/>
    <s v="2015-01-05 Angelica Ortiz(1320)"/>
    <n v="1320"/>
    <d v="2015-01-05T00:00:00"/>
    <x v="17"/>
    <n v="52.93"/>
    <s v="www"/>
    <d v="2015-01-05T15:53:57"/>
    <x v="12"/>
  </r>
  <r>
    <s v="0 Original"/>
    <s v="2015-01-05 John Drake(1429)"/>
    <n v="1429"/>
    <d v="2015-01-05T00:00:00"/>
    <x v="9"/>
    <n v="26.97"/>
    <s v="www"/>
    <d v="2015-01-05T20:48:21"/>
    <x v="12"/>
  </r>
  <r>
    <s v="0 Original"/>
    <s v="2015-01-06 Karleigh Jacobson(1451)"/>
    <n v="1451"/>
    <d v="2015-01-06T00:00:00"/>
    <x v="84"/>
    <n v="11.98"/>
    <s v="www"/>
    <d v="2015-01-06T03:26:34"/>
    <x v="12"/>
  </r>
  <r>
    <s v="0 Original"/>
    <s v="2015-01-06 Rhonda Curtis(1304)"/>
    <n v="1304"/>
    <d v="2015-01-06T00:00:00"/>
    <x v="15"/>
    <n v="22.97"/>
    <s v="www"/>
    <d v="2015-01-06T09:48:13"/>
    <x v="12"/>
  </r>
  <r>
    <s v="0 Original"/>
    <s v="2015-01-06 Ivy Livingston(1257)"/>
    <n v="1257"/>
    <d v="2015-01-06T00:00:00"/>
    <x v="54"/>
    <n v="59.91"/>
    <s v="www"/>
    <d v="2015-01-06T10:06:36"/>
    <x v="12"/>
  </r>
  <r>
    <s v="0 Original"/>
    <s v="2015-01-06 Armando Le(1305)"/>
    <n v="1305"/>
    <d v="2015-01-06T00:00:00"/>
    <x v="61"/>
    <n v="8.99"/>
    <s v="www"/>
    <d v="2015-01-06T11:59:37"/>
    <x v="12"/>
  </r>
  <r>
    <s v="0 Original"/>
    <s v="2015-01-06 Stuart Vega(1390)"/>
    <n v="1390"/>
    <d v="2015-01-06T00:00:00"/>
    <x v="3"/>
    <n v="49.94"/>
    <s v="www"/>
    <d v="2015-01-06T13:40:49"/>
    <x v="12"/>
  </r>
  <r>
    <s v="0 Original"/>
    <s v="2015-01-06 Lillian Larsen(551)"/>
    <n v="551"/>
    <d v="2015-01-06T00:00:00"/>
    <x v="41"/>
    <n v="69.91"/>
    <s v="www"/>
    <d v="2015-01-06T17:28:44"/>
    <x v="12"/>
  </r>
  <r>
    <s v="0 Original"/>
    <s v="2015-01-06 Indira Suarez(1282)"/>
    <n v="1282"/>
    <d v="2015-01-06T00:00:00"/>
    <x v="24"/>
    <n v="56.93"/>
    <s v="www"/>
    <d v="2015-01-06T22:00:34"/>
    <x v="12"/>
  </r>
  <r>
    <s v="0 Original"/>
    <s v="2015-01-06 Stacey Kirk(1453)"/>
    <n v="1453"/>
    <d v="2015-01-06T00:00:00"/>
    <x v="26"/>
    <n v="58.93"/>
    <s v="www"/>
    <d v="2015-01-06T22:08:34"/>
    <x v="12"/>
  </r>
  <r>
    <s v="0 Original"/>
    <s v="2015-01-07 John Drake(769)"/>
    <n v="769"/>
    <d v="2015-01-07T00:00:00"/>
    <x v="9"/>
    <n v="9.99"/>
    <s v="www"/>
    <d v="2015-01-07T13:04:18"/>
    <x v="12"/>
  </r>
  <r>
    <s v="0 Original"/>
    <s v="2015-01-07 Indira Suarez(1418)"/>
    <n v="1418"/>
    <d v="2015-01-07T00:00:00"/>
    <x v="24"/>
    <n v="19.97"/>
    <s v="www"/>
    <d v="2015-01-07T17:08:28"/>
    <x v="12"/>
  </r>
  <r>
    <s v="0 Original"/>
    <s v="2015-01-07 Irene Carver(1484)"/>
    <n v="1484"/>
    <d v="2015-01-07T00:00:00"/>
    <x v="50"/>
    <n v="33.96"/>
    <s v="www"/>
    <d v="2015-01-07T22:19:07"/>
    <x v="12"/>
  </r>
  <r>
    <s v="0 Original"/>
    <s v="2015-01-08 Alma Salas(288)"/>
    <n v="288"/>
    <d v="2015-01-08T00:00:00"/>
    <x v="42"/>
    <n v="23.97"/>
    <s v="www"/>
    <d v="2015-01-08T01:06:23"/>
    <x v="12"/>
  </r>
  <r>
    <s v="0 Original"/>
    <s v="2015-01-08 Stuart Vega(1364)"/>
    <n v="1364"/>
    <d v="2015-01-08T00:00:00"/>
    <x v="3"/>
    <n v="17.97"/>
    <s v="www"/>
    <d v="2015-01-08T21:43:07"/>
    <x v="12"/>
  </r>
  <r>
    <s v="0 Original"/>
    <s v="2015-01-08 Rhonda Curtis(1430)"/>
    <n v="1430"/>
    <d v="2015-01-08T00:00:00"/>
    <x v="15"/>
    <n v="23.97"/>
    <s v="www"/>
    <d v="2015-01-08T22:40:53"/>
    <x v="12"/>
  </r>
  <r>
    <s v="0 Original"/>
    <s v="2015-01-09 Angelica Ortiz(1316)"/>
    <n v="1316"/>
    <d v="2015-01-09T00:00:00"/>
    <x v="17"/>
    <n v="73.900000000000006"/>
    <s v="www"/>
    <d v="2015-01-09T05:10:39"/>
    <x v="12"/>
  </r>
  <r>
    <s v="0 Original"/>
    <s v="2015-01-09 Cameron Rivera(1048)"/>
    <n v="1048"/>
    <d v="2015-01-09T00:00:00"/>
    <x v="16"/>
    <n v="21.97"/>
    <s v="www"/>
    <d v="2015-01-09T05:54:22"/>
    <x v="12"/>
  </r>
  <r>
    <s v="0 Original"/>
    <s v="2015-01-09 Bruce Woods(1248)"/>
    <n v="1248"/>
    <d v="2015-01-09T00:00:00"/>
    <x v="85"/>
    <n v="30.96"/>
    <s v="www"/>
    <d v="2015-01-09T11:19:59"/>
    <x v="12"/>
  </r>
  <r>
    <s v="0 Original"/>
    <s v="2015-01-09 Shelly Bridges(1285)"/>
    <n v="1285"/>
    <d v="2015-01-09T00:00:00"/>
    <x v="79"/>
    <n v="22.97"/>
    <s v="www"/>
    <d v="2015-01-09T13:30:40"/>
    <x v="12"/>
  </r>
  <r>
    <s v="0 Original"/>
    <s v="2015-01-10 Karleigh Jacobson(1360)"/>
    <n v="1360"/>
    <d v="2015-01-10T00:00:00"/>
    <x v="84"/>
    <n v="32.96"/>
    <s v="www"/>
    <d v="2015-01-10T14:11:24"/>
    <x v="12"/>
  </r>
  <r>
    <s v="0 Original"/>
    <s v="2015-01-10 Stacey Kirk(1486)"/>
    <n v="1486"/>
    <d v="2015-01-10T00:00:00"/>
    <x v="26"/>
    <n v="63.92"/>
    <s v="www"/>
    <d v="2015-01-10T21:49:48"/>
    <x v="12"/>
  </r>
  <r>
    <s v="0 Original"/>
    <s v="2015-01-11 Donovan Gomez(956)"/>
    <n v="956"/>
    <d v="2015-01-11T00:00:00"/>
    <x v="7"/>
    <n v="59.93"/>
    <s v="www"/>
    <d v="2015-01-11T04:24:18"/>
    <x v="12"/>
  </r>
  <r>
    <s v="0 Original"/>
    <s v="2015-01-11 Belle Short(1153)"/>
    <n v="1153"/>
    <d v="2015-01-11T00:00:00"/>
    <x v="25"/>
    <n v="13.98"/>
    <s v="www"/>
    <d v="2015-01-11T04:45:43"/>
    <x v="12"/>
  </r>
  <r>
    <s v="0 Original"/>
    <s v="2015-01-11 Bruce Woods(1222)"/>
    <n v="1222"/>
    <d v="2015-01-11T00:00:00"/>
    <x v="85"/>
    <n v="61.92"/>
    <s v="www"/>
    <d v="2015-01-11T08:06:19"/>
    <x v="12"/>
  </r>
  <r>
    <s v="0 Original"/>
    <s v="2015-01-11 Martin Dunlap(574)"/>
    <n v="574"/>
    <d v="2015-01-11T00:00:00"/>
    <x v="20"/>
    <n v="29.96"/>
    <s v="www"/>
    <d v="2015-01-11T08:50:32"/>
    <x v="12"/>
  </r>
  <r>
    <s v="0 Original"/>
    <s v="2015-01-11 Iona Simpson(1437)"/>
    <n v="1437"/>
    <d v="2015-01-11T00:00:00"/>
    <x v="1"/>
    <n v="15.98"/>
    <s v="www"/>
    <d v="2015-01-11T10:36:20"/>
    <x v="12"/>
  </r>
  <r>
    <s v="0 Original"/>
    <s v="2015-01-11 Cherokee Tanner(1351)"/>
    <n v="1351"/>
    <d v="2015-01-11T00:00:00"/>
    <x v="86"/>
    <n v="29.96"/>
    <s v="www"/>
    <d v="2015-01-11T10:50:49"/>
    <x v="12"/>
  </r>
  <r>
    <s v="0 Original"/>
    <s v="2015-01-11 Jonah Griffin(1221)"/>
    <n v="1221"/>
    <d v="2015-01-11T00:00:00"/>
    <x v="71"/>
    <n v="36.950000000000003"/>
    <s v="www"/>
    <d v="2015-01-11T16:10:12"/>
    <x v="12"/>
  </r>
  <r>
    <s v="0 Original"/>
    <s v="2015-01-11 John Drake(1378)"/>
    <n v="1378"/>
    <d v="2015-01-11T00:00:00"/>
    <x v="9"/>
    <n v="6.99"/>
    <s v="www"/>
    <d v="2015-01-11T19:10:25"/>
    <x v="12"/>
  </r>
  <r>
    <s v="0 Original"/>
    <s v="2015-01-12 Prescott Nelson(1336)"/>
    <n v="1336"/>
    <d v="2015-01-12T00:00:00"/>
    <x v="2"/>
    <n v="43.94"/>
    <s v="www"/>
    <d v="2015-01-12T06:11:02"/>
    <x v="12"/>
  </r>
  <r>
    <s v="0 Original"/>
    <s v="2015-01-12 Karleigh Jacobson(1387)"/>
    <n v="1387"/>
    <d v="2015-01-12T00:00:00"/>
    <x v="84"/>
    <n v="45.94"/>
    <s v="www"/>
    <d v="2015-01-12T09:46:19"/>
    <x v="12"/>
  </r>
  <r>
    <s v="0 Original"/>
    <s v="2015-01-12 Adrian Dodson(432)"/>
    <n v="432"/>
    <d v="2015-01-12T00:00:00"/>
    <x v="12"/>
    <n v="42.93"/>
    <s v="www"/>
    <d v="2015-01-12T15:11:22"/>
    <x v="12"/>
  </r>
  <r>
    <s v="0 Original"/>
    <s v="2015-01-12 Marny Boyer(1416)"/>
    <n v="1416"/>
    <d v="2015-01-12T00:00:00"/>
    <x v="87"/>
    <n v="24.97"/>
    <s v="www"/>
    <d v="2015-01-12T16:11:57"/>
    <x v="12"/>
  </r>
  <r>
    <s v="0 Original"/>
    <s v="2015-01-12 Harrison Klein(273)"/>
    <n v="273"/>
    <d v="2015-01-12T00:00:00"/>
    <x v="37"/>
    <n v="61.91"/>
    <s v="www"/>
    <d v="2015-01-12T16:13:58"/>
    <x v="12"/>
  </r>
  <r>
    <s v="0 Original"/>
    <s v="2015-01-12 Donovan Gomez(942)"/>
    <n v="942"/>
    <d v="2015-01-12T00:00:00"/>
    <x v="7"/>
    <n v="16.97"/>
    <s v="www"/>
    <d v="2015-01-12T16:32:18"/>
    <x v="12"/>
  </r>
  <r>
    <s v="0 Original"/>
    <s v="2015-01-12 Madeline Reynolds(791)"/>
    <n v="791"/>
    <d v="2015-01-12T00:00:00"/>
    <x v="13"/>
    <n v="11.98"/>
    <s v="www"/>
    <d v="2015-01-12T19:58:03"/>
    <x v="12"/>
  </r>
  <r>
    <s v="0 Original"/>
    <s v="2015-01-13 Bruce Woods(1449)"/>
    <n v="1449"/>
    <d v="2015-01-13T00:00:00"/>
    <x v="85"/>
    <n v="22.97"/>
    <s v="www"/>
    <d v="2015-01-13T10:40:20"/>
    <x v="12"/>
  </r>
  <r>
    <s v="0 Original"/>
    <s v="2015-01-13 Indira Suarez(1224)"/>
    <n v="1224"/>
    <d v="2015-01-13T00:00:00"/>
    <x v="24"/>
    <n v="31.95"/>
    <s v="www"/>
    <d v="2015-01-13T10:59:27"/>
    <x v="12"/>
  </r>
  <r>
    <s v="0 Original"/>
    <s v="2015-01-13 Anne Slater(1394)"/>
    <n v="1394"/>
    <d v="2015-01-13T00:00:00"/>
    <x v="35"/>
    <n v="26.97"/>
    <s v="www"/>
    <d v="2015-01-13T18:15:24"/>
    <x v="12"/>
  </r>
  <r>
    <s v="0 Original"/>
    <s v="2015-01-14 Cameron Rivera(1001)"/>
    <n v="1001"/>
    <d v="2015-01-14T00:00:00"/>
    <x v="16"/>
    <n v="59.93"/>
    <s v="www"/>
    <d v="2015-01-14T01:38:36"/>
    <x v="12"/>
  </r>
  <r>
    <s v="0 Original"/>
    <s v="2015-01-14 Prescott Nelson(1268)"/>
    <n v="1268"/>
    <d v="2015-01-14T00:00:00"/>
    <x v="2"/>
    <n v="25.96"/>
    <s v="www"/>
    <d v="2015-01-14T03:56:15"/>
    <x v="12"/>
  </r>
  <r>
    <s v="0 Original"/>
    <s v="2015-01-14 Anne Slater(1375)"/>
    <n v="1375"/>
    <d v="2015-01-14T00:00:00"/>
    <x v="35"/>
    <n v="75.900000000000006"/>
    <s v="www"/>
    <d v="2015-01-14T12:54:15"/>
    <x v="12"/>
  </r>
  <r>
    <s v="0 Original"/>
    <s v="2015-01-14 Yuri Oneal(1256)"/>
    <n v="1256"/>
    <d v="2015-01-14T00:00:00"/>
    <x v="88"/>
    <n v="28.96"/>
    <s v="www"/>
    <d v="2015-01-14T20:56:22"/>
    <x v="12"/>
  </r>
  <r>
    <s v="0 Original"/>
    <s v="2015-01-14 John Drake(1439)"/>
    <n v="1439"/>
    <d v="2015-01-14T00:00:00"/>
    <x v="9"/>
    <n v="8.99"/>
    <s v="www"/>
    <d v="2015-01-14T20:59:02"/>
    <x v="12"/>
  </r>
  <r>
    <s v="0 Original"/>
    <s v="2015-01-14 Armando Le(1347)"/>
    <n v="1347"/>
    <d v="2015-01-14T00:00:00"/>
    <x v="61"/>
    <n v="45.95"/>
    <s v="www"/>
    <d v="2015-01-14T22:33:03"/>
    <x v="12"/>
  </r>
  <r>
    <s v="0 Original"/>
    <s v="2015-01-15 Armando Le(1462)"/>
    <n v="1462"/>
    <d v="2015-01-15T00:00:00"/>
    <x v="61"/>
    <n v="21.97"/>
    <s v="www"/>
    <d v="2015-01-15T03:42:25"/>
    <x v="12"/>
  </r>
  <r>
    <s v="0 Original"/>
    <s v="2015-01-15 Bernard Cash(1181)"/>
    <n v="1181"/>
    <d v="2015-01-15T00:00:00"/>
    <x v="43"/>
    <n v="62.91"/>
    <s v="www"/>
    <d v="2015-01-15T06:54:52"/>
    <x v="12"/>
  </r>
  <r>
    <s v="0 Original"/>
    <s v="2015-01-15 Donovan Gomez(953)"/>
    <n v="953"/>
    <d v="2015-01-15T00:00:00"/>
    <x v="7"/>
    <n v="9.98"/>
    <s v="www"/>
    <d v="2015-01-15T07:06:24"/>
    <x v="12"/>
  </r>
  <r>
    <s v="0 Original"/>
    <s v="2015-01-15 Donovan Gomez(888)"/>
    <n v="888"/>
    <d v="2015-01-15T00:00:00"/>
    <x v="7"/>
    <n v="68.900000000000006"/>
    <s v="www"/>
    <d v="2015-01-15T12:58:38"/>
    <x v="12"/>
  </r>
  <r>
    <s v="0 Original"/>
    <s v="2015-01-15 Indira Suarez(1442)"/>
    <n v="1442"/>
    <d v="2015-01-15T00:00:00"/>
    <x v="24"/>
    <n v="54.93"/>
    <s v="www"/>
    <d v="2015-01-15T14:38:48"/>
    <x v="12"/>
  </r>
  <r>
    <s v="0 Original"/>
    <s v="2015-01-15 Dane Stafford(480)"/>
    <n v="480"/>
    <d v="2015-01-15T00:00:00"/>
    <x v="29"/>
    <n v="27.97"/>
    <s v="www"/>
    <d v="2015-01-15T14:48:31"/>
    <x v="12"/>
  </r>
  <r>
    <s v="0 Original"/>
    <s v="2015-01-15 Anne Slater(1246)"/>
    <n v="1246"/>
    <d v="2015-01-15T00:00:00"/>
    <x v="35"/>
    <n v="9.98"/>
    <s v="www"/>
    <d v="2015-01-15T15:22:23"/>
    <x v="12"/>
  </r>
  <r>
    <s v="0 Original"/>
    <s v="2015-01-15 Indira Suarez(1441)"/>
    <n v="1441"/>
    <d v="2015-01-15T00:00:00"/>
    <x v="24"/>
    <n v="51.94"/>
    <s v="www"/>
    <d v="2015-01-15T20:53:29"/>
    <x v="12"/>
  </r>
  <r>
    <s v="0 Original"/>
    <s v="2015-01-16 Ora Mann(739)"/>
    <n v="739"/>
    <d v="2015-01-16T00:00:00"/>
    <x v="27"/>
    <n v="46.94"/>
    <s v="www"/>
    <d v="2015-01-16T02:24:50"/>
    <x v="12"/>
  </r>
  <r>
    <s v="0 Original"/>
    <s v="2015-01-16 Maile Torres(1459)"/>
    <n v="1459"/>
    <d v="2015-01-16T00:00:00"/>
    <x v="51"/>
    <n v="32.950000000000003"/>
    <s v="www"/>
    <d v="2015-01-16T02:39:18"/>
    <x v="12"/>
  </r>
  <r>
    <s v="0 Original"/>
    <s v="2015-01-16 Tashya Osborne(1385)"/>
    <n v="1385"/>
    <d v="2015-01-16T00:00:00"/>
    <x v="82"/>
    <n v="60.92"/>
    <s v="www"/>
    <d v="2015-01-16T03:52:16"/>
    <x v="12"/>
  </r>
  <r>
    <s v="0 Original"/>
    <s v="2015-01-16 Galvin Becker(642)"/>
    <n v="642"/>
    <d v="2015-01-16T00:00:00"/>
    <x v="28"/>
    <n v="24.97"/>
    <s v="www"/>
    <d v="2015-01-16T10:26:00"/>
    <x v="12"/>
  </r>
  <r>
    <s v="0 Original"/>
    <s v="2015-01-16 Wade Coleman(1269)"/>
    <n v="1269"/>
    <d v="2015-01-16T00:00:00"/>
    <x v="4"/>
    <n v="13.98"/>
    <s v="www"/>
    <d v="2015-01-16T20:57:06"/>
    <x v="12"/>
  </r>
  <r>
    <s v="0 Original"/>
    <s v="2015-01-16 Ora Mann(1299)"/>
    <n v="1299"/>
    <d v="2015-01-16T00:00:00"/>
    <x v="27"/>
    <n v="72.91"/>
    <s v="www"/>
    <d v="2015-01-16T23:42:02"/>
    <x v="12"/>
  </r>
  <r>
    <s v="0 Original"/>
    <s v="2015-01-17 Jonah Griffin(1468)"/>
    <n v="1468"/>
    <d v="2015-01-17T00:00:00"/>
    <x v="71"/>
    <n v="8.99"/>
    <s v="www"/>
    <d v="2015-01-17T02:42:08"/>
    <x v="12"/>
  </r>
  <r>
    <s v="0 Original"/>
    <s v="2015-01-17 Stuart Vega(1277)"/>
    <n v="1277"/>
    <d v="2015-01-17T00:00:00"/>
    <x v="3"/>
    <n v="73.900000000000006"/>
    <s v="www"/>
    <d v="2015-01-17T05:41:46"/>
    <x v="12"/>
  </r>
  <r>
    <s v="0 Original"/>
    <s v="2015-01-17 Bruce Woods(1479)"/>
    <n v="1479"/>
    <d v="2015-01-17T00:00:00"/>
    <x v="85"/>
    <n v="23.97"/>
    <s v="www"/>
    <d v="2015-01-17T07:44:18"/>
    <x v="12"/>
  </r>
  <r>
    <s v="0 Original"/>
    <s v="2015-01-17 Marny Boyer(1211)"/>
    <n v="1211"/>
    <d v="2015-01-17T00:00:00"/>
    <x v="87"/>
    <n v="58.91"/>
    <s v="www"/>
    <d v="2015-01-17T09:42:59"/>
    <x v="12"/>
  </r>
  <r>
    <s v="0 Original"/>
    <s v="2015-01-17 Jonah Griffin(1319)"/>
    <n v="1319"/>
    <d v="2015-01-17T00:00:00"/>
    <x v="71"/>
    <n v="31.96"/>
    <s v="www"/>
    <d v="2015-01-17T11:25:35"/>
    <x v="12"/>
  </r>
  <r>
    <s v="0 Original"/>
    <s v="2015-01-17 Prescott Nelson(1300)"/>
    <n v="1300"/>
    <d v="2015-01-17T00:00:00"/>
    <x v="2"/>
    <n v="41.94"/>
    <s v="www"/>
    <d v="2015-01-17T13:03:13"/>
    <x v="12"/>
  </r>
  <r>
    <s v="0 Original"/>
    <s v="2015-01-17 Karleigh Jacobson(1424)"/>
    <n v="1424"/>
    <d v="2015-01-17T00:00:00"/>
    <x v="84"/>
    <n v="36.950000000000003"/>
    <s v="www"/>
    <d v="2015-01-17T16:53:50"/>
    <x v="12"/>
  </r>
  <r>
    <s v="0 Original"/>
    <s v="2015-01-17 Stacey Kirk(1380)"/>
    <n v="1380"/>
    <d v="2015-01-17T00:00:00"/>
    <x v="26"/>
    <n v="30.96"/>
    <s v="www"/>
    <d v="2015-01-17T19:16:17"/>
    <x v="12"/>
  </r>
  <r>
    <s v="0 Original"/>
    <s v="2015-01-17 Yvonne Brewer(55)"/>
    <n v="55"/>
    <d v="2015-01-17T00:00:00"/>
    <x v="48"/>
    <n v="9.98"/>
    <s v="www"/>
    <d v="2015-01-17T22:17:18"/>
    <x v="12"/>
  </r>
  <r>
    <s v="0 Original"/>
    <s v="2015-01-18 Jonah Griffin(1276)"/>
    <n v="1276"/>
    <d v="2015-01-18T00:00:00"/>
    <x v="71"/>
    <n v="61.92"/>
    <s v="www"/>
    <d v="2015-01-18T00:19:40"/>
    <x v="12"/>
  </r>
  <r>
    <s v="0 Original"/>
    <s v="2015-01-18 Yuri Oneal(1259)"/>
    <n v="1259"/>
    <d v="2015-01-18T00:00:00"/>
    <x v="88"/>
    <n v="18.97"/>
    <s v="www"/>
    <d v="2015-01-18T01:54:05"/>
    <x v="12"/>
  </r>
  <r>
    <s v="0 Original"/>
    <s v="2015-01-18 Indira Suarez(1341)"/>
    <n v="1341"/>
    <d v="2015-01-18T00:00:00"/>
    <x v="24"/>
    <n v="42.94"/>
    <s v="www"/>
    <d v="2015-01-18T11:04:42"/>
    <x v="12"/>
  </r>
  <r>
    <s v="0 Original"/>
    <s v="2015-01-18 Bruce Woods(1350)"/>
    <n v="1350"/>
    <d v="2015-01-18T00:00:00"/>
    <x v="85"/>
    <n v="55.93"/>
    <s v="www"/>
    <d v="2015-01-18T23:11:20"/>
    <x v="12"/>
  </r>
  <r>
    <s v="0 Original"/>
    <s v="2015-01-18 Stuart Vega(1469)"/>
    <n v="1469"/>
    <d v="2015-01-18T00:00:00"/>
    <x v="3"/>
    <n v="37.950000000000003"/>
    <s v="www"/>
    <d v="2015-01-18T23:11:52"/>
    <x v="12"/>
  </r>
  <r>
    <s v="0 Original"/>
    <s v="2015-01-18 Iona Simpson(1245)"/>
    <n v="1245"/>
    <d v="2015-01-18T00:00:00"/>
    <x v="1"/>
    <n v="28.96"/>
    <s v="www"/>
    <d v="2015-01-18T23:39:28"/>
    <x v="12"/>
  </r>
  <r>
    <s v="0 Original"/>
    <s v="2015-01-19 Lillian Larsen(1487)"/>
    <n v="1487"/>
    <d v="2015-01-19T00:00:00"/>
    <x v="41"/>
    <n v="23.96"/>
    <s v="www"/>
    <d v="2015-01-19T01:04:52"/>
    <x v="12"/>
  </r>
  <r>
    <s v="0 Original"/>
    <s v="2015-01-19 Donovan Gomez(797)"/>
    <n v="797"/>
    <d v="2015-01-19T00:00:00"/>
    <x v="7"/>
    <n v="17.98"/>
    <s v="www"/>
    <d v="2015-01-19T18:21:19"/>
    <x v="12"/>
  </r>
  <r>
    <s v="0 Original"/>
    <s v="2015-01-19 Harrison Klein(1292)"/>
    <n v="1292"/>
    <d v="2015-01-19T00:00:00"/>
    <x v="37"/>
    <n v="20.97"/>
    <s v="www"/>
    <d v="2015-01-19T18:42:33"/>
    <x v="12"/>
  </r>
  <r>
    <s v="0 Original"/>
    <s v="2015-01-19 Christine Medina(795)"/>
    <n v="795"/>
    <d v="2015-01-19T00:00:00"/>
    <x v="8"/>
    <n v="53.94"/>
    <s v="www"/>
    <d v="2015-01-19T22:00:28"/>
    <x v="12"/>
  </r>
  <r>
    <s v="0 Original"/>
    <s v="2015-01-20 Maile Torres(1317)"/>
    <n v="1317"/>
    <d v="2015-01-20T00:00:00"/>
    <x v="51"/>
    <n v="40.93"/>
    <s v="www"/>
    <d v="2015-01-20T02:32:45"/>
    <x v="12"/>
  </r>
  <r>
    <s v="0 Original"/>
    <s v="2015-01-20 Scarlett Odonnell(162)"/>
    <n v="162"/>
    <d v="2015-01-20T00:00:00"/>
    <x v="70"/>
    <n v="5.99"/>
    <s v="www"/>
    <d v="2015-01-20T05:16:33"/>
    <x v="12"/>
  </r>
  <r>
    <s v="0 Original"/>
    <s v="2015-01-20 Lillian Larsen(1271)"/>
    <n v="1271"/>
    <d v="2015-01-20T00:00:00"/>
    <x v="41"/>
    <n v="28.95"/>
    <s v="www"/>
    <d v="2015-01-20T05:20:55"/>
    <x v="12"/>
  </r>
  <r>
    <s v="0 Original"/>
    <s v="2015-01-20 Tashya Osborne(1209)"/>
    <n v="1209"/>
    <d v="2015-01-20T00:00:00"/>
    <x v="82"/>
    <n v="66.92"/>
    <s v="www"/>
    <d v="2015-01-20T05:47:49"/>
    <x v="12"/>
  </r>
  <r>
    <s v="0 Original"/>
    <s v="2015-01-20 Cherokee Tanner(1241)"/>
    <n v="1241"/>
    <d v="2015-01-20T00:00:00"/>
    <x v="86"/>
    <n v="34.96"/>
    <s v="www"/>
    <d v="2015-01-20T06:21:59"/>
    <x v="12"/>
  </r>
  <r>
    <s v="0 Original"/>
    <s v="2015-01-20 Nayda Shields(836)"/>
    <n v="836"/>
    <d v="2015-01-20T00:00:00"/>
    <x v="11"/>
    <n v="47.95"/>
    <s v="www"/>
    <d v="2015-01-20T10:21:11"/>
    <x v="12"/>
  </r>
  <r>
    <s v="0 Original"/>
    <s v="2015-01-20 Angelica Ortiz(1356)"/>
    <n v="1356"/>
    <d v="2015-01-20T00:00:00"/>
    <x v="17"/>
    <n v="17.97"/>
    <s v="www"/>
    <d v="2015-01-20T11:04:14"/>
    <x v="12"/>
  </r>
  <r>
    <s v="0 Original"/>
    <s v="2015-01-20 Anne Slater(1480)"/>
    <n v="1480"/>
    <d v="2015-01-20T00:00:00"/>
    <x v="35"/>
    <n v="8.99"/>
    <s v="www"/>
    <d v="2015-01-20T16:05:58"/>
    <x v="12"/>
  </r>
  <r>
    <s v="0 Original"/>
    <s v="2015-01-20 Jonah Griffin(1345)"/>
    <n v="1345"/>
    <d v="2015-01-20T00:00:00"/>
    <x v="71"/>
    <n v="38.950000000000003"/>
    <s v="www"/>
    <d v="2015-01-20T16:44:05"/>
    <x v="12"/>
  </r>
  <r>
    <s v="0 Original"/>
    <s v="2015-01-20 Marny Boyer(1388)"/>
    <n v="1388"/>
    <d v="2015-01-20T00:00:00"/>
    <x v="87"/>
    <n v="47.94"/>
    <s v="www"/>
    <d v="2015-01-20T19:15:57"/>
    <x v="12"/>
  </r>
  <r>
    <s v="0 Original"/>
    <s v="2015-01-20 Martin Dunlap(225)"/>
    <n v="225"/>
    <d v="2015-01-20T00:00:00"/>
    <x v="20"/>
    <n v="16.97"/>
    <s v="www"/>
    <d v="2015-01-20T21:50:42"/>
    <x v="12"/>
  </r>
  <r>
    <s v="0 Original"/>
    <s v="2015-01-20 Yuri Oneal(1255)"/>
    <n v="1255"/>
    <d v="2015-01-20T00:00:00"/>
    <x v="88"/>
    <n v="39.94"/>
    <s v="www"/>
    <d v="2015-01-20T22:01:03"/>
    <x v="12"/>
  </r>
  <r>
    <s v="0 Original"/>
    <s v="2015-01-20 Harrison Klein(1460)"/>
    <n v="1460"/>
    <d v="2015-01-20T00:00:00"/>
    <x v="37"/>
    <n v="13.98"/>
    <s v="www"/>
    <d v="2015-01-20T22:24:59"/>
    <x v="12"/>
  </r>
  <r>
    <s v="0 Original"/>
    <s v="2015-01-21 Wade Coleman(1365)"/>
    <n v="1365"/>
    <d v="2015-01-21T00:00:00"/>
    <x v="4"/>
    <n v="23.97"/>
    <s v="www"/>
    <d v="2015-01-21T01:40:20"/>
    <x v="12"/>
  </r>
  <r>
    <s v="0 Original"/>
    <s v="2015-01-21 Donovan Gomez(776)"/>
    <n v="776"/>
    <d v="2015-01-21T00:00:00"/>
    <x v="7"/>
    <n v="51.94"/>
    <s v="www"/>
    <d v="2015-01-21T01:59:10"/>
    <x v="12"/>
  </r>
  <r>
    <s v="0 Original"/>
    <s v="2015-01-21 Zorita Rutledge(1444)"/>
    <n v="1444"/>
    <d v="2015-01-21T00:00:00"/>
    <x v="74"/>
    <n v="11.98"/>
    <s v="www"/>
    <d v="2015-01-21T16:44:08"/>
    <x v="12"/>
  </r>
  <r>
    <s v="0 Original"/>
    <s v="2015-01-21 Ivy Livingston(1472)"/>
    <n v="1472"/>
    <d v="2015-01-21T00:00:00"/>
    <x v="54"/>
    <n v="20.97"/>
    <s v="www"/>
    <d v="2015-01-21T18:39:49"/>
    <x v="12"/>
  </r>
  <r>
    <s v="0 Original"/>
    <s v="2015-01-21 Irene Carver(1446)"/>
    <n v="1446"/>
    <d v="2015-01-21T00:00:00"/>
    <x v="50"/>
    <n v="49.95"/>
    <s v="www"/>
    <d v="2015-01-21T19:10:20"/>
    <x v="12"/>
  </r>
  <r>
    <s v="0 Original"/>
    <s v="2015-01-21 Madeline Reynolds(1184)"/>
    <n v="1184"/>
    <d v="2015-01-21T00:00:00"/>
    <x v="13"/>
    <n v="33.94"/>
    <s v="www"/>
    <d v="2015-01-21T22:25:26"/>
    <x v="12"/>
  </r>
  <r>
    <s v="0 Original"/>
    <s v="2015-01-21 Tashya Osborne(1258)"/>
    <n v="1258"/>
    <d v="2015-01-21T00:00:00"/>
    <x v="82"/>
    <n v="48.93"/>
    <s v="www"/>
    <d v="2015-01-21T23:33:17"/>
    <x v="12"/>
  </r>
  <r>
    <s v="0 Original"/>
    <s v="2015-01-22 Cameron Rivera(882)"/>
    <n v="882"/>
    <d v="2015-01-22T00:00:00"/>
    <x v="16"/>
    <n v="39.950000000000003"/>
    <s v="www"/>
    <d v="2015-01-22T01:09:46"/>
    <x v="12"/>
  </r>
  <r>
    <s v="0 Original"/>
    <s v="2015-01-22 Lionel Vargas(1376)"/>
    <n v="1376"/>
    <d v="2015-01-22T00:00:00"/>
    <x v="33"/>
    <n v="62.91"/>
    <s v="www"/>
    <d v="2015-01-22T04:04:52"/>
    <x v="12"/>
  </r>
  <r>
    <s v="0 Original"/>
    <s v="2015-01-22 Cameron Rivera(1200)"/>
    <n v="1200"/>
    <d v="2015-01-22T00:00:00"/>
    <x v="16"/>
    <n v="52.94"/>
    <s v="www"/>
    <d v="2015-01-22T10:13:51"/>
    <x v="12"/>
  </r>
  <r>
    <s v="0 Original"/>
    <s v="2015-01-22 Iona Simpson(1363)"/>
    <n v="1363"/>
    <d v="2015-01-22T00:00:00"/>
    <x v="1"/>
    <n v="31.96"/>
    <s v="www"/>
    <d v="2015-01-22T10:35:46"/>
    <x v="12"/>
  </r>
  <r>
    <s v="0 Original"/>
    <s v="2015-01-22 Cherokee Tanner(1357)"/>
    <n v="1357"/>
    <d v="2015-01-22T00:00:00"/>
    <x v="86"/>
    <n v="15.97"/>
    <s v="www"/>
    <d v="2015-01-22T11:49:41"/>
    <x v="12"/>
  </r>
  <r>
    <s v="0 Original"/>
    <s v="2015-01-22 Lillian Larsen(455)"/>
    <n v="455"/>
    <d v="2015-01-22T00:00:00"/>
    <x v="41"/>
    <n v="38.950000000000003"/>
    <s v="www"/>
    <d v="2015-01-22T12:44:08"/>
    <x v="12"/>
  </r>
  <r>
    <s v="0 Original"/>
    <s v="2015-01-22 Marny Boyer(1220)"/>
    <n v="1220"/>
    <d v="2015-01-22T00:00:00"/>
    <x v="87"/>
    <n v="46.94"/>
    <s v="www"/>
    <d v="2015-01-22T18:33:01"/>
    <x v="12"/>
  </r>
  <r>
    <s v="0 Original"/>
    <s v="2015-01-22 Prescott Nelson(1333)"/>
    <n v="1333"/>
    <d v="2015-01-22T00:00:00"/>
    <x v="2"/>
    <n v="19.97"/>
    <s v="www"/>
    <d v="2015-01-22T22:17:22"/>
    <x v="12"/>
  </r>
  <r>
    <s v="0 Original"/>
    <s v="2015-01-22 Armando Le(1294)"/>
    <n v="1294"/>
    <d v="2015-01-22T00:00:00"/>
    <x v="61"/>
    <n v="70.91"/>
    <s v="www"/>
    <d v="2015-01-22T22:30:22"/>
    <x v="12"/>
  </r>
  <r>
    <s v="0 Original"/>
    <s v="2015-01-23 Ora Mann(1201)"/>
    <n v="1201"/>
    <d v="2015-01-23T00:00:00"/>
    <x v="27"/>
    <n v="60.92"/>
    <s v="www"/>
    <d v="2015-01-23T00:03:22"/>
    <x v="12"/>
  </r>
  <r>
    <s v="0 Original"/>
    <s v="2015-01-23 Maile Torres(1432)"/>
    <n v="1432"/>
    <d v="2015-01-23T00:00:00"/>
    <x v="51"/>
    <n v="31.96"/>
    <s v="www"/>
    <d v="2015-01-23T01:46:47"/>
    <x v="12"/>
  </r>
  <r>
    <s v="0 Original"/>
    <s v="2015-01-23 Cameron Burton(1414)"/>
    <n v="1414"/>
    <d v="2015-01-23T00:00:00"/>
    <x v="49"/>
    <n v="30.96"/>
    <s v="www"/>
    <d v="2015-01-23T06:40:27"/>
    <x v="12"/>
  </r>
  <r>
    <s v="0 Original"/>
    <s v="2015-01-23 Gabriel Carlson(287)"/>
    <n v="287"/>
    <d v="2015-01-23T00:00:00"/>
    <x v="32"/>
    <n v="52.92"/>
    <s v="www"/>
    <d v="2015-01-23T09:08:03"/>
    <x v="12"/>
  </r>
  <r>
    <s v="0 Original"/>
    <s v="2015-01-23 Cameron Rivera(892)"/>
    <n v="892"/>
    <d v="2015-01-23T00:00:00"/>
    <x v="16"/>
    <n v="45.94"/>
    <s v="www"/>
    <d v="2015-01-23T15:33:57"/>
    <x v="12"/>
  </r>
  <r>
    <s v="0 Original"/>
    <s v="2015-01-23 Marny Boyer(1457)"/>
    <n v="1457"/>
    <d v="2015-01-23T00:00:00"/>
    <x v="87"/>
    <n v="6.99"/>
    <s v="www"/>
    <d v="2015-01-23T17:04:16"/>
    <x v="12"/>
  </r>
  <r>
    <s v="0 Original"/>
    <s v="2015-01-23 Ora Mann(994)"/>
    <n v="994"/>
    <d v="2015-01-23T00:00:00"/>
    <x v="27"/>
    <n v="19.97"/>
    <s v="www"/>
    <d v="2015-01-23T18:26:22"/>
    <x v="12"/>
  </r>
  <r>
    <s v="0 Original"/>
    <s v="2015-01-23 Iona Simpson(1216)"/>
    <n v="1216"/>
    <d v="2015-01-23T00:00:00"/>
    <x v="1"/>
    <n v="63.92"/>
    <s v="www"/>
    <d v="2015-01-23T23:04:38"/>
    <x v="12"/>
  </r>
  <r>
    <s v="0 Original"/>
    <s v="2015-01-24 Maile Torres(1272)"/>
    <n v="1272"/>
    <d v="2015-01-24T00:00:00"/>
    <x v="51"/>
    <n v="39.950000000000003"/>
    <s v="www"/>
    <d v="2015-01-24T00:31:52"/>
    <x v="12"/>
  </r>
  <r>
    <s v="0 Original"/>
    <s v="2015-01-24 Rhonda Curtis(1328)"/>
    <n v="1328"/>
    <d v="2015-01-24T00:00:00"/>
    <x v="15"/>
    <n v="28.96"/>
    <s v="www"/>
    <d v="2015-01-24T04:06:53"/>
    <x v="12"/>
  </r>
  <r>
    <s v="0 Original"/>
    <s v="2015-01-24 Angelica Ortiz(1409)"/>
    <n v="1409"/>
    <d v="2015-01-24T00:00:00"/>
    <x v="17"/>
    <n v="49.93"/>
    <s v="www"/>
    <d v="2015-01-24T11:27:30"/>
    <x v="12"/>
  </r>
  <r>
    <s v="0 Original"/>
    <s v="2015-01-24 Ora Mann(1374)"/>
    <n v="1374"/>
    <d v="2015-01-24T00:00:00"/>
    <x v="27"/>
    <n v="45.94"/>
    <s v="www"/>
    <d v="2015-01-24T17:51:50"/>
    <x v="12"/>
  </r>
  <r>
    <s v="0 Original"/>
    <s v="2015-01-24 Indira Suarez(1310)"/>
    <n v="1310"/>
    <d v="2015-01-24T00:00:00"/>
    <x v="24"/>
    <n v="50.94"/>
    <s v="www"/>
    <d v="2015-01-24T18:18:04"/>
    <x v="12"/>
  </r>
  <r>
    <s v="0 Original"/>
    <s v="2015-01-25 Cherokee Tanner(1309)"/>
    <n v="1309"/>
    <d v="2015-01-25T00:00:00"/>
    <x v="86"/>
    <n v="52.93"/>
    <s v="www"/>
    <d v="2015-01-25T09:25:25"/>
    <x v="12"/>
  </r>
  <r>
    <s v="0 Original"/>
    <s v="2015-01-25 Belle Short(980)"/>
    <n v="980"/>
    <d v="2015-01-25T00:00:00"/>
    <x v="25"/>
    <n v="5.99"/>
    <s v="www"/>
    <d v="2015-01-25T13:14:02"/>
    <x v="12"/>
  </r>
  <r>
    <s v="0 Original"/>
    <s v="2015-01-25 Aspen Fuentes(146)"/>
    <n v="146"/>
    <d v="2015-01-25T00:00:00"/>
    <x v="89"/>
    <n v="21.96"/>
    <s v="www"/>
    <d v="2015-01-25T16:47:13"/>
    <x v="12"/>
  </r>
  <r>
    <s v="0 Original"/>
    <s v="2015-01-26 Rhonda Curtis(78)"/>
    <n v="78"/>
    <d v="2015-01-26T00:00:00"/>
    <x v="15"/>
    <n v="34.94"/>
    <s v="www"/>
    <d v="2015-01-26T00:48:16"/>
    <x v="12"/>
  </r>
  <r>
    <s v="0 Original"/>
    <s v="2015-01-26 Iona Simpson(1367)"/>
    <n v="1367"/>
    <d v="2015-01-26T00:00:00"/>
    <x v="1"/>
    <n v="22.97"/>
    <s v="www"/>
    <d v="2015-01-26T03:30:14"/>
    <x v="12"/>
  </r>
  <r>
    <s v="0 Original"/>
    <s v="2015-01-26 Morgan Hoffman(1254)"/>
    <n v="1254"/>
    <d v="2015-01-26T00:00:00"/>
    <x v="39"/>
    <n v="13.98"/>
    <s v="www"/>
    <d v="2015-01-26T06:54:31"/>
    <x v="12"/>
  </r>
  <r>
    <s v="0 Original"/>
    <s v="2015-01-26 Ora Mann(764)"/>
    <n v="764"/>
    <d v="2015-01-26T00:00:00"/>
    <x v="27"/>
    <n v="40.950000000000003"/>
    <s v="www"/>
    <d v="2015-01-26T14:45:03"/>
    <x v="12"/>
  </r>
  <r>
    <s v="0 Original"/>
    <s v="2015-01-26 Serina Booker(513)"/>
    <n v="513"/>
    <d v="2015-01-26T00:00:00"/>
    <x v="60"/>
    <n v="14.98"/>
    <s v="www"/>
    <d v="2015-01-26T15:12:52"/>
    <x v="12"/>
  </r>
  <r>
    <s v="0 Original"/>
    <s v="2015-01-26 Indira Suarez(1290)"/>
    <n v="1290"/>
    <d v="2015-01-26T00:00:00"/>
    <x v="24"/>
    <n v="15.98"/>
    <s v="www"/>
    <d v="2015-01-26T17:09:33"/>
    <x v="12"/>
  </r>
  <r>
    <s v="0 Original"/>
    <s v="2015-01-26 Nayda Shields(922)"/>
    <n v="922"/>
    <d v="2015-01-26T00:00:00"/>
    <x v="11"/>
    <n v="33.96"/>
    <s v="www"/>
    <d v="2015-01-26T17:24:36"/>
    <x v="12"/>
  </r>
  <r>
    <s v="0 Original"/>
    <s v="2015-01-26 Ora Mann(1128)"/>
    <n v="1128"/>
    <d v="2015-01-26T00:00:00"/>
    <x v="27"/>
    <n v="9.99"/>
    <s v="www"/>
    <d v="2015-01-26T23:37:40"/>
    <x v="12"/>
  </r>
  <r>
    <s v="0 Original"/>
    <s v="2015-01-27 Marny Boyer(1435)"/>
    <n v="1435"/>
    <d v="2015-01-27T00:00:00"/>
    <x v="87"/>
    <n v="27.97"/>
    <s v="www"/>
    <d v="2015-01-27T03:23:11"/>
    <x v="12"/>
  </r>
  <r>
    <s v="0 Original"/>
    <s v="2015-01-27 Ora Mann(1497)"/>
    <n v="1497"/>
    <d v="2015-01-27T00:00:00"/>
    <x v="27"/>
    <n v="38.950000000000003"/>
    <s v="www"/>
    <d v="2015-01-27T07:35:33"/>
    <x v="12"/>
  </r>
  <r>
    <s v="0 Original"/>
    <s v="2015-01-27 Ora Mann(1411)"/>
    <n v="1411"/>
    <d v="2015-01-27T00:00:00"/>
    <x v="27"/>
    <n v="23.97"/>
    <s v="www"/>
    <d v="2015-01-27T12:37:52"/>
    <x v="12"/>
  </r>
  <r>
    <s v="0 Original"/>
    <s v="2015-01-27 Aristotle Avery(330)"/>
    <n v="330"/>
    <d v="2015-01-27T00:00:00"/>
    <x v="14"/>
    <n v="90.89"/>
    <s v="www"/>
    <d v="2015-01-27T14:38:53"/>
    <x v="12"/>
  </r>
  <r>
    <s v="0 Original"/>
    <s v="2015-01-27 Prescott Nelson(1035)"/>
    <n v="1035"/>
    <d v="2015-01-27T00:00:00"/>
    <x v="2"/>
    <n v="9.98"/>
    <s v="www"/>
    <d v="2015-01-27T14:55:05"/>
    <x v="12"/>
  </r>
  <r>
    <s v="0 Original"/>
    <s v="2015-01-27 Jonah Griffin(547)"/>
    <n v="547"/>
    <d v="2015-01-27T00:00:00"/>
    <x v="71"/>
    <n v="15.98"/>
    <s v="www"/>
    <d v="2015-01-27T16:25:37"/>
    <x v="12"/>
  </r>
  <r>
    <s v="0 Original"/>
    <s v="2015-01-28 Angelica Ortiz(68)"/>
    <n v="68"/>
    <d v="2015-01-28T00:00:00"/>
    <x v="17"/>
    <n v="25.97"/>
    <s v="www"/>
    <d v="2015-01-28T05:40:54"/>
    <x v="12"/>
  </r>
  <r>
    <s v="0 Original"/>
    <s v="2015-01-28 Lillian Larsen(1206)"/>
    <n v="1206"/>
    <d v="2015-01-28T00:00:00"/>
    <x v="41"/>
    <n v="34.96"/>
    <s v="www"/>
    <d v="2015-01-28T08:47:27"/>
    <x v="12"/>
  </r>
  <r>
    <s v="0 Original"/>
    <s v="2015-01-28 Cameron Burton(1427)"/>
    <n v="1427"/>
    <d v="2015-01-28T00:00:00"/>
    <x v="49"/>
    <n v="17.98"/>
    <s v="www"/>
    <d v="2015-01-28T10:41:39"/>
    <x v="12"/>
  </r>
  <r>
    <s v="0 Original"/>
    <s v="2015-01-28 Ora Mann(1098)"/>
    <n v="1098"/>
    <d v="2015-01-28T00:00:00"/>
    <x v="27"/>
    <n v="7.99"/>
    <s v="www"/>
    <d v="2015-01-28T12:44:25"/>
    <x v="12"/>
  </r>
  <r>
    <s v="0 Original"/>
    <s v="2015-01-28 Tate Lowery(391)"/>
    <n v="391"/>
    <d v="2015-01-28T00:00:00"/>
    <x v="57"/>
    <n v="63.91"/>
    <s v="www"/>
    <d v="2015-01-28T13:48:46"/>
    <x v="12"/>
  </r>
  <r>
    <s v="0 Original"/>
    <s v="2015-01-29 Yuri Oneal(1443)"/>
    <n v="1443"/>
    <d v="2015-01-29T00:00:00"/>
    <x v="88"/>
    <n v="44.95"/>
    <s v="www"/>
    <d v="2015-01-29T01:46:24"/>
    <x v="12"/>
  </r>
  <r>
    <s v="0 Original"/>
    <s v="2015-01-29 Quinn Ewing(1262)"/>
    <n v="1262"/>
    <d v="2015-01-29T00:00:00"/>
    <x v="90"/>
    <n v="64.930000000000007"/>
    <s v="www"/>
    <d v="2015-01-29T06:52:51"/>
    <x v="12"/>
  </r>
  <r>
    <s v="0 Original"/>
    <s v="2015-01-29 Armando Le(1404)"/>
    <n v="1404"/>
    <d v="2015-01-29T00:00:00"/>
    <x v="61"/>
    <n v="11.98"/>
    <s v="www"/>
    <d v="2015-01-29T06:53:07"/>
    <x v="12"/>
  </r>
  <r>
    <s v="0 Original"/>
    <s v="2015-01-29 Ivy Livingston(1236)"/>
    <n v="1236"/>
    <d v="2015-01-29T00:00:00"/>
    <x v="54"/>
    <n v="47.94"/>
    <s v="www"/>
    <d v="2015-01-29T09:12:25"/>
    <x v="12"/>
  </r>
  <r>
    <s v="0 Original"/>
    <s v="2015-01-29 Ora Mann(1346)"/>
    <n v="1346"/>
    <d v="2015-01-29T00:00:00"/>
    <x v="27"/>
    <n v="38.950000000000003"/>
    <s v="www"/>
    <d v="2015-01-29T18:53:51"/>
    <x v="12"/>
  </r>
  <r>
    <s v="0 Original"/>
    <s v="2015-01-29 Wade Coleman(1314)"/>
    <n v="1314"/>
    <d v="2015-01-29T00:00:00"/>
    <x v="4"/>
    <n v="33.96"/>
    <s v="www"/>
    <d v="2015-01-29T19:02:43"/>
    <x v="12"/>
  </r>
  <r>
    <s v="0 Original"/>
    <s v="2015-01-29 Clio Carter(597)"/>
    <n v="597"/>
    <d v="2015-01-29T00:00:00"/>
    <x v="21"/>
    <n v="39.950000000000003"/>
    <s v="www"/>
    <d v="2015-01-29T19:28:46"/>
    <x v="12"/>
  </r>
  <r>
    <s v="0 Original"/>
    <s v="2015-01-29 Nayda Shields(954)"/>
    <n v="954"/>
    <d v="2015-01-29T00:00:00"/>
    <x v="11"/>
    <n v="64.92"/>
    <s v="www"/>
    <d v="2015-01-29T20:02:25"/>
    <x v="12"/>
  </r>
  <r>
    <s v="0 Original"/>
    <s v="2015-01-29 John Drake(1306)"/>
    <n v="1306"/>
    <d v="2015-01-29T00:00:00"/>
    <x v="9"/>
    <n v="16.97"/>
    <s v="www"/>
    <d v="2015-01-29T21:05:47"/>
    <x v="12"/>
  </r>
  <r>
    <s v="0 Original"/>
    <s v="2015-01-30 Hanna Simpson(231)"/>
    <n v="231"/>
    <d v="2015-01-30T00:00:00"/>
    <x v="36"/>
    <n v="26.97"/>
    <s v="www"/>
    <d v="2015-01-30T06:14:18"/>
    <x v="12"/>
  </r>
  <r>
    <s v="0 Original"/>
    <s v="2015-01-30 Rhonda Curtis(1477)"/>
    <n v="1477"/>
    <d v="2015-01-30T00:00:00"/>
    <x v="15"/>
    <n v="63.92"/>
    <s v="www"/>
    <d v="2015-01-30T10:09:04"/>
    <x v="12"/>
  </r>
  <r>
    <s v="0 Original"/>
    <s v="2015-01-30 Wade Coleman(1337)"/>
    <n v="1337"/>
    <d v="2015-01-30T00:00:00"/>
    <x v="4"/>
    <n v="22.97"/>
    <s v="www"/>
    <d v="2015-01-30T20:46:08"/>
    <x v="12"/>
  </r>
  <r>
    <s v="0 Original"/>
    <s v="2015-01-30 Stuart Vega(1327)"/>
    <n v="1327"/>
    <d v="2015-01-30T00:00:00"/>
    <x v="3"/>
    <n v="56.93"/>
    <s v="www"/>
    <d v="2015-01-30T21:44:24"/>
    <x v="12"/>
  </r>
  <r>
    <s v="0 Original"/>
    <s v="2015-01-31 Madeline Reynolds(743)"/>
    <n v="743"/>
    <d v="2015-01-31T00:00:00"/>
    <x v="13"/>
    <n v="43.95"/>
    <s v="www"/>
    <d v="2015-01-31T09:20:55"/>
    <x v="12"/>
  </r>
  <r>
    <s v="0 Original"/>
    <s v="2015-01-31 Anne Slater(1400)"/>
    <n v="1400"/>
    <d v="2015-01-31T00:00:00"/>
    <x v="35"/>
    <n v="10.98"/>
    <s v="www"/>
    <d v="2015-01-31T09:56:02"/>
    <x v="12"/>
  </r>
  <r>
    <s v="0 Original"/>
    <s v="2015-01-31 Anne Slater(1202)"/>
    <n v="1202"/>
    <d v="2015-01-31T00:00:00"/>
    <x v="35"/>
    <n v="15.98"/>
    <s v="www"/>
    <d v="2015-01-31T10:14:35"/>
    <x v="12"/>
  </r>
  <r>
    <s v="0 Original"/>
    <s v="2015-01-31 Angelica Ortiz(1353)"/>
    <n v="1353"/>
    <d v="2015-01-31T00:00:00"/>
    <x v="17"/>
    <n v="9.98"/>
    <s v="www"/>
    <d v="2015-01-31T19:20:20"/>
    <x v="12"/>
  </r>
  <r>
    <s v="0 Original"/>
    <s v="2015-01-31 Vivian Mendoza(363)"/>
    <n v="363"/>
    <d v="2015-01-31T00:00:00"/>
    <x v="10"/>
    <n v="9.99"/>
    <s v="www"/>
    <d v="2015-01-31T22:34:53"/>
    <x v="12"/>
  </r>
  <r>
    <s v="0 Original"/>
    <s v="2015-02-01 Dale Fry(380)"/>
    <n v="380"/>
    <d v="2015-02-01T00:00:00"/>
    <x v="66"/>
    <n v="28.97"/>
    <s v="www"/>
    <d v="2015-02-01T01:09:42"/>
    <x v="13"/>
  </r>
  <r>
    <s v="0 Original"/>
    <s v="2015-02-01 Lillian Larsen(1230)"/>
    <n v="1230"/>
    <d v="2015-02-01T00:00:00"/>
    <x v="41"/>
    <n v="8.99"/>
    <s v="www"/>
    <d v="2015-02-01T08:44:22"/>
    <x v="13"/>
  </r>
  <r>
    <s v="0 Original"/>
    <s v="2015-02-01 Bruce Woods(1332)"/>
    <n v="1332"/>
    <d v="2015-02-01T00:00:00"/>
    <x v="85"/>
    <n v="34.950000000000003"/>
    <s v="www"/>
    <d v="2015-02-01T14:43:00"/>
    <x v="13"/>
  </r>
  <r>
    <s v="0 Original"/>
    <s v="2015-02-01 Nayda Shields(51)"/>
    <n v="51"/>
    <d v="2015-02-01T00:00:00"/>
    <x v="11"/>
    <n v="69.91"/>
    <s v="www"/>
    <d v="2015-02-01T16:33:21"/>
    <x v="13"/>
  </r>
  <r>
    <s v="0 Original"/>
    <s v="2015-02-01 Stacey Kirk(261)"/>
    <n v="261"/>
    <d v="2015-02-01T00:00:00"/>
    <x v="26"/>
    <n v="49.94"/>
    <s v="www"/>
    <d v="2015-02-01T20:05:05"/>
    <x v="13"/>
  </r>
  <r>
    <s v="0 Original"/>
    <s v="2015-02-01 Yuri Oneal(1228)"/>
    <n v="1228"/>
    <d v="2015-02-01T00:00:00"/>
    <x v="88"/>
    <n v="39.94"/>
    <s v="www"/>
    <d v="2015-02-01T21:54:57"/>
    <x v="13"/>
  </r>
  <r>
    <s v="0 Original"/>
    <s v="2015-02-02 Ivy Livingston(1335)"/>
    <n v="1335"/>
    <d v="2015-02-02T00:00:00"/>
    <x v="54"/>
    <n v="15.98"/>
    <s v="www"/>
    <d v="2015-02-02T04:40:35"/>
    <x v="13"/>
  </r>
  <r>
    <s v="0 Original"/>
    <s v="2015-02-02 Angelica Ortiz(1265)"/>
    <n v="1265"/>
    <d v="2015-02-02T00:00:00"/>
    <x v="17"/>
    <n v="13.98"/>
    <s v="www"/>
    <d v="2015-02-02T06:37:12"/>
    <x v="13"/>
  </r>
  <r>
    <s v="0 Original"/>
    <s v="2015-02-02 Hanna Simpson(236)"/>
    <n v="236"/>
    <d v="2015-02-02T00:00:00"/>
    <x v="36"/>
    <n v="16.97"/>
    <s v="www"/>
    <d v="2015-02-02T07:08:21"/>
    <x v="13"/>
  </r>
  <r>
    <s v="0 Original"/>
    <s v="2015-02-02 Shelly Bridges(1237)"/>
    <n v="1237"/>
    <d v="2015-02-02T00:00:00"/>
    <x v="79"/>
    <n v="23.97"/>
    <s v="www"/>
    <d v="2015-02-02T08:52:42"/>
    <x v="13"/>
  </r>
  <r>
    <s v="0 Original"/>
    <s v="2015-02-02 Bruce Woods(1275)"/>
    <n v="1275"/>
    <d v="2015-02-02T00:00:00"/>
    <x v="85"/>
    <n v="5.99"/>
    <s v="www"/>
    <d v="2015-02-02T18:13:20"/>
    <x v="13"/>
  </r>
  <r>
    <s v="0 Original"/>
    <s v="2015-02-02 Christine Medina(781)"/>
    <n v="781"/>
    <d v="2015-02-02T00:00:00"/>
    <x v="8"/>
    <n v="53.94"/>
    <s v="www"/>
    <d v="2015-02-02T23:33:54"/>
    <x v="13"/>
  </r>
  <r>
    <s v="0 Original"/>
    <s v="2015-02-03 Angelica Ortiz(1261)"/>
    <n v="1261"/>
    <d v="2015-02-03T00:00:00"/>
    <x v="17"/>
    <n v="18.98"/>
    <s v="www"/>
    <d v="2015-02-03T05:25:10"/>
    <x v="13"/>
  </r>
  <r>
    <s v="0 Original"/>
    <s v="2015-02-03 Bernard Cash(1077)"/>
    <n v="1077"/>
    <d v="2015-02-03T00:00:00"/>
    <x v="43"/>
    <n v="23.97"/>
    <s v="www"/>
    <d v="2015-02-03T07:51:22"/>
    <x v="13"/>
  </r>
  <r>
    <s v="0 Original"/>
    <s v="2015-02-03 April Buckley(75)"/>
    <n v="75"/>
    <d v="2015-02-03T00:00:00"/>
    <x v="65"/>
    <n v="16.98"/>
    <s v="www"/>
    <d v="2015-02-03T15:23:38"/>
    <x v="13"/>
  </r>
  <r>
    <s v="0 Original"/>
    <s v="2015-02-03 Cameron Burton(1225)"/>
    <n v="1225"/>
    <d v="2015-02-03T00:00:00"/>
    <x v="49"/>
    <n v="33.950000000000003"/>
    <s v="www"/>
    <d v="2015-02-03T21:35:42"/>
    <x v="13"/>
  </r>
  <r>
    <s v="0 Original"/>
    <s v="2015-02-04 Jonah Griffin(1281)"/>
    <n v="1281"/>
    <d v="2015-02-04T00:00:00"/>
    <x v="71"/>
    <n v="15.98"/>
    <s v="www"/>
    <d v="2015-02-04T00:16:12"/>
    <x v="13"/>
  </r>
  <r>
    <s v="0 Original"/>
    <s v="2015-02-04 Rhonda Curtis(644)"/>
    <n v="644"/>
    <d v="2015-02-04T00:00:00"/>
    <x v="15"/>
    <n v="46.95"/>
    <s v="www"/>
    <d v="2015-02-04T02:18:14"/>
    <x v="13"/>
  </r>
  <r>
    <s v="0 Original"/>
    <s v="2015-02-04 Lionel Vargas(1398)"/>
    <n v="1398"/>
    <d v="2015-02-04T00:00:00"/>
    <x v="33"/>
    <n v="66.91"/>
    <s v="www"/>
    <d v="2015-02-04T04:20:58"/>
    <x v="13"/>
  </r>
  <r>
    <s v="0 Original"/>
    <s v="2015-02-04 Donovan Gomez(1196)"/>
    <n v="1196"/>
    <d v="2015-02-04T00:00:00"/>
    <x v="7"/>
    <n v="81.89"/>
    <s v="www"/>
    <d v="2015-02-04T04:37:30"/>
    <x v="13"/>
  </r>
  <r>
    <s v="0 Original"/>
    <s v="2015-02-04 Lois Valdez(572)"/>
    <n v="572"/>
    <d v="2015-02-04T00:00:00"/>
    <x v="52"/>
    <n v="35.96"/>
    <s v="www"/>
    <d v="2015-02-04T05:10:02"/>
    <x v="13"/>
  </r>
  <r>
    <s v="0 Original"/>
    <s v="2015-02-04 Cherokee Tanner(1270)"/>
    <n v="1270"/>
    <d v="2015-02-04T00:00:00"/>
    <x v="86"/>
    <n v="79.900000000000006"/>
    <s v="www"/>
    <d v="2015-02-04T07:46:10"/>
    <x v="13"/>
  </r>
  <r>
    <s v="0 Original"/>
    <s v="2015-02-04 Morgan Hoffman(1361)"/>
    <n v="1361"/>
    <d v="2015-02-04T00:00:00"/>
    <x v="39"/>
    <n v="16.97"/>
    <s v="www"/>
    <d v="2015-02-04T12:15:43"/>
    <x v="13"/>
  </r>
  <r>
    <s v="0 Original"/>
    <s v="2015-02-04 Anne Slater(1415)"/>
    <n v="1415"/>
    <d v="2015-02-04T00:00:00"/>
    <x v="35"/>
    <n v="26.97"/>
    <s v="www"/>
    <d v="2015-02-04T14:01:38"/>
    <x v="13"/>
  </r>
  <r>
    <s v="0 Original"/>
    <s v="2015-02-04 April Buckley(635)"/>
    <n v="635"/>
    <d v="2015-02-04T00:00:00"/>
    <x v="65"/>
    <n v="19.97"/>
    <s v="www"/>
    <d v="2015-02-04T21:13:50"/>
    <x v="13"/>
  </r>
  <r>
    <s v="0 Original"/>
    <s v="2015-02-04 Wade Coleman(1475)"/>
    <n v="1475"/>
    <d v="2015-02-04T00:00:00"/>
    <x v="4"/>
    <n v="6.99"/>
    <s v="www"/>
    <d v="2015-02-04T22:54:32"/>
    <x v="13"/>
  </r>
  <r>
    <s v="0 Original"/>
    <s v="2015-02-05 Wade Coleman(1467)"/>
    <n v="1467"/>
    <d v="2015-02-05T00:00:00"/>
    <x v="4"/>
    <n v="4.99"/>
    <s v="www"/>
    <d v="2015-02-05T02:47:34"/>
    <x v="13"/>
  </r>
  <r>
    <s v="0 Original"/>
    <s v="2015-02-05 Lillian Larsen(1253)"/>
    <n v="1253"/>
    <d v="2015-02-05T00:00:00"/>
    <x v="41"/>
    <n v="17.98"/>
    <s v="www"/>
    <d v="2015-02-05T09:35:34"/>
    <x v="13"/>
  </r>
  <r>
    <s v="0 Original"/>
    <s v="2015-02-05 Hanna Simpson(496)"/>
    <n v="496"/>
    <d v="2015-02-05T00:00:00"/>
    <x v="36"/>
    <n v="53.92"/>
    <s v="www"/>
    <d v="2015-02-05T11:04:17"/>
    <x v="13"/>
  </r>
  <r>
    <s v="0 Original"/>
    <s v="2015-02-05 Armando Le(1296)"/>
    <n v="1296"/>
    <d v="2015-02-05T00:00:00"/>
    <x v="61"/>
    <n v="22.97"/>
    <s v="www"/>
    <d v="2015-02-05T13:14:08"/>
    <x v="13"/>
  </r>
  <r>
    <s v="0 Original"/>
    <s v="2015-02-05 Madeline Reynolds(789)"/>
    <n v="789"/>
    <d v="2015-02-05T00:00:00"/>
    <x v="13"/>
    <n v="9.98"/>
    <s v="www"/>
    <d v="2015-02-05T15:32:19"/>
    <x v="13"/>
  </r>
  <r>
    <s v="0 Original"/>
    <s v="2015-02-05 Shelly Bridges(1419)"/>
    <n v="1419"/>
    <d v="2015-02-05T00:00:00"/>
    <x v="79"/>
    <n v="11.98"/>
    <s v="www"/>
    <d v="2015-02-05T18:50:26"/>
    <x v="13"/>
  </r>
  <r>
    <s v="0 Original"/>
    <s v="2015-02-06 Stuart Vega(1210)"/>
    <n v="1210"/>
    <d v="2015-02-06T00:00:00"/>
    <x v="3"/>
    <n v="53.93"/>
    <s v="www"/>
    <d v="2015-02-06T00:45:53"/>
    <x v="13"/>
  </r>
  <r>
    <s v="0 Original"/>
    <s v="2015-02-06 Karleigh Jacobson(1214)"/>
    <n v="1214"/>
    <d v="2015-02-06T00:00:00"/>
    <x v="84"/>
    <n v="56.93"/>
    <s v="www"/>
    <d v="2015-02-06T07:30:48"/>
    <x v="13"/>
  </r>
  <r>
    <s v="0 Original"/>
    <s v="2015-02-06 Quinn Ewing(1372)"/>
    <n v="1372"/>
    <d v="2015-02-06T00:00:00"/>
    <x v="90"/>
    <n v="53.94"/>
    <s v="www"/>
    <d v="2015-02-06T08:14:17"/>
    <x v="13"/>
  </r>
  <r>
    <s v="0 Original"/>
    <s v="2015-02-06 Prescott Nelson(808)"/>
    <n v="808"/>
    <d v="2015-02-06T00:00:00"/>
    <x v="2"/>
    <n v="42.93"/>
    <s v="www"/>
    <d v="2015-02-06T18:10:10"/>
    <x v="13"/>
  </r>
  <r>
    <s v="0 Original"/>
    <s v="2015-02-07 Stuart Vega(1454)"/>
    <n v="1454"/>
    <d v="2015-02-07T00:00:00"/>
    <x v="3"/>
    <n v="23.97"/>
    <s v="www"/>
    <d v="2015-02-07T19:08:09"/>
    <x v="13"/>
  </r>
  <r>
    <s v="0 Original"/>
    <s v="2015-02-07 John Drake(1287)"/>
    <n v="1287"/>
    <d v="2015-02-07T00:00:00"/>
    <x v="9"/>
    <n v="13.98"/>
    <s v="www"/>
    <d v="2015-02-07T19:08:13"/>
    <x v="13"/>
  </r>
  <r>
    <s v="0 Original"/>
    <s v="2015-02-08 Ora Mann(963)"/>
    <n v="963"/>
    <d v="2015-02-08T00:00:00"/>
    <x v="27"/>
    <n v="26.96"/>
    <s v="www"/>
    <d v="2015-02-08T00:32:51"/>
    <x v="13"/>
  </r>
  <r>
    <s v="0 Original"/>
    <s v="2015-02-08 Blossom Mosley(70)"/>
    <n v="70"/>
    <d v="2015-02-08T00:00:00"/>
    <x v="38"/>
    <n v="18.97"/>
    <s v="www"/>
    <d v="2015-02-08T00:38:48"/>
    <x v="13"/>
  </r>
  <r>
    <s v="0 Original"/>
    <s v="2015-02-08 Zorita Rutledge(1283)"/>
    <n v="1283"/>
    <d v="2015-02-08T00:00:00"/>
    <x v="74"/>
    <n v="8.99"/>
    <s v="www"/>
    <d v="2015-02-08T00:57:46"/>
    <x v="13"/>
  </r>
  <r>
    <s v="0 Original"/>
    <s v="2015-02-08 John Drake(1491)"/>
    <n v="1491"/>
    <d v="2015-02-08T00:00:00"/>
    <x v="9"/>
    <n v="31.96"/>
    <s v="www"/>
    <d v="2015-02-08T01:09:35"/>
    <x v="13"/>
  </r>
  <r>
    <s v="0 Original"/>
    <s v="2015-02-08 Stacey Kirk(587)"/>
    <n v="587"/>
    <d v="2015-02-08T00:00:00"/>
    <x v="26"/>
    <n v="25.97"/>
    <s v="www"/>
    <d v="2015-02-08T02:19:48"/>
    <x v="13"/>
  </r>
  <r>
    <s v="0 Original"/>
    <s v="2015-02-08 Indira Suarez(1218)"/>
    <n v="1218"/>
    <d v="2015-02-08T00:00:00"/>
    <x v="24"/>
    <n v="59.91"/>
    <s v="www"/>
    <d v="2015-02-08T07:47:12"/>
    <x v="13"/>
  </r>
  <r>
    <s v="0 Original"/>
    <s v="2015-02-08 Lillian Larsen(1232)"/>
    <n v="1232"/>
    <d v="2015-02-08T00:00:00"/>
    <x v="41"/>
    <n v="8.99"/>
    <s v="www"/>
    <d v="2015-02-08T11:25:11"/>
    <x v="13"/>
  </r>
  <r>
    <s v="0 Original"/>
    <s v="2015-02-08 Lillian Larsen(1417)"/>
    <n v="1417"/>
    <d v="2015-02-08T00:00:00"/>
    <x v="41"/>
    <n v="15.98"/>
    <s v="www"/>
    <d v="2015-02-08T12:15:52"/>
    <x v="13"/>
  </r>
  <r>
    <s v="0 Original"/>
    <s v="2015-02-08 Nayda Shields(668)"/>
    <n v="668"/>
    <d v="2015-02-08T00:00:00"/>
    <x v="11"/>
    <n v="16.98"/>
    <s v="www"/>
    <d v="2015-02-08T16:31:47"/>
    <x v="13"/>
  </r>
  <r>
    <s v="0 Original"/>
    <s v="2015-02-08 Ora Mann(822)"/>
    <n v="822"/>
    <d v="2015-02-08T00:00:00"/>
    <x v="27"/>
    <n v="33.950000000000003"/>
    <s v="www"/>
    <d v="2015-02-08T18:02:24"/>
    <x v="13"/>
  </r>
  <r>
    <s v="0 Original"/>
    <s v="2015-02-08 Prescott Nelson(959)"/>
    <n v="959"/>
    <d v="2015-02-08T00:00:00"/>
    <x v="2"/>
    <n v="42.95"/>
    <s v="www"/>
    <d v="2015-02-08T21:52:01"/>
    <x v="13"/>
  </r>
  <r>
    <s v="0 Original"/>
    <s v="2015-02-09 Jonah Griffin(1399)"/>
    <n v="1399"/>
    <d v="2015-02-09T00:00:00"/>
    <x v="71"/>
    <n v="40.94"/>
    <s v="www"/>
    <d v="2015-02-09T00:59:20"/>
    <x v="13"/>
  </r>
  <r>
    <s v="0 Original"/>
    <s v="2015-02-09 Stacey Kirk(1408)"/>
    <n v="1408"/>
    <d v="2015-02-09T00:00:00"/>
    <x v="26"/>
    <n v="73.900000000000006"/>
    <s v="www"/>
    <d v="2015-02-09T04:23:39"/>
    <x v="13"/>
  </r>
  <r>
    <s v="0 Original"/>
    <s v="2015-02-09 Prescott Nelson(1412)"/>
    <n v="1412"/>
    <d v="2015-02-09T00:00:00"/>
    <x v="2"/>
    <n v="29.96"/>
    <s v="www"/>
    <d v="2015-02-09T07:11:31"/>
    <x v="13"/>
  </r>
  <r>
    <s v="0 Original"/>
    <s v="2015-02-09 Marny Boyer(1492)"/>
    <n v="1492"/>
    <d v="2015-02-09T00:00:00"/>
    <x v="87"/>
    <n v="36.950000000000003"/>
    <s v="www"/>
    <d v="2015-02-09T17:38:05"/>
    <x v="13"/>
  </r>
  <r>
    <s v="0 Original"/>
    <s v="2015-02-09 Cherokee Tanner(1431)"/>
    <n v="1431"/>
    <d v="2015-02-09T00:00:00"/>
    <x v="86"/>
    <n v="31.96"/>
    <s v="www"/>
    <d v="2015-02-09T19:58:42"/>
    <x v="13"/>
  </r>
  <r>
    <s v="0 Original"/>
    <s v="2015-02-09 Theodore Mills(695)"/>
    <n v="695"/>
    <d v="2015-02-09T00:00:00"/>
    <x v="62"/>
    <n v="52.92"/>
    <s v="www"/>
    <d v="2015-02-09T22:34:31"/>
    <x v="13"/>
  </r>
  <r>
    <s v="0 Original"/>
    <s v="2015-02-10 Dale Fry(460)"/>
    <n v="460"/>
    <d v="2015-02-10T00:00:00"/>
    <x v="66"/>
    <n v="29.97"/>
    <s v="www"/>
    <d v="2015-02-10T11:05:58"/>
    <x v="13"/>
  </r>
  <r>
    <s v="0 Original"/>
    <s v="2015-02-10 Hayley Foster(295)"/>
    <n v="295"/>
    <d v="2015-02-10T00:00:00"/>
    <x v="67"/>
    <n v="29.96"/>
    <s v="www"/>
    <d v="2015-02-10T23:31:17"/>
    <x v="13"/>
  </r>
  <r>
    <s v="0 Original"/>
    <s v="2015-02-10 Lionel Vargas(1470)"/>
    <n v="1470"/>
    <d v="2015-02-10T00:00:00"/>
    <x v="33"/>
    <n v="74.900000000000006"/>
    <s v="www"/>
    <d v="2015-02-10T23:31:44"/>
    <x v="13"/>
  </r>
  <r>
    <s v="0 Original"/>
    <s v="2015-02-11 Karleigh Jacobson(1251)"/>
    <n v="1251"/>
    <d v="2015-02-11T00:00:00"/>
    <x v="84"/>
    <n v="24.96"/>
    <s v="www"/>
    <d v="2015-02-11T02:18:33"/>
    <x v="13"/>
  </r>
  <r>
    <s v="0 Original"/>
    <s v="2015-02-11 Quinn Ewing(1263)"/>
    <n v="1263"/>
    <d v="2015-02-11T00:00:00"/>
    <x v="90"/>
    <n v="14.98"/>
    <s v="www"/>
    <d v="2015-02-11T07:31:30"/>
    <x v="13"/>
  </r>
  <r>
    <s v="0 Original"/>
    <s v="2015-02-11 Lillian Larsen(1352)"/>
    <n v="1352"/>
    <d v="2015-02-11T00:00:00"/>
    <x v="41"/>
    <n v="29.96"/>
    <s v="www"/>
    <d v="2015-02-11T11:57:36"/>
    <x v="13"/>
  </r>
  <r>
    <s v="0 Original"/>
    <s v="2015-02-11 Ivy Livingston(1212)"/>
    <n v="1212"/>
    <d v="2015-02-11T00:00:00"/>
    <x v="54"/>
    <n v="5.99"/>
    <s v="www"/>
    <d v="2015-02-11T13:46:05"/>
    <x v="13"/>
  </r>
  <r>
    <s v="0 Original"/>
    <s v="2015-02-11 Yuri Oneal(1302)"/>
    <n v="1302"/>
    <d v="2015-02-11T00:00:00"/>
    <x v="88"/>
    <n v="24.97"/>
    <s v="www"/>
    <d v="2015-02-11T21:29:43"/>
    <x v="13"/>
  </r>
  <r>
    <s v="0 Original"/>
    <s v="2015-02-12 Maile Torres(1426)"/>
    <n v="1426"/>
    <d v="2015-02-12T00:00:00"/>
    <x v="51"/>
    <n v="25.96"/>
    <s v="www"/>
    <d v="2015-02-12T04:40:06"/>
    <x v="13"/>
  </r>
  <r>
    <s v="0 Original"/>
    <s v="2015-02-12 Harrison Klein(1397)"/>
    <n v="1397"/>
    <d v="2015-02-12T00:00:00"/>
    <x v="37"/>
    <n v="46.93"/>
    <s v="www"/>
    <d v="2015-02-12T09:30:47"/>
    <x v="13"/>
  </r>
  <r>
    <s v="0 Original"/>
    <s v="2015-02-12 Bernard Cash(812)"/>
    <n v="812"/>
    <d v="2015-02-12T00:00:00"/>
    <x v="43"/>
    <n v="51.93"/>
    <s v="www"/>
    <d v="2015-02-12T11:03:29"/>
    <x v="13"/>
  </r>
  <r>
    <s v="0 Original"/>
    <s v="2015-02-12 Quinn Ewing(1226)"/>
    <n v="1226"/>
    <d v="2015-02-12T00:00:00"/>
    <x v="90"/>
    <n v="85.89"/>
    <s v="www"/>
    <d v="2015-02-12T15:22:02"/>
    <x v="13"/>
  </r>
  <r>
    <s v="0 Original"/>
    <s v="2015-02-12 Lillian Larsen(1239)"/>
    <n v="1239"/>
    <d v="2015-02-12T00:00:00"/>
    <x v="41"/>
    <n v="42.95"/>
    <s v="www"/>
    <d v="2015-02-12T22:15:34"/>
    <x v="13"/>
  </r>
  <r>
    <s v="0 Original"/>
    <s v="2015-02-13 Zeus Trujillo(319)"/>
    <n v="319"/>
    <d v="2015-02-13T00:00:00"/>
    <x v="5"/>
    <n v="6.99"/>
    <s v="www"/>
    <d v="2015-02-13T17:53:00"/>
    <x v="13"/>
  </r>
  <r>
    <s v="0 Original"/>
    <s v="2015-02-14 Cherokee Tanner(1498)"/>
    <n v="1498"/>
    <d v="2015-02-14T00:00:00"/>
    <x v="86"/>
    <n v="18.97"/>
    <s v="www"/>
    <d v="2015-02-14T04:05:00"/>
    <x v="13"/>
  </r>
  <r>
    <s v="0 Original"/>
    <s v="2015-02-14 Donovan Gomez(1094)"/>
    <n v="1094"/>
    <d v="2015-02-14T00:00:00"/>
    <x v="7"/>
    <n v="29.96"/>
    <s v="www"/>
    <d v="2015-02-14T21:54:51"/>
    <x v="13"/>
  </r>
  <r>
    <s v="0 Original"/>
    <s v="2015-02-14 Wade Coleman(1330)"/>
    <n v="1330"/>
    <d v="2015-02-14T00:00:00"/>
    <x v="4"/>
    <n v="38.950000000000003"/>
    <s v="www"/>
    <d v="2015-02-14T23:59:44"/>
    <x v="13"/>
  </r>
  <r>
    <s v="0 Original"/>
    <s v="2015-02-15 Yuri Oneal(1402)"/>
    <n v="1402"/>
    <d v="2015-02-15T00:00:00"/>
    <x v="88"/>
    <n v="25.96"/>
    <s v="www"/>
    <d v="2015-02-15T02:09:15"/>
    <x v="13"/>
  </r>
  <r>
    <s v="0 Original"/>
    <s v="2015-02-16 Tashya Osborne(1463)"/>
    <n v="1463"/>
    <d v="2015-02-16T00:00:00"/>
    <x v="82"/>
    <n v="27.96"/>
    <s v="www"/>
    <d v="2015-02-16T03:48:30"/>
    <x v="13"/>
  </r>
  <r>
    <s v="0 Original"/>
    <s v="2015-02-16 Angelica Ortiz(1331)"/>
    <n v="1331"/>
    <d v="2015-02-16T00:00:00"/>
    <x v="17"/>
    <n v="9.98"/>
    <s v="www"/>
    <d v="2015-02-16T06:06:08"/>
    <x v="13"/>
  </r>
  <r>
    <s v="0 Original"/>
    <s v="2015-02-16 Yuri Oneal(1301)"/>
    <n v="1301"/>
    <d v="2015-02-16T00:00:00"/>
    <x v="88"/>
    <n v="32.950000000000003"/>
    <s v="www"/>
    <d v="2015-02-16T16:09:10"/>
    <x v="13"/>
  </r>
  <r>
    <s v="0 Original"/>
    <s v="2015-02-16 Ora Mann(1323)"/>
    <n v="1323"/>
    <d v="2015-02-16T00:00:00"/>
    <x v="27"/>
    <n v="53.93"/>
    <s v="www"/>
    <d v="2015-02-16T23:15:38"/>
    <x v="13"/>
  </r>
  <r>
    <s v="0 Original"/>
    <s v="2015-02-16 Prescott Nelson(988)"/>
    <n v="988"/>
    <d v="2015-02-16T00:00:00"/>
    <x v="2"/>
    <n v="52.94"/>
    <s v="www"/>
    <d v="2015-02-16T23:24:11"/>
    <x v="13"/>
  </r>
  <r>
    <s v="0 Original"/>
    <s v="2015-02-17 Wade Coleman(1482)"/>
    <n v="1482"/>
    <d v="2015-02-17T00:00:00"/>
    <x v="4"/>
    <n v="64.91"/>
    <s v="www"/>
    <d v="2015-02-17T06:57:05"/>
    <x v="13"/>
  </r>
  <r>
    <s v="0 Original"/>
    <s v="2015-02-17 Anne Slater(1266)"/>
    <n v="1266"/>
    <d v="2015-02-17T00:00:00"/>
    <x v="35"/>
    <n v="47.95"/>
    <s v="www"/>
    <d v="2015-02-17T09:45:50"/>
    <x v="13"/>
  </r>
  <r>
    <s v="0 Original"/>
    <s v="2015-02-17 Armando Le(1249)"/>
    <n v="1249"/>
    <d v="2015-02-17T00:00:00"/>
    <x v="61"/>
    <n v="64.91"/>
    <s v="www"/>
    <d v="2015-02-17T15:03:42"/>
    <x v="13"/>
  </r>
  <r>
    <s v="0 Original"/>
    <s v="2015-02-17 Lionel Vargas(1238)"/>
    <n v="1238"/>
    <d v="2015-02-17T00:00:00"/>
    <x v="33"/>
    <n v="32.96"/>
    <s v="www"/>
    <d v="2015-02-17T15:33:00"/>
    <x v="13"/>
  </r>
  <r>
    <s v="0 Original"/>
    <s v="2015-02-18 Shelly Bridges(1473)"/>
    <n v="1473"/>
    <d v="2015-02-18T00:00:00"/>
    <x v="79"/>
    <n v="25.96"/>
    <s v="www"/>
    <d v="2015-02-18T05:50:11"/>
    <x v="13"/>
  </r>
  <r>
    <s v="0 Original"/>
    <s v="2015-02-18 Ivy Livingston(1413)"/>
    <n v="1413"/>
    <d v="2015-02-18T00:00:00"/>
    <x v="54"/>
    <n v="24.97"/>
    <s v="www"/>
    <d v="2015-02-18T13:10:36"/>
    <x v="13"/>
  </r>
  <r>
    <s v="0 Original"/>
    <s v="2015-02-19 April Buckley(627)"/>
    <n v="627"/>
    <d v="2015-02-19T00:00:00"/>
    <x v="65"/>
    <n v="44.94"/>
    <s v="www"/>
    <d v="2015-02-19T00:30:12"/>
    <x v="13"/>
  </r>
  <r>
    <s v="0 Original"/>
    <s v="2015-02-19 Christine Medina(967)"/>
    <n v="967"/>
    <d v="2015-02-19T00:00:00"/>
    <x v="8"/>
    <n v="9.99"/>
    <s v="www"/>
    <d v="2015-02-19T09:58:06"/>
    <x v="13"/>
  </r>
  <r>
    <s v="0 Original"/>
    <s v="2015-02-19 Christine Medina(1191)"/>
    <n v="1191"/>
    <d v="2015-02-19T00:00:00"/>
    <x v="8"/>
    <n v="33.950000000000003"/>
    <s v="www"/>
    <d v="2015-02-19T10:17:19"/>
    <x v="13"/>
  </r>
  <r>
    <s v="0 Original"/>
    <s v="2015-02-19 Prescott Nelson(1215)"/>
    <n v="1215"/>
    <d v="2015-02-19T00:00:00"/>
    <x v="2"/>
    <n v="29.96"/>
    <s v="www"/>
    <d v="2015-02-19T10:41:23"/>
    <x v="13"/>
  </r>
  <r>
    <s v="0 Original"/>
    <s v="2015-02-20 Bruce Woods(1229)"/>
    <n v="1229"/>
    <d v="2015-02-20T00:00:00"/>
    <x v="85"/>
    <n v="15.98"/>
    <s v="www"/>
    <d v="2015-02-20T00:27:33"/>
    <x v="13"/>
  </r>
  <r>
    <s v="0 Original"/>
    <s v="2015-02-20 Stacey Kirk(1297)"/>
    <n v="1297"/>
    <d v="2015-02-20T00:00:00"/>
    <x v="26"/>
    <n v="6.99"/>
    <s v="www"/>
    <d v="2015-02-20T03:29:20"/>
    <x v="13"/>
  </r>
  <r>
    <s v="0 Original"/>
    <s v="2015-02-20 Iona Simpson(617)"/>
    <n v="617"/>
    <d v="2015-02-20T00:00:00"/>
    <x v="1"/>
    <n v="38.950000000000003"/>
    <s v="www"/>
    <d v="2015-02-20T10:38:05"/>
    <x v="13"/>
  </r>
  <r>
    <s v="0 Original"/>
    <s v="2015-02-20 Blossom Mosley(263)"/>
    <n v="263"/>
    <d v="2015-02-20T00:00:00"/>
    <x v="38"/>
    <n v="22.97"/>
    <s v="www"/>
    <d v="2015-02-20T20:40:08"/>
    <x v="13"/>
  </r>
  <r>
    <s v="0 Original"/>
    <s v="2015-02-21 Ora Mann(708)"/>
    <n v="708"/>
    <d v="2015-02-21T00:00:00"/>
    <x v="27"/>
    <n v="9.98"/>
    <s v="www"/>
    <d v="2015-02-21T00:01:12"/>
    <x v="13"/>
  </r>
  <r>
    <s v="0 Original"/>
    <s v="2015-02-21 Armando Le(1458)"/>
    <n v="1458"/>
    <d v="2015-02-21T00:00:00"/>
    <x v="61"/>
    <n v="20.97"/>
    <s v="www"/>
    <d v="2015-02-21T09:03:11"/>
    <x v="13"/>
  </r>
  <r>
    <s v="0 Original"/>
    <s v="2015-02-21 Marny Boyer(1461)"/>
    <n v="1461"/>
    <d v="2015-02-21T00:00:00"/>
    <x v="87"/>
    <n v="21.97"/>
    <s v="www"/>
    <d v="2015-02-21T15:31:20"/>
    <x v="13"/>
  </r>
  <r>
    <s v="0 Original"/>
    <s v="2015-02-22 Zane Parrish(526)"/>
    <n v="526"/>
    <d v="2015-02-22T00:00:00"/>
    <x v="30"/>
    <n v="19.97"/>
    <s v="www"/>
    <d v="2015-02-22T01:49:35"/>
    <x v="13"/>
  </r>
  <r>
    <s v="0 Original"/>
    <s v="2015-02-22 Jonah Griffin(588)"/>
    <n v="588"/>
    <d v="2015-02-22T00:00:00"/>
    <x v="71"/>
    <n v="6.99"/>
    <s v="www"/>
    <d v="2015-02-22T18:00:30"/>
    <x v="13"/>
  </r>
  <r>
    <s v="0 Original"/>
    <s v="2015-02-23 Lillian Larsen(290)"/>
    <n v="290"/>
    <d v="2015-02-23T00:00:00"/>
    <x v="41"/>
    <n v="56.93"/>
    <s v="www"/>
    <d v="2015-02-23T11:38:27"/>
    <x v="13"/>
  </r>
  <r>
    <s v="0 Original"/>
    <s v="2015-02-23 Cherokee Tanner(1344)"/>
    <n v="1344"/>
    <d v="2015-02-23T00:00:00"/>
    <x v="86"/>
    <n v="15.98"/>
    <s v="www"/>
    <d v="2015-02-23T16:47:55"/>
    <x v="13"/>
  </r>
  <r>
    <s v="0 Original"/>
    <s v="2015-02-23 Christine Medina(1140)"/>
    <n v="1140"/>
    <d v="2015-02-23T00:00:00"/>
    <x v="8"/>
    <n v="35.950000000000003"/>
    <s v="www"/>
    <d v="2015-02-23T20:02:23"/>
    <x v="13"/>
  </r>
  <r>
    <s v="0 Original"/>
    <s v="2015-02-24 Ora Mann(1145)"/>
    <n v="1145"/>
    <d v="2015-02-24T00:00:00"/>
    <x v="27"/>
    <n v="47.95"/>
    <s v="www"/>
    <d v="2015-02-24T02:16:36"/>
    <x v="13"/>
  </r>
  <r>
    <s v="0 Original"/>
    <s v="2015-02-24 Harrison Klein(1422)"/>
    <n v="1422"/>
    <d v="2015-02-24T00:00:00"/>
    <x v="37"/>
    <n v="35.950000000000003"/>
    <s v="www"/>
    <d v="2015-02-24T10:43:29"/>
    <x v="13"/>
  </r>
  <r>
    <s v="0 Original"/>
    <s v="2015-02-24 Prescott Nelson(1401)"/>
    <n v="1401"/>
    <d v="2015-02-24T00:00:00"/>
    <x v="2"/>
    <n v="29.96"/>
    <s v="www"/>
    <d v="2015-02-24T16:25:26"/>
    <x v="13"/>
  </r>
  <r>
    <s v="0 Original"/>
    <s v="2015-02-24 Armando Le(1420)"/>
    <n v="1420"/>
    <d v="2015-02-24T00:00:00"/>
    <x v="61"/>
    <n v="11.98"/>
    <s v="www"/>
    <d v="2015-02-24T20:20:33"/>
    <x v="13"/>
  </r>
  <r>
    <s v="0 Original"/>
    <s v="2015-02-25 John Drake(723)"/>
    <n v="723"/>
    <d v="2015-02-25T00:00:00"/>
    <x v="9"/>
    <n v="42.95"/>
    <s v="www"/>
    <d v="2015-02-25T04:12:25"/>
    <x v="13"/>
  </r>
  <r>
    <s v="0 Original"/>
    <s v="2015-02-25 Maile Torres(1213)"/>
    <n v="1213"/>
    <d v="2015-02-25T00:00:00"/>
    <x v="51"/>
    <n v="103.87"/>
    <s v="www"/>
    <d v="2015-02-25T13:34:22"/>
    <x v="13"/>
  </r>
  <r>
    <s v="0 Original"/>
    <s v="2015-02-25 Cherokee Tanner(1260)"/>
    <n v="1260"/>
    <d v="2015-02-25T00:00:00"/>
    <x v="86"/>
    <n v="15.98"/>
    <s v="www"/>
    <d v="2015-02-25T17:42:05"/>
    <x v="13"/>
  </r>
  <r>
    <s v="0 Original"/>
    <s v="2015-02-26 Jonah Griffin(196)"/>
    <n v="196"/>
    <d v="2015-02-26T00:00:00"/>
    <x v="71"/>
    <n v="44.94"/>
    <s v="www"/>
    <d v="2015-02-26T05:40:40"/>
    <x v="13"/>
  </r>
  <r>
    <s v="0 Original"/>
    <s v="2015-02-26 Marah West(104)"/>
    <n v="104"/>
    <d v="2015-02-26T00:00:00"/>
    <x v="91"/>
    <n v="38.950000000000003"/>
    <s v="www"/>
    <d v="2015-02-26T09:02:18"/>
    <x v="13"/>
  </r>
  <r>
    <s v="0 Original"/>
    <s v="2015-02-26 Indira Suarez(1295)"/>
    <n v="1295"/>
    <d v="2015-02-26T00:00:00"/>
    <x v="24"/>
    <n v="46.94"/>
    <s v="www"/>
    <d v="2015-02-26T12:29:50"/>
    <x v="13"/>
  </r>
  <r>
    <s v="0 Original"/>
    <s v="2015-02-26 Bernard Cash(731)"/>
    <n v="731"/>
    <d v="2015-02-26T00:00:00"/>
    <x v="43"/>
    <n v="26.96"/>
    <s v="www"/>
    <d v="2015-02-26T15:11:05"/>
    <x v="13"/>
  </r>
  <r>
    <s v="0 Original"/>
    <s v="2015-02-26 Alma Salas(122)"/>
    <n v="122"/>
    <d v="2015-02-26T00:00:00"/>
    <x v="42"/>
    <n v="21.97"/>
    <s v="www"/>
    <d v="2015-02-26T15:33:17"/>
    <x v="13"/>
  </r>
  <r>
    <s v="0 Original"/>
    <s v="2015-02-26 Nayda Shields(1017)"/>
    <n v="1017"/>
    <d v="2015-02-26T00:00:00"/>
    <x v="11"/>
    <n v="29.96"/>
    <s v="www"/>
    <d v="2015-02-26T16:55:25"/>
    <x v="13"/>
  </r>
  <r>
    <s v="0 Original"/>
    <s v="2015-02-26 Tashya Osborne(1493)"/>
    <n v="1493"/>
    <d v="2015-02-26T00:00:00"/>
    <x v="82"/>
    <n v="16.98"/>
    <s v="www"/>
    <d v="2015-02-26T19:40:05"/>
    <x v="13"/>
  </r>
  <r>
    <s v="0 Original"/>
    <s v="2015-02-27 Rhonda Curtis(1500)"/>
    <n v="1500"/>
    <d v="2015-02-27T00:00:00"/>
    <x v="15"/>
    <n v="32.96"/>
    <s v="www"/>
    <d v="2015-02-27T01:22:31"/>
    <x v="13"/>
  </r>
  <r>
    <s v="0 Original"/>
    <s v="2015-02-27 Christine Medina(998)"/>
    <n v="998"/>
    <d v="2015-02-27T00:00:00"/>
    <x v="8"/>
    <n v="12.98"/>
    <s v="www"/>
    <d v="2015-02-27T07:33:12"/>
    <x v="13"/>
  </r>
  <r>
    <s v="0 Original"/>
    <s v="2015-02-27 Harrison Klein(1483)"/>
    <n v="1483"/>
    <d v="2015-02-27T00:00:00"/>
    <x v="37"/>
    <n v="17.98"/>
    <s v="www"/>
    <d v="2015-02-27T13:31:58"/>
    <x v="13"/>
  </r>
  <r>
    <s v="0 Original"/>
    <s v="2015-02-27 Stuart Vega(1291)"/>
    <n v="1291"/>
    <d v="2015-02-27T00:00:00"/>
    <x v="3"/>
    <n v="34.96"/>
    <s v="www"/>
    <d v="2015-02-27T16:06:19"/>
    <x v="13"/>
  </r>
  <r>
    <s v="0 Original"/>
    <s v="2015-02-28 Lionel Vargas(1273)"/>
    <n v="1273"/>
    <d v="2015-02-28T00:00:00"/>
    <x v="33"/>
    <n v="36.950000000000003"/>
    <s v="www"/>
    <d v="2015-02-28T12:51:50"/>
    <x v="13"/>
  </r>
  <r>
    <s v="0 Original"/>
    <s v="2015-02-28 Jonah Griffin(1450)"/>
    <n v="1450"/>
    <d v="2015-02-28T00:00:00"/>
    <x v="71"/>
    <n v="27.96"/>
    <s v="www"/>
    <d v="2015-02-28T18:01:43"/>
    <x v="13"/>
  </r>
  <r>
    <s v="0 Original"/>
    <s v="2015-02-28 Zane Parrish(220)"/>
    <n v="220"/>
    <d v="2015-02-28T00:00:00"/>
    <x v="30"/>
    <n v="48.94"/>
    <s v="www"/>
    <d v="2015-02-28T20:30:17"/>
    <x v="13"/>
  </r>
  <r>
    <s v="0 Original"/>
    <s v="2015-03-01 Lionel Vargas(1406)"/>
    <n v="1406"/>
    <d v="2015-03-01T00:00:00"/>
    <x v="33"/>
    <n v="8.99"/>
    <s v="www"/>
    <d v="2015-03-01T03:59:56"/>
    <x v="14"/>
  </r>
  <r>
    <s v="0 Original"/>
    <s v="2015-03-01 Shelly Bridges(1280)"/>
    <n v="1280"/>
    <d v="2015-03-01T00:00:00"/>
    <x v="79"/>
    <n v="29.96"/>
    <s v="www"/>
    <d v="2015-03-01T10:31:00"/>
    <x v="14"/>
  </r>
  <r>
    <s v="0 Original"/>
    <s v="2015-03-01 Rhonda Curtis(665)"/>
    <n v="665"/>
    <d v="2015-03-01T00:00:00"/>
    <x v="15"/>
    <n v="73.900000000000006"/>
    <s v="www"/>
    <d v="2015-03-01T15:12:38"/>
    <x v="14"/>
  </r>
  <r>
    <s v="0 Original"/>
    <s v="2015-03-01 Cherokee Tanner(1343)"/>
    <n v="1343"/>
    <d v="2015-03-01T00:00:00"/>
    <x v="86"/>
    <n v="6.99"/>
    <s v="www"/>
    <d v="2015-03-01T22:07:16"/>
    <x v="14"/>
  </r>
  <r>
    <s v="0 Original"/>
    <s v="2015-03-02 Ivy Livingston(1308)"/>
    <n v="1308"/>
    <d v="2015-03-02T00:00:00"/>
    <x v="54"/>
    <n v="15.98"/>
    <s v="www"/>
    <d v="2015-03-02T09:40:53"/>
    <x v="14"/>
  </r>
  <r>
    <s v="0 Original"/>
    <s v="2015-03-02 Bruce Woods(1393)"/>
    <n v="1393"/>
    <d v="2015-03-02T00:00:00"/>
    <x v="85"/>
    <n v="13.98"/>
    <s v="www"/>
    <d v="2015-03-02T10:17:44"/>
    <x v="14"/>
  </r>
  <r>
    <s v="0 Original"/>
    <s v="2015-03-02 Iona Simpson(1207)"/>
    <n v="1207"/>
    <d v="2015-03-02T00:00:00"/>
    <x v="1"/>
    <n v="15.98"/>
    <s v="www"/>
    <d v="2015-03-02T13:37:08"/>
    <x v="14"/>
  </r>
  <r>
    <s v="0 Original"/>
    <s v="2015-03-03 Ivy Livingston(1373)"/>
    <n v="1373"/>
    <d v="2015-03-03T00:00:00"/>
    <x v="54"/>
    <n v="22.97"/>
    <s v="www"/>
    <d v="2015-03-03T04:39:42"/>
    <x v="14"/>
  </r>
  <r>
    <s v="0 Original"/>
    <s v="2015-03-03 John Drake(1383)"/>
    <n v="1383"/>
    <d v="2015-03-03T00:00:00"/>
    <x v="9"/>
    <n v="18.97"/>
    <s v="www"/>
    <d v="2015-03-03T10:15:40"/>
    <x v="14"/>
  </r>
  <r>
    <s v="0 Original"/>
    <s v="2015-03-03 Angelica Ortiz(1312)"/>
    <n v="1312"/>
    <d v="2015-03-03T00:00:00"/>
    <x v="17"/>
    <n v="12.98"/>
    <s v="www"/>
    <d v="2015-03-03T19:47:28"/>
    <x v="14"/>
  </r>
  <r>
    <s v="0 Original"/>
    <s v="2015-03-03 Kendall Rocha(128)"/>
    <n v="128"/>
    <d v="2015-03-03T00:00:00"/>
    <x v="6"/>
    <n v="29.96"/>
    <s v="www"/>
    <d v="2015-03-03T19:48:55"/>
    <x v="14"/>
  </r>
  <r>
    <s v="0 Original"/>
    <s v="2015-03-03 Ivy Livingston(1217)"/>
    <n v="1217"/>
    <d v="2015-03-03T00:00:00"/>
    <x v="54"/>
    <n v="34.950000000000003"/>
    <s v="www"/>
    <d v="2015-03-03T20:42:52"/>
    <x v="14"/>
  </r>
  <r>
    <s v="0 Original"/>
    <s v="2015-03-03 Serina Booker(696)"/>
    <n v="696"/>
    <d v="2015-03-03T00:00:00"/>
    <x v="60"/>
    <n v="17.98"/>
    <s v="www"/>
    <d v="2015-03-03T20:52:07"/>
    <x v="14"/>
  </r>
  <r>
    <s v="0 Original"/>
    <s v="2015-03-04 Jonah Griffin(1267)"/>
    <n v="1267"/>
    <d v="2015-03-04T00:00:00"/>
    <x v="71"/>
    <n v="23.97"/>
    <s v="www"/>
    <d v="2015-03-04T05:44:31"/>
    <x v="14"/>
  </r>
  <r>
    <s v="0 Original"/>
    <s v="2015-03-04 Marny Boyer(1466)"/>
    <n v="1466"/>
    <d v="2015-03-04T00:00:00"/>
    <x v="87"/>
    <n v="26.97"/>
    <s v="www"/>
    <d v="2015-03-04T07:09:53"/>
    <x v="14"/>
  </r>
  <r>
    <s v="0 Original"/>
    <s v="2015-03-04 Irene Carver(1368)"/>
    <n v="1368"/>
    <d v="2015-03-04T00:00:00"/>
    <x v="50"/>
    <n v="49.94"/>
    <s v="www"/>
    <d v="2015-03-04T13:15:34"/>
    <x v="14"/>
  </r>
  <r>
    <s v="0 Original"/>
    <s v="2015-03-05 Ora Mann(1433)"/>
    <n v="1433"/>
    <d v="2015-03-05T00:00:00"/>
    <x v="27"/>
    <n v="17.98"/>
    <s v="www"/>
    <d v="2015-03-05T14:01:00"/>
    <x v="14"/>
  </r>
  <r>
    <s v="0 Original"/>
    <s v="2015-03-05 Ora Mann(1489)"/>
    <n v="1489"/>
    <d v="2015-03-05T00:00:00"/>
    <x v="27"/>
    <n v="57.92"/>
    <s v="www"/>
    <d v="2015-03-05T18:51:07"/>
    <x v="14"/>
  </r>
  <r>
    <s v="0 Original"/>
    <s v="2015-03-05 Madeline Reynolds(242)"/>
    <n v="242"/>
    <d v="2015-03-05T00:00:00"/>
    <x v="13"/>
    <n v="16.98"/>
    <s v="www"/>
    <d v="2015-03-05T20:11:19"/>
    <x v="14"/>
  </r>
  <r>
    <s v="0 Original"/>
    <s v="2015-03-05 Stacey Kirk(1474)"/>
    <n v="1474"/>
    <d v="2015-03-05T00:00:00"/>
    <x v="26"/>
    <n v="22.97"/>
    <s v="www"/>
    <d v="2015-03-05T20:25:59"/>
    <x v="14"/>
  </r>
  <r>
    <s v="0 Original"/>
    <s v="2015-03-05 Belle Short(1121)"/>
    <n v="1121"/>
    <d v="2015-03-05T00:00:00"/>
    <x v="25"/>
    <n v="19.98"/>
    <s v="www"/>
    <d v="2015-03-05T20:50:07"/>
    <x v="14"/>
  </r>
  <r>
    <s v="0 Original"/>
    <s v="2015-03-05 Angelica Ortiz(464)"/>
    <n v="464"/>
    <d v="2015-03-05T00:00:00"/>
    <x v="17"/>
    <n v="22.97"/>
    <s v="www"/>
    <d v="2015-03-05T21:01:13"/>
    <x v="14"/>
  </r>
  <r>
    <s v="0 Original"/>
    <s v="2015-03-05 April Buckley(662)"/>
    <n v="662"/>
    <d v="2015-03-05T00:00:00"/>
    <x v="65"/>
    <n v="5.99"/>
    <s v="www"/>
    <d v="2015-03-05T21:09:47"/>
    <x v="14"/>
  </r>
  <r>
    <s v="0 Original"/>
    <s v="2015-03-05 Colby Clay(333)"/>
    <n v="333"/>
    <d v="2015-03-05T00:00:00"/>
    <x v="0"/>
    <n v="44.95"/>
    <s v="www"/>
    <d v="2015-03-05T22:21:05"/>
    <x v="14"/>
  </r>
  <r>
    <s v="0 Original"/>
    <s v="2015-03-06 Madeline Reynolds(1005)"/>
    <n v="1005"/>
    <d v="2015-03-06T00:00:00"/>
    <x v="13"/>
    <n v="14.98"/>
    <s v="www"/>
    <d v="2015-03-06T01:33:25"/>
    <x v="14"/>
  </r>
  <r>
    <s v="0 Original"/>
    <s v="2015-03-06 Yoshi Bennett(416)"/>
    <n v="416"/>
    <d v="2015-03-06T00:00:00"/>
    <x v="40"/>
    <n v="16.98"/>
    <s v="www"/>
    <d v="2015-03-06T02:29:45"/>
    <x v="14"/>
  </r>
  <r>
    <s v="0 Original"/>
    <s v="2015-03-06 Armando Le(618)"/>
    <n v="618"/>
    <d v="2015-03-06T00:00:00"/>
    <x v="61"/>
    <n v="76.91"/>
    <s v="www"/>
    <d v="2015-03-06T02:46:48"/>
    <x v="14"/>
  </r>
  <r>
    <s v="0 Original"/>
    <s v="2015-03-06 Indira Suarez(1298)"/>
    <n v="1298"/>
    <d v="2015-03-06T00:00:00"/>
    <x v="24"/>
    <n v="36.950000000000003"/>
    <s v="www"/>
    <d v="2015-03-06T04:42:12"/>
    <x v="14"/>
  </r>
  <r>
    <s v="0 Original"/>
    <s v="2015-03-06 Cameron Rivera(886)"/>
    <n v="886"/>
    <d v="2015-03-06T00:00:00"/>
    <x v="16"/>
    <n v="23.97"/>
    <s v="www"/>
    <d v="2015-03-06T09:57:06"/>
    <x v="14"/>
  </r>
  <r>
    <s v="0 Original"/>
    <s v="2015-03-06 Iona Simpson(1242)"/>
    <n v="1242"/>
    <d v="2015-03-06T00:00:00"/>
    <x v="1"/>
    <n v="39.96"/>
    <s v="www"/>
    <d v="2015-03-06T13:33:33"/>
    <x v="14"/>
  </r>
  <r>
    <s v="0 Original"/>
    <s v="2015-03-06 Tashya Osborne(458)"/>
    <n v="458"/>
    <d v="2015-03-06T00:00:00"/>
    <x v="82"/>
    <n v="39.950000000000003"/>
    <s v="www"/>
    <d v="2015-03-06T17:42:33"/>
    <x v="14"/>
  </r>
  <r>
    <s v="0 Original"/>
    <s v="2015-03-06 Quinn Ewing(1371)"/>
    <n v="1371"/>
    <d v="2015-03-06T00:00:00"/>
    <x v="90"/>
    <n v="25.96"/>
    <s v="www"/>
    <d v="2015-03-06T21:30:34"/>
    <x v="14"/>
  </r>
  <r>
    <s v="0 Original"/>
    <s v="2015-03-07 Lillian Larsen(473)"/>
    <n v="473"/>
    <d v="2015-03-07T00:00:00"/>
    <x v="41"/>
    <n v="28.96"/>
    <s v="www"/>
    <d v="2015-03-07T00:19:40"/>
    <x v="14"/>
  </r>
  <r>
    <s v="0 Original"/>
    <s v="2015-03-07 Angelica Ortiz(1235)"/>
    <n v="1235"/>
    <d v="2015-03-07T00:00:00"/>
    <x v="17"/>
    <n v="6.99"/>
    <s v="www"/>
    <d v="2015-03-07T00:21:40"/>
    <x v="14"/>
  </r>
  <r>
    <s v="0 Original"/>
    <s v="2015-03-07 John Drake(968)"/>
    <n v="968"/>
    <d v="2015-03-07T00:00:00"/>
    <x v="9"/>
    <n v="56.93"/>
    <s v="www"/>
    <d v="2015-03-07T09:29:29"/>
    <x v="14"/>
  </r>
  <r>
    <s v="0 Original"/>
    <s v="2015-03-07 Irene Carver(39)"/>
    <n v="39"/>
    <d v="2015-03-07T00:00:00"/>
    <x v="50"/>
    <n v="60.93"/>
    <s v="www"/>
    <d v="2015-03-07T10:44:27"/>
    <x v="14"/>
  </r>
  <r>
    <s v="0 Original"/>
    <s v="2015-03-07 Irene Carver(1386)"/>
    <n v="1386"/>
    <d v="2015-03-07T00:00:00"/>
    <x v="50"/>
    <n v="52.93"/>
    <s v="www"/>
    <d v="2015-03-07T12:46:26"/>
    <x v="14"/>
  </r>
  <r>
    <s v="0 Original"/>
    <s v="2015-03-07 Martin Dunlap(578)"/>
    <n v="578"/>
    <d v="2015-03-07T00:00:00"/>
    <x v="20"/>
    <n v="29.96"/>
    <s v="www"/>
    <d v="2015-03-07T15:42:00"/>
    <x v="14"/>
  </r>
  <r>
    <s v="0 Original"/>
    <s v="2015-03-07 Harrison Klein(1490)"/>
    <n v="1490"/>
    <d v="2015-03-07T00:00:00"/>
    <x v="37"/>
    <n v="61.92"/>
    <s v="www"/>
    <d v="2015-03-07T15:45:27"/>
    <x v="14"/>
  </r>
  <r>
    <s v="0 Original"/>
    <s v="2015-03-08 Shelly Bridges(1366)"/>
    <n v="1366"/>
    <d v="2015-03-08T00:00:00"/>
    <x v="79"/>
    <n v="42.95"/>
    <s v="www"/>
    <d v="2015-03-08T05:46:27"/>
    <x v="14"/>
  </r>
  <r>
    <s v="0 Original"/>
    <s v="2015-03-08 Mary Moore(131)"/>
    <n v="131"/>
    <d v="2015-03-08T00:00:00"/>
    <x v="56"/>
    <n v="11.98"/>
    <s v="www"/>
    <d v="2015-03-08T09:23:23"/>
    <x v="14"/>
  </r>
  <r>
    <s v="0 Original"/>
    <s v="2015-03-08 Harrison Klein(1234)"/>
    <n v="1234"/>
    <d v="2015-03-08T00:00:00"/>
    <x v="37"/>
    <n v="27.96"/>
    <s v="www"/>
    <d v="2015-03-08T10:43:16"/>
    <x v="14"/>
  </r>
  <r>
    <s v="0 Original"/>
    <s v="2015-03-08 Madeline Reynolds(410)"/>
    <n v="410"/>
    <d v="2015-03-08T00:00:00"/>
    <x v="13"/>
    <n v="20.97"/>
    <s v="www"/>
    <d v="2015-03-08T12:33:42"/>
    <x v="14"/>
  </r>
  <r>
    <s v="0 Original"/>
    <s v="2015-03-08 Bernard Cash(1071)"/>
    <n v="1071"/>
    <d v="2015-03-08T00:00:00"/>
    <x v="43"/>
    <n v="21.97"/>
    <s v="www"/>
    <d v="2015-03-08T15:04:36"/>
    <x v="14"/>
  </r>
  <r>
    <s v="0 Original"/>
    <s v="2015-03-08 Rhonda Curtis(1447)"/>
    <n v="1447"/>
    <d v="2015-03-08T00:00:00"/>
    <x v="15"/>
    <n v="5.99"/>
    <s v="www"/>
    <d v="2015-03-08T15:29:34"/>
    <x v="14"/>
  </r>
  <r>
    <s v="0 Original"/>
    <s v="2015-03-08 Zeus Trujillo(270)"/>
    <n v="270"/>
    <d v="2015-03-08T00:00:00"/>
    <x v="5"/>
    <n v="27.96"/>
    <s v="www"/>
    <d v="2015-03-08T15:30:53"/>
    <x v="14"/>
  </r>
  <r>
    <s v="0 Original"/>
    <s v="2015-03-08 Maile Torres(1369)"/>
    <n v="1369"/>
    <d v="2015-03-08T00:00:00"/>
    <x v="51"/>
    <n v="39.950000000000003"/>
    <s v="www"/>
    <d v="2015-03-08T15:36:12"/>
    <x v="14"/>
  </r>
  <r>
    <s v="0 Original"/>
    <s v="2015-03-08 Aristotle Avery(582)"/>
    <n v="582"/>
    <d v="2015-03-08T00:00:00"/>
    <x v="14"/>
    <n v="67.92"/>
    <s v="www"/>
    <d v="2015-03-08T21:15:38"/>
    <x v="14"/>
  </r>
  <r>
    <s v="0 Original"/>
    <s v="2015-03-08 Armando Le(1381)"/>
    <n v="1381"/>
    <d v="2015-03-08T00:00:00"/>
    <x v="61"/>
    <n v="22.97"/>
    <s v="www"/>
    <d v="2015-03-08T22:24:54"/>
    <x v="14"/>
  </r>
  <r>
    <s v="0 Original"/>
    <s v="2015-03-09 Lionel Vargas(1279)"/>
    <n v="1279"/>
    <d v="2015-03-09T00:00:00"/>
    <x v="33"/>
    <n v="28.95"/>
    <s v="www"/>
    <d v="2015-03-09T08:14:38"/>
    <x v="14"/>
  </r>
  <r>
    <s v="0 Original"/>
    <s v="2015-03-09 Morgan Hoffman(1379)"/>
    <n v="1379"/>
    <d v="2015-03-09T00:00:00"/>
    <x v="39"/>
    <n v="14.98"/>
    <s v="www"/>
    <d v="2015-03-09T11:43:09"/>
    <x v="14"/>
  </r>
  <r>
    <s v="0 Original"/>
    <s v="2015-03-09 Angelica Ortiz(1334)"/>
    <n v="1334"/>
    <d v="2015-03-09T00:00:00"/>
    <x v="17"/>
    <n v="98.87"/>
    <s v="www"/>
    <d v="2015-03-09T12:04:22"/>
    <x v="14"/>
  </r>
  <r>
    <s v="0 Original"/>
    <s v="2015-03-09 Lillian Larsen(486)"/>
    <n v="486"/>
    <d v="2015-03-09T00:00:00"/>
    <x v="41"/>
    <n v="22.97"/>
    <s v="www"/>
    <d v="2015-03-09T20:40:18"/>
    <x v="14"/>
  </r>
  <r>
    <s v="0 Original"/>
    <s v="2015-03-11 Stuart Vega(1392)"/>
    <n v="1392"/>
    <d v="2015-03-11T00:00:00"/>
    <x v="3"/>
    <n v="43.93"/>
    <s v="www"/>
    <d v="2015-03-11T10:20:38"/>
    <x v="14"/>
  </r>
  <r>
    <s v="0 Original"/>
    <s v="2015-03-11 Hayley Foster(501)"/>
    <n v="501"/>
    <d v="2015-03-11T00:00:00"/>
    <x v="67"/>
    <n v="11.98"/>
    <s v="www"/>
    <d v="2015-03-11T15:47:43"/>
    <x v="14"/>
  </r>
  <r>
    <s v="0 Original"/>
    <s v="2015-03-11 Marny Boyer(1315)"/>
    <n v="1315"/>
    <d v="2015-03-11T00:00:00"/>
    <x v="87"/>
    <n v="4.99"/>
    <s v="www"/>
    <d v="2015-03-11T17:56:59"/>
    <x v="14"/>
  </r>
  <r>
    <s v="0 Original"/>
    <s v="2015-03-11 Nayda Shields(778)"/>
    <n v="778"/>
    <d v="2015-03-11T00:00:00"/>
    <x v="11"/>
    <n v="9.98"/>
    <s v="www"/>
    <d v="2015-03-11T22:33:59"/>
    <x v="14"/>
  </r>
  <r>
    <s v="0 Original"/>
    <s v="2015-03-11 Lionel Vargas(1278)"/>
    <n v="1278"/>
    <d v="2015-03-11T00:00:00"/>
    <x v="33"/>
    <n v="49.93"/>
    <s v="www"/>
    <d v="2015-03-11T22:54:42"/>
    <x v="14"/>
  </r>
  <r>
    <s v="0 Original"/>
    <s v="2015-03-12 Lillian Larsen(1307)"/>
    <n v="1307"/>
    <d v="2015-03-12T00:00:00"/>
    <x v="41"/>
    <n v="34.950000000000003"/>
    <s v="www"/>
    <d v="2015-03-12T04:13:50"/>
    <x v="14"/>
  </r>
  <r>
    <s v="0 Original"/>
    <s v="2015-03-12 Irene Carver(1405)"/>
    <n v="1405"/>
    <d v="2015-03-12T00:00:00"/>
    <x v="50"/>
    <n v="25.97"/>
    <s v="www"/>
    <d v="2015-03-12T05:13:02"/>
    <x v="14"/>
  </r>
  <r>
    <s v="0 Original"/>
    <s v="2015-03-12 Uta Workman(274)"/>
    <n v="274"/>
    <d v="2015-03-12T00:00:00"/>
    <x v="18"/>
    <n v="79.900000000000006"/>
    <s v="www"/>
    <d v="2015-03-12T07:19:59"/>
    <x v="14"/>
  </r>
  <r>
    <s v="0 Original"/>
    <s v="2015-03-12 Anne Slater(1205)"/>
    <n v="1205"/>
    <d v="2015-03-12T00:00:00"/>
    <x v="35"/>
    <n v="43.95"/>
    <s v="www"/>
    <d v="2015-03-12T19:25:28"/>
    <x v="14"/>
  </r>
  <r>
    <s v="0 Original"/>
    <s v="2015-03-13 Armando Le(1495)"/>
    <n v="1495"/>
    <d v="2015-03-13T00:00:00"/>
    <x v="61"/>
    <n v="70.900000000000006"/>
    <s v="www"/>
    <d v="2015-03-13T06:57:29"/>
    <x v="14"/>
  </r>
  <r>
    <s v="0 Original"/>
    <s v="2015-03-13 Prescott Nelson(1043)"/>
    <n v="1043"/>
    <d v="2015-03-13T00:00:00"/>
    <x v="2"/>
    <n v="69.91"/>
    <s v="www"/>
    <d v="2015-03-13T12:18:17"/>
    <x v="14"/>
  </r>
  <r>
    <s v="0 Original"/>
    <s v="2015-03-13 Anne Slater(1478)"/>
    <n v="1478"/>
    <d v="2015-03-13T00:00:00"/>
    <x v="35"/>
    <n v="8.99"/>
    <s v="www"/>
    <d v="2015-03-13T16:54:40"/>
    <x v="14"/>
  </r>
  <r>
    <s v="0 Original"/>
    <s v="2015-03-13 Irene Carver(1382)"/>
    <n v="1382"/>
    <d v="2015-03-13T00:00:00"/>
    <x v="50"/>
    <n v="98.87"/>
    <s v="www"/>
    <d v="2015-03-13T21:43:34"/>
    <x v="14"/>
  </r>
  <r>
    <s v="0 Original"/>
    <s v="2015-03-14 Tashya Osborne(1339)"/>
    <n v="1339"/>
    <d v="2015-03-14T00:00:00"/>
    <x v="82"/>
    <n v="79.900000000000006"/>
    <s v="www"/>
    <d v="2015-03-14T00:14:54"/>
    <x v="14"/>
  </r>
  <r>
    <s v="0 Original"/>
    <s v="2015-03-14 Cameron Burton(1227)"/>
    <n v="1227"/>
    <d v="2015-03-14T00:00:00"/>
    <x v="49"/>
    <n v="20.97"/>
    <s v="www"/>
    <d v="2015-03-14T03:12:05"/>
    <x v="14"/>
  </r>
  <r>
    <s v="0 Original"/>
    <s v="2015-03-14 Bernard Cash(950)"/>
    <n v="950"/>
    <d v="2015-03-14T00:00:00"/>
    <x v="43"/>
    <n v="7.99"/>
    <s v="www"/>
    <d v="2015-03-14T14:28:51"/>
    <x v="14"/>
  </r>
  <r>
    <s v="0 Original"/>
    <s v="2015-03-14 Quinn Ewing(1471)"/>
    <n v="1471"/>
    <d v="2015-03-14T00:00:00"/>
    <x v="90"/>
    <n v="15.98"/>
    <s v="www"/>
    <d v="2015-03-14T15:28:03"/>
    <x v="14"/>
  </r>
  <r>
    <s v="0 Original"/>
    <s v="2015-03-14 Jescie Peck(134)"/>
    <n v="134"/>
    <d v="2015-03-14T00:00:00"/>
    <x v="83"/>
    <n v="34.950000000000003"/>
    <s v="www"/>
    <d v="2015-03-14T21:37:18"/>
    <x v="14"/>
  </r>
  <r>
    <s v="0 Original"/>
    <s v="2015-03-14 Stuart Vega(1264)"/>
    <n v="1264"/>
    <d v="2015-03-14T00:00:00"/>
    <x v="3"/>
    <n v="15.98"/>
    <s v="www"/>
    <d v="2015-03-14T22:22:14"/>
    <x v="14"/>
  </r>
  <r>
    <s v="0 Original"/>
    <s v="2015-03-15 Lillian Larsen(1476)"/>
    <n v="1476"/>
    <d v="2015-03-15T00:00:00"/>
    <x v="41"/>
    <n v="31.96"/>
    <s v="www"/>
    <d v="2015-03-15T05:57:22"/>
    <x v="14"/>
  </r>
  <r>
    <s v="0 Original"/>
    <s v="2015-03-15 Tate Lowery(157)"/>
    <n v="157"/>
    <d v="2015-03-15T00:00:00"/>
    <x v="57"/>
    <n v="17.98"/>
    <s v="www"/>
    <d v="2015-03-15T07:04:37"/>
    <x v="14"/>
  </r>
  <r>
    <s v="0 Original"/>
    <s v="2015-03-15 Madeline Reynolds(891)"/>
    <n v="891"/>
    <d v="2015-03-15T00:00:00"/>
    <x v="13"/>
    <n v="18.97"/>
    <s v="www"/>
    <d v="2015-03-15T12:35:38"/>
    <x v="14"/>
  </r>
  <r>
    <s v="0 Original"/>
    <s v="2015-03-15 Shelly Bridges(191)"/>
    <n v="191"/>
    <d v="2015-03-15T00:00:00"/>
    <x v="79"/>
    <n v="5.99"/>
    <s v="www"/>
    <d v="2015-03-15T16:17:07"/>
    <x v="14"/>
  </r>
  <r>
    <s v="0 Original"/>
    <s v="2015-03-16 Ivy Livingston(1452)"/>
    <n v="1452"/>
    <d v="2015-03-16T00:00:00"/>
    <x v="54"/>
    <n v="38.950000000000003"/>
    <s v="www"/>
    <d v="2015-03-16T04:02:08"/>
    <x v="14"/>
  </r>
  <r>
    <s v="0 Original"/>
    <s v="2015-03-16 Zeus Trujillo(262)"/>
    <n v="262"/>
    <d v="2015-03-16T00:00:00"/>
    <x v="5"/>
    <n v="22.97"/>
    <s v="www"/>
    <d v="2015-03-16T07:40:10"/>
    <x v="14"/>
  </r>
  <r>
    <s v="0 Original"/>
    <s v="2015-03-16 Indira Suarez(155)"/>
    <n v="155"/>
    <d v="2015-03-16T00:00:00"/>
    <x v="24"/>
    <n v="23.96"/>
    <s v="www"/>
    <d v="2015-03-16T08:32:01"/>
    <x v="14"/>
  </r>
  <r>
    <s v="0 Original"/>
    <s v="2015-03-16 Irene Carver(1203)"/>
    <n v="1203"/>
    <d v="2015-03-16T00:00:00"/>
    <x v="50"/>
    <n v="23.97"/>
    <s v="www"/>
    <d v="2015-03-16T09:04:47"/>
    <x v="14"/>
  </r>
  <r>
    <s v="0 Original"/>
    <s v="2015-03-16 Yuri Oneal(1329)"/>
    <n v="1329"/>
    <d v="2015-03-16T00:00:00"/>
    <x v="88"/>
    <n v="32.96"/>
    <s v="www"/>
    <d v="2015-03-16T12:57:59"/>
    <x v="14"/>
  </r>
  <r>
    <s v="0 Original"/>
    <s v="2015-03-16 Harrison Klein(1311)"/>
    <n v="1311"/>
    <d v="2015-03-16T00:00:00"/>
    <x v="37"/>
    <n v="26.97"/>
    <s v="www"/>
    <d v="2015-03-16T16:26:08"/>
    <x v="14"/>
  </r>
  <r>
    <s v="0 Original"/>
    <s v="2015-03-16 Angelica Ortiz(509)"/>
    <n v="509"/>
    <d v="2015-03-16T00:00:00"/>
    <x v="17"/>
    <n v="40.950000000000003"/>
    <s v="www"/>
    <d v="2015-03-16T16:43:45"/>
    <x v="14"/>
  </r>
  <r>
    <s v="0 Original"/>
    <s v="2015-03-16 Anne Slater(1233)"/>
    <n v="1233"/>
    <d v="2015-03-16T00:00:00"/>
    <x v="35"/>
    <n v="44.93"/>
    <s v="www"/>
    <d v="2015-03-16T22:20:48"/>
    <x v="14"/>
  </r>
  <r>
    <s v="0 Original"/>
    <s v="2015-03-17 Marny Boyer(1293)"/>
    <n v="1293"/>
    <d v="2015-03-17T00:00:00"/>
    <x v="87"/>
    <n v="40.950000000000003"/>
    <s v="www"/>
    <d v="2015-03-17T02:11:31"/>
    <x v="14"/>
  </r>
  <r>
    <s v="0 Original"/>
    <s v="2015-03-17 Ora Mann(1384)"/>
    <n v="1384"/>
    <d v="2015-03-17T00:00:00"/>
    <x v="27"/>
    <n v="18.98"/>
    <s v="www"/>
    <d v="2015-03-17T04:37:50"/>
    <x v="14"/>
  </r>
  <r>
    <s v="0 Original"/>
    <s v="2015-03-17 Rhonda Curtis(1321)"/>
    <n v="1321"/>
    <d v="2015-03-17T00:00:00"/>
    <x v="15"/>
    <n v="22.97"/>
    <s v="www"/>
    <d v="2015-03-17T08:34:07"/>
    <x v="14"/>
  </r>
  <r>
    <s v="0 Original"/>
    <s v="2015-03-17 Wade Coleman(1440)"/>
    <n v="1440"/>
    <d v="2015-03-17T00:00:00"/>
    <x v="4"/>
    <n v="18.98"/>
    <s v="www"/>
    <d v="2015-03-17T11:31:04"/>
    <x v="14"/>
  </r>
  <r>
    <s v="0 Original"/>
    <s v="2015-03-19 Ivy Livingston(1342)"/>
    <n v="1342"/>
    <d v="2015-03-19T00:00:00"/>
    <x v="54"/>
    <n v="18.97"/>
    <s v="www"/>
    <d v="2015-03-19T02:03:54"/>
    <x v="14"/>
  </r>
  <r>
    <s v="0 Original"/>
    <s v="2015-03-19 Armando Le(1488)"/>
    <n v="1488"/>
    <d v="2015-03-19T00:00:00"/>
    <x v="61"/>
    <n v="82.89"/>
    <s v="www"/>
    <d v="2015-03-19T06:34:26"/>
    <x v="14"/>
  </r>
  <r>
    <s v="0 Original"/>
    <s v="2015-03-19 Lillian Larsen(1362)"/>
    <n v="1362"/>
    <d v="2015-03-19T00:00:00"/>
    <x v="41"/>
    <n v="26.97"/>
    <s v="www"/>
    <d v="2015-03-19T07:36:44"/>
    <x v="14"/>
  </r>
  <r>
    <s v="0 Original"/>
    <s v="2015-03-19 John Drake(148)"/>
    <n v="148"/>
    <d v="2015-03-19T00:00:00"/>
    <x v="9"/>
    <n v="22.97"/>
    <s v="www"/>
    <d v="2015-03-19T10:33:47"/>
    <x v="14"/>
  </r>
  <r>
    <s v="0 Original"/>
    <s v="2015-03-19 Wade Coleman(1421)"/>
    <n v="1421"/>
    <d v="2015-03-19T00:00:00"/>
    <x v="4"/>
    <n v="31.96"/>
    <s v="www"/>
    <d v="2015-03-19T12:50:07"/>
    <x v="14"/>
  </r>
  <r>
    <s v="0 Original"/>
    <s v="2015-03-19 Belle Short(1091)"/>
    <n v="1091"/>
    <d v="2015-03-19T00:00:00"/>
    <x v="25"/>
    <n v="52.93"/>
    <s v="www"/>
    <d v="2015-03-19T14:14:29"/>
    <x v="14"/>
  </r>
  <r>
    <s v="0 Original"/>
    <s v="2015-03-19 Tashya Osborne(1340)"/>
    <n v="1340"/>
    <d v="2015-03-19T00:00:00"/>
    <x v="82"/>
    <n v="9.98"/>
    <s v="www"/>
    <d v="2015-03-19T18:07:08"/>
    <x v="14"/>
  </r>
  <r>
    <s v="0 Original"/>
    <s v="2015-03-19 Iona Simpson(1286)"/>
    <n v="1286"/>
    <d v="2015-03-19T00:00:00"/>
    <x v="1"/>
    <n v="13.98"/>
    <s v="www"/>
    <d v="2015-03-19T20:43:52"/>
    <x v="14"/>
  </r>
  <r>
    <s v="0 Original"/>
    <s v="2015-03-19 Lionel Vargas(1204)"/>
    <n v="1204"/>
    <d v="2015-03-19T00:00:00"/>
    <x v="33"/>
    <n v="41.94"/>
    <s v="www"/>
    <d v="2015-03-19T21:39:59"/>
    <x v="14"/>
  </r>
  <r>
    <s v="0 Original"/>
    <s v="2015-03-20 Quinn Ewing(1240)"/>
    <n v="1240"/>
    <d v="2015-03-20T00:00:00"/>
    <x v="90"/>
    <n v="13.98"/>
    <s v="www"/>
    <d v="2015-03-20T15:19:17"/>
    <x v="14"/>
  </r>
  <r>
    <s v="0 Original"/>
    <s v="2015-03-20 Ferris Erickson(408)"/>
    <n v="408"/>
    <d v="2015-03-20T00:00:00"/>
    <x v="76"/>
    <n v="16.97"/>
    <s v="www"/>
    <d v="2015-03-20T17:36:32"/>
    <x v="14"/>
  </r>
  <r>
    <s v="0 Original"/>
    <s v="2015-03-21 Marny Boyer(1455)"/>
    <n v="1455"/>
    <d v="2015-03-21T00:00:00"/>
    <x v="87"/>
    <n v="25.97"/>
    <s v="www"/>
    <d v="2015-03-21T17:05:41"/>
    <x v="14"/>
  </r>
  <r>
    <s v="0 Original"/>
    <s v="2015-03-22 Morgan Hoffman(1313)"/>
    <n v="1313"/>
    <d v="2015-03-22T00:00:00"/>
    <x v="39"/>
    <n v="17.98"/>
    <s v="www"/>
    <d v="2015-03-22T04:04:28"/>
    <x v="14"/>
  </r>
  <r>
    <s v="0 Original"/>
    <s v="2015-03-22 Lionel Vargas(1288)"/>
    <n v="1288"/>
    <d v="2015-03-22T00:00:00"/>
    <x v="33"/>
    <n v="14.98"/>
    <s v="www"/>
    <d v="2015-03-22T04:56:01"/>
    <x v="14"/>
  </r>
  <r>
    <s v="0 Original"/>
    <s v="2015-03-22 Ora Mann(1223)"/>
    <n v="1223"/>
    <d v="2015-03-22T00:00:00"/>
    <x v="27"/>
    <n v="11.98"/>
    <s v="www"/>
    <d v="2015-03-22T05:27:01"/>
    <x v="14"/>
  </r>
  <r>
    <s v="0 Original"/>
    <s v="2015-03-22 Cameron Rivera(1133)"/>
    <n v="1133"/>
    <d v="2015-03-22T00:00:00"/>
    <x v="16"/>
    <n v="79.900000000000006"/>
    <s v="www"/>
    <d v="2015-03-22T07:34:52"/>
    <x v="14"/>
  </r>
  <r>
    <s v="0 Original"/>
    <s v="2015-03-22 Karleigh Jacobson(1274)"/>
    <n v="1274"/>
    <d v="2015-03-22T00:00:00"/>
    <x v="84"/>
    <n v="43.94"/>
    <s v="www"/>
    <d v="2015-03-22T14:43:45"/>
    <x v="14"/>
  </r>
  <r>
    <s v="0 Original"/>
    <s v="2015-03-23 Ivy Livingston(1396)"/>
    <n v="1396"/>
    <d v="2015-03-23T00:00:00"/>
    <x v="54"/>
    <n v="19.97"/>
    <s v="www"/>
    <d v="2015-03-23T06:09:11"/>
    <x v="14"/>
  </r>
  <r>
    <s v="0 Original"/>
    <s v="2015-03-23 Claudia Crane(328)"/>
    <n v="328"/>
    <d v="2015-03-23T00:00:00"/>
    <x v="55"/>
    <n v="6.99"/>
    <s v="www"/>
    <d v="2015-03-23T07:06:33"/>
    <x v="14"/>
  </r>
  <r>
    <s v="0 Original"/>
    <s v="2015-03-23 Lionel Vargas(1250)"/>
    <n v="1250"/>
    <d v="2015-03-23T00:00:00"/>
    <x v="33"/>
    <n v="42.95"/>
    <s v="www"/>
    <d v="2015-03-23T16:51:03"/>
    <x v="14"/>
  </r>
  <r>
    <s v="0 Original"/>
    <s v="2015-03-23 Stacey Kirk(1465)"/>
    <n v="1465"/>
    <d v="2015-03-23T00:00:00"/>
    <x v="26"/>
    <n v="56.93"/>
    <s v="www"/>
    <d v="2015-03-23T19:23:32"/>
    <x v="14"/>
  </r>
  <r>
    <s v="0 Original"/>
    <s v="2015-03-23 Melvin Finch(29)"/>
    <n v="29"/>
    <d v="2015-03-23T00:00:00"/>
    <x v="92"/>
    <n v="19.97"/>
    <s v="www"/>
    <d v="2015-03-23T19:54:52"/>
    <x v="14"/>
  </r>
  <r>
    <s v="0 Original"/>
    <s v="2015-03-24 Shelly Bridges(1494)"/>
    <n v="1494"/>
    <d v="2015-03-24T00:00:00"/>
    <x v="79"/>
    <n v="5.99"/>
    <s v="www"/>
    <d v="2015-03-24T02:12:33"/>
    <x v="14"/>
  </r>
  <r>
    <s v="0 Original"/>
    <s v="2015-03-24 Yuri Oneal(1395)"/>
    <n v="1395"/>
    <d v="2015-03-24T00:00:00"/>
    <x v="88"/>
    <n v="34.96"/>
    <s v="www"/>
    <d v="2015-03-24T04:48:25"/>
    <x v="14"/>
  </r>
  <r>
    <s v="0 Original"/>
    <s v="2015-03-24 Belle Short(979)"/>
    <n v="979"/>
    <d v="2015-03-24T00:00:00"/>
    <x v="25"/>
    <n v="39.96"/>
    <s v="www"/>
    <d v="2015-03-24T10:35:17"/>
    <x v="14"/>
  </r>
  <r>
    <s v="0 Original"/>
    <s v="2015-03-24 Shelly Bridges(1208)"/>
    <n v="1208"/>
    <d v="2015-03-24T00:00:00"/>
    <x v="79"/>
    <n v="25.96"/>
    <s v="www"/>
    <d v="2015-03-24T18:03:06"/>
    <x v="14"/>
  </r>
  <r>
    <s v="0 Original"/>
    <s v="2015-03-24 Nayda Shields(569)"/>
    <n v="569"/>
    <d v="2015-03-24T00:00:00"/>
    <x v="11"/>
    <n v="54.94"/>
    <s v="www"/>
    <d v="2015-03-24T23:52:13"/>
    <x v="14"/>
  </r>
  <r>
    <s v="0 Original"/>
    <s v="2015-03-25 Cherokee Tanner(1244)"/>
    <n v="1244"/>
    <d v="2015-03-25T00:00:00"/>
    <x v="86"/>
    <n v="11.98"/>
    <s v="www"/>
    <d v="2015-03-25T09:40:00"/>
    <x v="14"/>
  </r>
  <r>
    <s v="0 Original"/>
    <s v="2015-03-26 Bruce Woods(1410)"/>
    <n v="1410"/>
    <d v="2015-03-26T00:00:00"/>
    <x v="85"/>
    <n v="26.97"/>
    <s v="www"/>
    <d v="2015-03-26T09:34:33"/>
    <x v="14"/>
  </r>
  <r>
    <s v="0 Original"/>
    <s v="2015-03-26 Donovan Gomez(1122)"/>
    <n v="1122"/>
    <d v="2015-03-26T00:00:00"/>
    <x v="7"/>
    <n v="15.98"/>
    <s v="www"/>
    <d v="2015-03-26T12:15:12"/>
    <x v="14"/>
  </r>
  <r>
    <s v="0 Original"/>
    <s v="2015-03-26 Yuri Oneal(1338)"/>
    <n v="1338"/>
    <d v="2015-03-26T00:00:00"/>
    <x v="88"/>
    <n v="67.92"/>
    <s v="www"/>
    <d v="2015-03-26T19:17:27"/>
    <x v="14"/>
  </r>
  <r>
    <s v="0 Original"/>
    <s v="2015-03-26 Cameron Rivera(1198)"/>
    <n v="1198"/>
    <d v="2015-03-26T00:00:00"/>
    <x v="16"/>
    <n v="26.96"/>
    <s v="www"/>
    <d v="2015-03-26T19:54:58"/>
    <x v="14"/>
  </r>
  <r>
    <s v="0 Original"/>
    <s v="2015-03-26 Christine Medina(1061)"/>
    <n v="1061"/>
    <d v="2015-03-26T00:00:00"/>
    <x v="8"/>
    <n v="24.97"/>
    <s v="www"/>
    <d v="2015-03-26T20:58:35"/>
    <x v="14"/>
  </r>
  <r>
    <s v="0 Original"/>
    <s v="2015-03-26 Cherokee Tanner(1349)"/>
    <n v="1349"/>
    <d v="2015-03-26T00:00:00"/>
    <x v="86"/>
    <n v="23.97"/>
    <s v="www"/>
    <d v="2015-03-26T23:05:06"/>
    <x v="14"/>
  </r>
  <r>
    <s v="0 Original"/>
    <s v="2015-03-27 Stuart Vega(1354)"/>
    <n v="1354"/>
    <d v="2015-03-27T00:00:00"/>
    <x v="3"/>
    <n v="59.92"/>
    <s v="www"/>
    <d v="2015-03-27T01:54:46"/>
    <x v="14"/>
  </r>
  <r>
    <s v="0 Original"/>
    <s v="2015-03-27 Cherokee Tanner(1324)"/>
    <n v="1324"/>
    <d v="2015-03-27T00:00:00"/>
    <x v="86"/>
    <n v="13.98"/>
    <s v="www"/>
    <d v="2015-03-27T08:07:13"/>
    <x v="14"/>
  </r>
  <r>
    <s v="0 Original"/>
    <s v="2015-03-27 Anne Slater(1423)"/>
    <n v="1423"/>
    <d v="2015-03-27T00:00:00"/>
    <x v="35"/>
    <n v="65.92"/>
    <s v="www"/>
    <d v="2015-03-27T08:22:17"/>
    <x v="14"/>
  </r>
  <r>
    <s v="0 Original"/>
    <s v="2015-03-27 Wade Coleman(1289)"/>
    <n v="1289"/>
    <d v="2015-03-27T00:00:00"/>
    <x v="4"/>
    <n v="83.9"/>
    <s v="www"/>
    <d v="2015-03-27T08:41:24"/>
    <x v="14"/>
  </r>
  <r>
    <s v="0 Original"/>
    <s v="2015-03-27 Jonah Griffin(1359)"/>
    <n v="1359"/>
    <d v="2015-03-27T00:00:00"/>
    <x v="71"/>
    <n v="52.93"/>
    <s v="www"/>
    <d v="2015-03-27T12:23:21"/>
    <x v="14"/>
  </r>
  <r>
    <s v="0 Original"/>
    <s v="2015-03-27 Dale Fry(193)"/>
    <n v="193"/>
    <d v="2015-03-27T00:00:00"/>
    <x v="66"/>
    <n v="18.98"/>
    <s v="www"/>
    <d v="2015-03-27T15:07:11"/>
    <x v="14"/>
  </r>
  <r>
    <s v="0 Original"/>
    <s v="2015-03-27 Morgan Hoffman(491)"/>
    <n v="491"/>
    <d v="2015-03-27T00:00:00"/>
    <x v="39"/>
    <n v="27.96"/>
    <s v="www"/>
    <d v="2015-03-27T22:23:50"/>
    <x v="14"/>
  </r>
  <r>
    <s v="0 Original"/>
    <s v="2015-03-27 Karleigh Jacobson(1358)"/>
    <n v="1358"/>
    <d v="2015-03-27T00:00:00"/>
    <x v="84"/>
    <n v="14.98"/>
    <s v="www"/>
    <d v="2015-03-27T23:59:20"/>
    <x v="14"/>
  </r>
  <r>
    <s v="0 Original"/>
    <s v="2015-03-28 Maile Torres(1407)"/>
    <n v="1407"/>
    <d v="2015-03-28T00:00:00"/>
    <x v="51"/>
    <n v="44.94"/>
    <s v="www"/>
    <d v="2015-03-28T01:18:39"/>
    <x v="14"/>
  </r>
  <r>
    <s v="0 Original"/>
    <s v="2015-03-28 Angelica Ortiz(1231)"/>
    <n v="1231"/>
    <d v="2015-03-28T00:00:00"/>
    <x v="17"/>
    <n v="9.99"/>
    <s v="www"/>
    <d v="2015-03-28T01:41:57"/>
    <x v="14"/>
  </r>
  <r>
    <s v="0 Original"/>
    <s v="2015-03-28 Jonah Griffin(1389)"/>
    <n v="1389"/>
    <d v="2015-03-28T00:00:00"/>
    <x v="71"/>
    <n v="48.93"/>
    <s v="www"/>
    <d v="2015-03-28T03:43:49"/>
    <x v="14"/>
  </r>
  <r>
    <s v="0 Original"/>
    <s v="2015-03-28 Stacey Kirk(299)"/>
    <n v="299"/>
    <d v="2015-03-28T00:00:00"/>
    <x v="26"/>
    <n v="60.93"/>
    <s v="www"/>
    <d v="2015-03-28T06:30:51"/>
    <x v="14"/>
  </r>
  <r>
    <s v="0 Original"/>
    <s v="2015-03-28 Cherokee Tanner(1348)"/>
    <n v="1348"/>
    <d v="2015-03-28T00:00:00"/>
    <x v="86"/>
    <n v="76.91"/>
    <s v="www"/>
    <d v="2015-03-28T08:24:03"/>
    <x v="14"/>
  </r>
  <r>
    <s v="0 Original"/>
    <s v="2015-03-28 Iona Simpson(471)"/>
    <n v="471"/>
    <d v="2015-03-28T00:00:00"/>
    <x v="1"/>
    <n v="36.96"/>
    <s v="www"/>
    <d v="2015-03-28T13:38:43"/>
    <x v="14"/>
  </r>
  <r>
    <s v="0 Original"/>
    <s v="2015-03-28 Irene Carver(1403)"/>
    <n v="1403"/>
    <d v="2015-03-28T00:00:00"/>
    <x v="50"/>
    <n v="15.98"/>
    <s v="www"/>
    <d v="2015-03-28T15:00:41"/>
    <x v="14"/>
  </r>
  <r>
    <s v="0 Original"/>
    <s v="2015-03-28 Irene Carver(1355)"/>
    <n v="1355"/>
    <d v="2015-03-28T00:00:00"/>
    <x v="50"/>
    <n v="17.98"/>
    <s v="www"/>
    <d v="2015-03-28T17:47:57"/>
    <x v="14"/>
  </r>
  <r>
    <s v="0 Original"/>
    <s v="2015-03-29 Cherokee Tanner(1219)"/>
    <n v="1219"/>
    <d v="2015-03-29T00:00:00"/>
    <x v="86"/>
    <n v="11.98"/>
    <s v="www"/>
    <d v="2015-03-29T05:20:58"/>
    <x v="14"/>
  </r>
  <r>
    <s v="0 Original"/>
    <s v="2015-03-29 Ora Mann(1170)"/>
    <n v="1170"/>
    <d v="2015-03-29T00:00:00"/>
    <x v="27"/>
    <n v="69.900000000000006"/>
    <s v="www"/>
    <d v="2015-03-29T05:32:29"/>
    <x v="14"/>
  </r>
  <r>
    <s v="0 Original"/>
    <s v="2015-03-29 Jonah Griffin(494)"/>
    <n v="494"/>
    <d v="2015-03-29T00:00:00"/>
    <x v="71"/>
    <n v="22.97"/>
    <s v="www"/>
    <d v="2015-03-29T06:32:17"/>
    <x v="14"/>
  </r>
  <r>
    <s v="0 Original"/>
    <s v="2015-03-29 Quinn Ewing(1284)"/>
    <n v="1284"/>
    <d v="2015-03-29T00:00:00"/>
    <x v="90"/>
    <n v="18.98"/>
    <s v="www"/>
    <d v="2015-03-29T06:55:47"/>
    <x v="14"/>
  </r>
  <r>
    <s v="0 Original"/>
    <s v="2015-03-29 Stacey Kirk(1325)"/>
    <n v="1325"/>
    <d v="2015-03-29T00:00:00"/>
    <x v="26"/>
    <n v="32.96"/>
    <s v="www"/>
    <d v="2015-03-29T13:56:23"/>
    <x v="14"/>
  </r>
  <r>
    <s v="0 Original"/>
    <s v="2015-03-29 Jonah Griffin(1377)"/>
    <n v="1377"/>
    <d v="2015-03-29T00:00:00"/>
    <x v="71"/>
    <n v="18.97"/>
    <s v="www"/>
    <d v="2015-03-29T17:10:59"/>
    <x v="14"/>
  </r>
  <r>
    <s v="0 Original"/>
    <s v="2015-03-29 Zorita Rutledge(1428)"/>
    <n v="1428"/>
    <d v="2015-03-29T00:00:00"/>
    <x v="74"/>
    <n v="6.99"/>
    <s v="www"/>
    <d v="2015-03-29T18:03:57"/>
    <x v="14"/>
  </r>
  <r>
    <s v="0 Original"/>
    <s v="2015-03-29 Anne Slater(192)"/>
    <n v="192"/>
    <d v="2015-03-29T00:00:00"/>
    <x v="35"/>
    <n v="27.96"/>
    <s v="www"/>
    <d v="2015-03-29T19:07:27"/>
    <x v="14"/>
  </r>
  <r>
    <s v="0 Original"/>
    <s v="2015-03-29 Tashya Osborne(1370)"/>
    <n v="1370"/>
    <d v="2015-03-29T00:00:00"/>
    <x v="82"/>
    <n v="21.96"/>
    <s v="www"/>
    <d v="2015-03-29T22:43:00"/>
    <x v="14"/>
  </r>
  <r>
    <s v="0 Original"/>
    <s v="2015-03-30 Madeline Reynolds(868)"/>
    <n v="868"/>
    <d v="2015-03-30T00:00:00"/>
    <x v="13"/>
    <n v="35.950000000000003"/>
    <s v="www"/>
    <d v="2015-03-30T00:42:50"/>
    <x v="14"/>
  </r>
  <r>
    <s v="0 Original"/>
    <s v="2015-03-30 Maile Torres(1326)"/>
    <n v="1326"/>
    <d v="2015-03-30T00:00:00"/>
    <x v="51"/>
    <n v="8.99"/>
    <s v="www"/>
    <d v="2015-03-30T22:46:34"/>
    <x v="14"/>
  </r>
  <r>
    <s v="0 Original"/>
    <s v="2015-03-31 Stuart Vega(1485)"/>
    <n v="1485"/>
    <d v="2015-03-31T00:00:00"/>
    <x v="3"/>
    <n v="46.94"/>
    <s v="www"/>
    <d v="2015-03-31T05:42:22"/>
    <x v="14"/>
  </r>
  <r>
    <s v="0 Original"/>
    <s v="2015-03-31 Uta Workman(315)"/>
    <n v="315"/>
    <d v="2015-03-31T00:00:00"/>
    <x v="18"/>
    <n v="15.97"/>
    <s v="www"/>
    <d v="2015-03-31T10:03:22"/>
    <x v="14"/>
  </r>
  <r>
    <s v="0 Original"/>
    <s v="2015-03-31 Ora Mann(1247)"/>
    <n v="1247"/>
    <d v="2015-03-31T00:00:00"/>
    <x v="27"/>
    <n v="20.97"/>
    <s v="www"/>
    <d v="2015-03-31T17:12:40"/>
    <x v="14"/>
  </r>
  <r>
    <s v="0 Original"/>
    <s v="2015-03-31 Wade Coleman(579)"/>
    <n v="579"/>
    <d v="2015-03-31T00:00:00"/>
    <x v="4"/>
    <n v="41.94"/>
    <s v="www"/>
    <d v="2015-03-31T20:21:38"/>
    <x v="14"/>
  </r>
  <r>
    <s v="0 Original"/>
    <s v="2015-03-31 Tashya Osborne(1303)"/>
    <n v="1303"/>
    <d v="2015-03-31T00:00:00"/>
    <x v="82"/>
    <n v="42.95"/>
    <s v="www"/>
    <d v="2015-03-31T22:35:34"/>
    <x v="14"/>
  </r>
  <r>
    <s v="0 Original"/>
    <s v="2015-04-01 Ivy Livingston(1445)"/>
    <n v="1445"/>
    <d v="2015-04-01T00:00:00"/>
    <x v="54"/>
    <n v="17.98"/>
    <s v="www"/>
    <d v="2015-04-01T06:06:50"/>
    <x v="15"/>
  </r>
  <r>
    <s v="0 Original"/>
    <s v="2015-04-01 Serina Booker(440)"/>
    <n v="440"/>
    <d v="2015-04-01T00:00:00"/>
    <x v="60"/>
    <n v="50.93"/>
    <s v="www"/>
    <d v="2015-04-01T13:37:32"/>
    <x v="15"/>
  </r>
  <r>
    <s v="0 Original"/>
    <s v="2015-04-02 Cameron Rivera(915)"/>
    <n v="915"/>
    <d v="2015-04-02T00:00:00"/>
    <x v="16"/>
    <n v="21.97"/>
    <s v="www"/>
    <d v="2015-04-02T05:26:50"/>
    <x v="15"/>
  </r>
  <r>
    <s v="0 Original"/>
    <s v="2015-04-02 Rhonda Curtis(1499)"/>
    <n v="1499"/>
    <d v="2015-04-02T00:00:00"/>
    <x v="15"/>
    <n v="31.96"/>
    <s v="www"/>
    <d v="2015-04-02T11:40:03"/>
    <x v="15"/>
  </r>
  <r>
    <s v="0 Original"/>
    <s v="2015-04-02 Quinn Ewing(1425)"/>
    <n v="1425"/>
    <d v="2015-04-02T00:00:00"/>
    <x v="90"/>
    <n v="18.98"/>
    <s v="www"/>
    <d v="2015-04-02T14:55:27"/>
    <x v="15"/>
  </r>
  <r>
    <s v="0 Original"/>
    <s v="2015-04-02 Cherokee Tanner(1243)"/>
    <n v="1243"/>
    <d v="2015-04-02T00:00:00"/>
    <x v="86"/>
    <n v="4.99"/>
    <s v="www"/>
    <d v="2015-04-02T15:21:37"/>
    <x v="15"/>
  </r>
  <r>
    <s v="0 Original"/>
    <s v="2015-04-02 John Drake(705)"/>
    <n v="705"/>
    <d v="2015-04-02T00:00:00"/>
    <x v="9"/>
    <n v="23.97"/>
    <s v="www"/>
    <d v="2015-04-02T20:58:57"/>
    <x v="15"/>
  </r>
  <r>
    <s v="0 Original"/>
    <s v="2015-04-02 Anne Slater(1434)"/>
    <n v="1434"/>
    <d v="2015-04-02T00:00:00"/>
    <x v="35"/>
    <n v="12.98"/>
    <s v="www"/>
    <d v="2015-04-02T23:07:33"/>
    <x v="15"/>
  </r>
  <r>
    <s v="0 Original"/>
    <s v="2015-04-03 Marny Boyer(1456)"/>
    <n v="1456"/>
    <d v="2015-04-03T00:00:00"/>
    <x v="87"/>
    <n v="26.97"/>
    <s v="www"/>
    <d v="2015-04-03T06:21:32"/>
    <x v="15"/>
  </r>
  <r>
    <s v="0 Original"/>
    <s v="2015-04-03 Iona Simpson(1438)"/>
    <n v="1438"/>
    <d v="2015-04-03T00:00:00"/>
    <x v="1"/>
    <n v="51.94"/>
    <s v="www"/>
    <d v="2015-04-03T06:56:55"/>
    <x v="15"/>
  </r>
  <r>
    <s v="0 Original"/>
    <s v="2015-04-03 Maile Torres(1448)"/>
    <n v="1448"/>
    <d v="2015-04-03T00:00:00"/>
    <x v="51"/>
    <n v="13.98"/>
    <s v="www"/>
    <d v="2015-04-03T12:59:02"/>
    <x v="15"/>
  </r>
  <r>
    <s v="0 Original"/>
    <s v="2015-04-03 Prescott Nelson(1464)"/>
    <n v="1464"/>
    <d v="2015-04-03T00:00:00"/>
    <x v="2"/>
    <n v="8.99"/>
    <s v="www"/>
    <d v="2015-04-03T18:32:43"/>
    <x v="15"/>
  </r>
  <r>
    <s v="0 Original"/>
    <s v="2015-04-03 Bernard Cash(753)"/>
    <n v="753"/>
    <d v="2015-04-03T00:00:00"/>
    <x v="43"/>
    <n v="62.93"/>
    <s v="www"/>
    <d v="2015-04-03T19:04:20"/>
    <x v="15"/>
  </r>
  <r>
    <s v="0 Original"/>
    <s v="2015-04-03 Zorita Rutledge(1318)"/>
    <n v="1318"/>
    <d v="2015-04-03T00:00:00"/>
    <x v="74"/>
    <n v="6.99"/>
    <s v="www"/>
    <d v="2015-04-03T19:53:05"/>
    <x v="15"/>
  </r>
  <r>
    <s v="0 Original"/>
    <s v="2015-04-03 Stuart Vega(1496)"/>
    <n v="1496"/>
    <d v="2015-04-03T00:00:00"/>
    <x v="3"/>
    <n v="50.93"/>
    <s v="www"/>
    <d v="2015-04-03T23:49:31"/>
    <x v="15"/>
  </r>
  <r>
    <s v="0 Original"/>
    <s v="2015-04-04 Ora Mann(1090)"/>
    <n v="1090"/>
    <d v="2015-04-04T00:00:00"/>
    <x v="27"/>
    <n v="24.97"/>
    <s v="www"/>
    <d v="2015-04-04T09:33:32"/>
    <x v="15"/>
  </r>
  <r>
    <s v="0 Original"/>
    <s v="2015-04-04 Wade Coleman(1436)"/>
    <n v="1436"/>
    <d v="2015-04-04T00:00:00"/>
    <x v="4"/>
    <n v="33.96"/>
    <s v="www"/>
    <d v="2015-04-04T10:27:42"/>
    <x v="15"/>
  </r>
  <r>
    <s v="0 Original"/>
    <s v="2015-04-04 Tashya Osborne(1481)"/>
    <n v="1481"/>
    <d v="2015-04-04T00:00:00"/>
    <x v="82"/>
    <n v="24.97"/>
    <s v="www"/>
    <d v="2015-04-04T10:33:49"/>
    <x v="15"/>
  </r>
  <r>
    <s v="0 Original"/>
    <s v="2015-04-04 Karleigh Jacobson(1322)"/>
    <n v="1322"/>
    <d v="2015-04-04T00:00:00"/>
    <x v="84"/>
    <n v="58.91"/>
    <s v="www"/>
    <d v="2015-04-04T10:53:15"/>
    <x v="15"/>
  </r>
  <r>
    <s v="0 Original"/>
    <s v="2015-04-05 Ivy Livingston(72)"/>
    <n v="72"/>
    <d v="2015-04-05T00:00:00"/>
    <x v="54"/>
    <n v="43.93"/>
    <s v="www"/>
    <d v="2015-04-05T02:11:12"/>
    <x v="15"/>
  </r>
  <r>
    <s v="0 Original"/>
    <s v="2015-04-06 Bernard Cash(707)"/>
    <n v="707"/>
    <d v="2015-04-06T00:00:00"/>
    <x v="43"/>
    <n v="19.98"/>
    <s v="www"/>
    <d v="2015-04-06T12:45:24"/>
    <x v="15"/>
  </r>
  <r>
    <s v="0 Original"/>
    <s v="2015-04-07 Belle Short(1135)"/>
    <n v="1135"/>
    <d v="2015-04-07T00:00:00"/>
    <x v="25"/>
    <n v="5.99"/>
    <s v="www"/>
    <d v="2015-04-07T14:17:49"/>
    <x v="15"/>
  </r>
  <r>
    <s v="0 Original"/>
    <s v="2015-04-09 Ferris Erickson(586)"/>
    <n v="586"/>
    <d v="2015-04-09T00:00:00"/>
    <x v="76"/>
    <n v="14.98"/>
    <s v="www"/>
    <d v="2015-04-09T06:12:37"/>
    <x v="15"/>
  </r>
  <r>
    <s v="0 Original"/>
    <s v="2015-04-10 Buffy Jennings(87)"/>
    <n v="87"/>
    <d v="2015-04-10T00:00:00"/>
    <x v="47"/>
    <n v="30.95"/>
    <s v="www"/>
    <d v="2015-04-10T15:44:52"/>
    <x v="15"/>
  </r>
  <r>
    <s v="0 Original"/>
    <s v="2015-04-10 Benedict Todd(694)"/>
    <n v="694"/>
    <d v="2015-04-10T00:00:00"/>
    <x v="64"/>
    <n v="15.98"/>
    <s v="www"/>
    <d v="2015-04-10T16:26:14"/>
    <x v="15"/>
  </r>
  <r>
    <s v="0 Original"/>
    <s v="2015-04-10 Bernard Cash(15)"/>
    <n v="15"/>
    <d v="2015-04-10T00:00:00"/>
    <x v="43"/>
    <n v="35.94"/>
    <s v="www"/>
    <d v="2015-04-10T17:32:57"/>
    <x v="15"/>
  </r>
  <r>
    <s v="0 Original"/>
    <s v="2015-04-11 April Buckley(26)"/>
    <n v="26"/>
    <d v="2015-04-11T00:00:00"/>
    <x v="65"/>
    <n v="53.94"/>
    <s v="www"/>
    <d v="2015-04-11T04:10:43"/>
    <x v="15"/>
  </r>
  <r>
    <s v="0 Original"/>
    <s v="2015-04-11 Stuart Vega(448)"/>
    <n v="448"/>
    <d v="2015-04-11T00:00:00"/>
    <x v="3"/>
    <n v="51.93"/>
    <s v="www"/>
    <d v="2015-04-11T04:33:54"/>
    <x v="15"/>
  </r>
  <r>
    <s v="0 Original"/>
    <s v="2015-04-11 Lionel Vargas(533)"/>
    <n v="533"/>
    <d v="2015-04-11T00:00:00"/>
    <x v="33"/>
    <n v="23.97"/>
    <s v="www"/>
    <d v="2015-04-11T15:26:36"/>
    <x v="15"/>
  </r>
  <r>
    <s v="0 Original"/>
    <s v="2015-04-11 Lois Valdez(426)"/>
    <n v="426"/>
    <d v="2015-04-11T00:00:00"/>
    <x v="52"/>
    <n v="94.88"/>
    <s v="www"/>
    <d v="2015-04-11T20:42:00"/>
    <x v="15"/>
  </r>
  <r>
    <s v="0 Original"/>
    <s v="2015-04-12 Dale Fry(368)"/>
    <n v="368"/>
    <d v="2015-04-12T00:00:00"/>
    <x v="66"/>
    <n v="57.92"/>
    <s v="www"/>
    <d v="2015-04-12T00:03:06"/>
    <x v="15"/>
  </r>
  <r>
    <s v="0 Original"/>
    <s v="2015-04-12 Cameron Rivera(796)"/>
    <n v="796"/>
    <d v="2015-04-12T00:00:00"/>
    <x v="16"/>
    <n v="35.96"/>
    <s v="www"/>
    <d v="2015-04-12T06:16:20"/>
    <x v="15"/>
  </r>
  <r>
    <s v="0 Original"/>
    <s v="2015-04-12 Lillian Larsen(153)"/>
    <n v="153"/>
    <d v="2015-04-12T00:00:00"/>
    <x v="41"/>
    <n v="29.96"/>
    <s v="www"/>
    <d v="2015-04-12T19:06:27"/>
    <x v="15"/>
  </r>
  <r>
    <s v="0 Original"/>
    <s v="2015-04-13 Vivian Mendoza(114)"/>
    <n v="114"/>
    <d v="2015-04-13T00:00:00"/>
    <x v="10"/>
    <n v="35.950000000000003"/>
    <s v="www"/>
    <d v="2015-04-13T10:40:55"/>
    <x v="15"/>
  </r>
  <r>
    <s v="0 Original"/>
    <s v="2015-04-13 Donovan Gomez(760)"/>
    <n v="760"/>
    <d v="2015-04-13T00:00:00"/>
    <x v="7"/>
    <n v="54.94"/>
    <s v="www"/>
    <d v="2015-04-13T17:35:28"/>
    <x v="15"/>
  </r>
  <r>
    <s v="0 Original"/>
    <s v="2015-04-13 Madeline Reynolds(901)"/>
    <n v="901"/>
    <d v="2015-04-13T00:00:00"/>
    <x v="13"/>
    <n v="45.94"/>
    <s v="www"/>
    <d v="2015-04-13T20:36:07"/>
    <x v="15"/>
  </r>
  <r>
    <s v="0 Original"/>
    <s v="2015-04-13 Bernard Cash(742)"/>
    <n v="742"/>
    <d v="2015-04-13T00:00:00"/>
    <x v="43"/>
    <n v="9.99"/>
    <s v="www"/>
    <d v="2015-04-13T22:28:23"/>
    <x v="15"/>
  </r>
  <r>
    <s v="0 Original"/>
    <s v="2015-04-14 Prescott Nelson(754)"/>
    <n v="754"/>
    <d v="2015-04-14T00:00:00"/>
    <x v="2"/>
    <n v="29.96"/>
    <s v="www"/>
    <d v="2015-04-14T12:23:45"/>
    <x v="15"/>
  </r>
  <r>
    <s v="0 Original"/>
    <s v="2015-04-14 Bernard Cash(881)"/>
    <n v="881"/>
    <d v="2015-04-14T00:00:00"/>
    <x v="43"/>
    <n v="80.91"/>
    <s v="www"/>
    <d v="2015-04-14T16:40:15"/>
    <x v="15"/>
  </r>
  <r>
    <s v="0 Original"/>
    <s v="2015-04-14 Mariko Cameron(349)"/>
    <n v="349"/>
    <d v="2015-04-14T00:00:00"/>
    <x v="19"/>
    <n v="14.98"/>
    <s v="www"/>
    <d v="2015-04-14T17:31:19"/>
    <x v="15"/>
  </r>
  <r>
    <s v="0 Original"/>
    <s v="2015-04-14 Stacey Kirk(357)"/>
    <n v="357"/>
    <d v="2015-04-14T00:00:00"/>
    <x v="26"/>
    <n v="93.89"/>
    <s v="www"/>
    <d v="2015-04-14T20:18:52"/>
    <x v="15"/>
  </r>
  <r>
    <s v="0 Original"/>
    <s v="2015-04-14 Claudia Crane(286)"/>
    <n v="286"/>
    <d v="2015-04-14T00:00:00"/>
    <x v="55"/>
    <n v="17.97"/>
    <s v="www"/>
    <d v="2015-04-14T20:34:49"/>
    <x v="15"/>
  </r>
  <r>
    <s v="0 Original"/>
    <s v="2015-04-15 Serina Booker(676)"/>
    <n v="676"/>
    <d v="2015-04-15T00:00:00"/>
    <x v="60"/>
    <n v="29.97"/>
    <s v="www"/>
    <d v="2015-04-15T06:28:31"/>
    <x v="15"/>
  </r>
  <r>
    <s v="0 Original"/>
    <s v="2015-04-15 Gabriel Carlson(685)"/>
    <n v="685"/>
    <d v="2015-04-15T00:00:00"/>
    <x v="32"/>
    <n v="25.97"/>
    <s v="www"/>
    <d v="2015-04-15T12:15:21"/>
    <x v="15"/>
  </r>
  <r>
    <s v="0 Original"/>
    <s v="2015-04-16 Claudia Crane(568)"/>
    <n v="568"/>
    <d v="2015-04-16T00:00:00"/>
    <x v="55"/>
    <n v="9.99"/>
    <s v="www"/>
    <d v="2015-04-16T00:56:48"/>
    <x v="15"/>
  </r>
  <r>
    <s v="0 Original"/>
    <s v="2015-04-16 Blossom Mosley(339)"/>
    <n v="339"/>
    <d v="2015-04-16T00:00:00"/>
    <x v="38"/>
    <n v="41.94"/>
    <s v="www"/>
    <d v="2015-04-16T17:42:32"/>
    <x v="15"/>
  </r>
  <r>
    <s v="0 Original"/>
    <s v="2015-04-16 Zane Parrish(23)"/>
    <n v="23"/>
    <d v="2015-04-16T00:00:00"/>
    <x v="30"/>
    <n v="47.95"/>
    <s v="www"/>
    <d v="2015-04-16T21:07:18"/>
    <x v="15"/>
  </r>
  <r>
    <s v="0 Original"/>
    <s v="2015-04-17 Adrian Dodson(583)"/>
    <n v="583"/>
    <d v="2015-04-17T00:00:00"/>
    <x v="12"/>
    <n v="27.96"/>
    <s v="www"/>
    <d v="2015-04-17T02:11:08"/>
    <x v="15"/>
  </r>
  <r>
    <s v="0 Original"/>
    <s v="2015-04-17 Donovan Gomez(745)"/>
    <n v="745"/>
    <d v="2015-04-17T00:00:00"/>
    <x v="7"/>
    <n v="20.97"/>
    <s v="www"/>
    <d v="2015-04-17T05:19:43"/>
    <x v="15"/>
  </r>
  <r>
    <s v="0 Original"/>
    <s v="2015-04-17 Tashya Osborne(606)"/>
    <n v="606"/>
    <d v="2015-04-17T00:00:00"/>
    <x v="82"/>
    <n v="13.98"/>
    <s v="www"/>
    <d v="2015-04-17T05:55:11"/>
    <x v="15"/>
  </r>
  <r>
    <s v="0 Original"/>
    <s v="2015-04-17 Belle Short(1058)"/>
    <n v="1058"/>
    <d v="2015-04-17T00:00:00"/>
    <x v="25"/>
    <n v="23.97"/>
    <s v="www"/>
    <d v="2015-04-17T07:14:38"/>
    <x v="15"/>
  </r>
  <r>
    <s v="0 Original"/>
    <s v="2015-04-18 Gabriel Carlson(598)"/>
    <n v="598"/>
    <d v="2015-04-18T00:00:00"/>
    <x v="32"/>
    <n v="27.97"/>
    <s v="www"/>
    <d v="2015-04-18T01:23:43"/>
    <x v="15"/>
  </r>
  <r>
    <s v="0 Original"/>
    <s v="2015-04-18 Tanek Santos(258)"/>
    <n v="258"/>
    <d v="2015-04-18T00:00:00"/>
    <x v="31"/>
    <n v="36.950000000000003"/>
    <s v="www"/>
    <d v="2015-04-18T16:13:43"/>
    <x v="15"/>
  </r>
  <r>
    <s v="0 Original"/>
    <s v="2015-04-19 Ora Mann(1075)"/>
    <n v="1075"/>
    <d v="2015-04-19T00:00:00"/>
    <x v="27"/>
    <n v="28.96"/>
    <s v="www"/>
    <d v="2015-04-19T21:59:52"/>
    <x v="15"/>
  </r>
  <r>
    <s v="0 Original"/>
    <s v="2015-04-20 Cameron Rivera(952)"/>
    <n v="952"/>
    <d v="2015-04-20T00:00:00"/>
    <x v="16"/>
    <n v="23.97"/>
    <s v="www"/>
    <d v="2015-04-20T22:47:43"/>
    <x v="15"/>
  </r>
  <r>
    <s v="0 Original"/>
    <s v="2015-04-21 Madeline Reynolds(767)"/>
    <n v="767"/>
    <d v="2015-04-21T00:00:00"/>
    <x v="13"/>
    <n v="4.99"/>
    <s v="www"/>
    <d v="2015-04-21T08:43:33"/>
    <x v="15"/>
  </r>
  <r>
    <s v="0 Original"/>
    <s v="2015-04-21 Cameron Rivera(909)"/>
    <n v="909"/>
    <d v="2015-04-21T00:00:00"/>
    <x v="16"/>
    <n v="18.97"/>
    <s v="www"/>
    <d v="2015-04-21T13:02:02"/>
    <x v="15"/>
  </r>
  <r>
    <s v="0 Original"/>
    <s v="2015-04-22 Madeline Reynolds(893)"/>
    <n v="893"/>
    <d v="2015-04-22T00:00:00"/>
    <x v="13"/>
    <n v="19.97"/>
    <s v="www"/>
    <d v="2015-04-22T19:35:04"/>
    <x v="15"/>
  </r>
  <r>
    <s v="0 Original"/>
    <s v="2015-04-23 Belle Short(1072)"/>
    <n v="1072"/>
    <d v="2015-04-23T00:00:00"/>
    <x v="25"/>
    <n v="40.94"/>
    <s v="www"/>
    <d v="2015-04-23T02:52:45"/>
    <x v="15"/>
  </r>
  <r>
    <s v="0 Original"/>
    <s v="2015-04-23 Christine Medina(874)"/>
    <n v="874"/>
    <d v="2015-04-23T00:00:00"/>
    <x v="8"/>
    <n v="5.99"/>
    <s v="www"/>
    <d v="2015-04-23T04:13:12"/>
    <x v="15"/>
  </r>
  <r>
    <s v="0 Original"/>
    <s v="2015-04-24 Serina Booker(430)"/>
    <n v="430"/>
    <d v="2015-04-24T00:00:00"/>
    <x v="60"/>
    <n v="22.97"/>
    <s v="www"/>
    <d v="2015-04-24T00:56:36"/>
    <x v="15"/>
  </r>
  <r>
    <s v="0 Original"/>
    <s v="2015-04-24 Bernard Cash(925)"/>
    <n v="925"/>
    <d v="2015-04-24T00:00:00"/>
    <x v="43"/>
    <n v="75.91"/>
    <s v="www"/>
    <d v="2015-04-24T11:16:27"/>
    <x v="15"/>
  </r>
  <r>
    <s v="0 Original"/>
    <s v="2015-04-25 Vivian Mendoza(504)"/>
    <n v="504"/>
    <d v="2015-04-25T00:00:00"/>
    <x v="10"/>
    <n v="48.95"/>
    <s v="www"/>
    <d v="2015-04-25T00:09:33"/>
    <x v="15"/>
  </r>
  <r>
    <s v="0 Original"/>
    <s v="2015-04-25 John Drake(189)"/>
    <n v="189"/>
    <d v="2015-04-25T00:00:00"/>
    <x v="9"/>
    <n v="15.98"/>
    <s v="www"/>
    <d v="2015-04-25T17:47:10"/>
    <x v="15"/>
  </r>
  <r>
    <s v="0 Original"/>
    <s v="2015-04-26 Harrison Klein(435)"/>
    <n v="435"/>
    <d v="2015-04-26T00:00:00"/>
    <x v="37"/>
    <n v="14.98"/>
    <s v="www"/>
    <d v="2015-04-26T12:56:18"/>
    <x v="15"/>
  </r>
  <r>
    <s v="0 Original"/>
    <s v="2015-04-26 Hayley Foster(311)"/>
    <n v="311"/>
    <d v="2015-04-26T00:00:00"/>
    <x v="67"/>
    <n v="23.97"/>
    <s v="www"/>
    <d v="2015-04-26T23:10:56"/>
    <x v="15"/>
  </r>
  <r>
    <s v="0 Original"/>
    <s v="2015-04-27 John Drake(985)"/>
    <n v="985"/>
    <d v="2015-04-27T00:00:00"/>
    <x v="9"/>
    <n v="7.99"/>
    <s v="www"/>
    <d v="2015-04-27T03:50:02"/>
    <x v="15"/>
  </r>
  <r>
    <s v="0 Original"/>
    <s v="2015-04-27 Adrian Dodson(103)"/>
    <n v="103"/>
    <d v="2015-04-27T00:00:00"/>
    <x v="12"/>
    <n v="26.95"/>
    <s v="www"/>
    <d v="2015-04-27T12:23:47"/>
    <x v="15"/>
  </r>
  <r>
    <s v="0 Original"/>
    <s v="2015-04-28 Aristotle Avery(367)"/>
    <n v="367"/>
    <d v="2015-04-28T00:00:00"/>
    <x v="14"/>
    <n v="8.99"/>
    <s v="www"/>
    <d v="2015-04-28T17:09:11"/>
    <x v="15"/>
  </r>
  <r>
    <s v="0 Original"/>
    <s v="2015-04-28 Bernard Cash(1142)"/>
    <n v="1142"/>
    <d v="2015-04-28T00:00:00"/>
    <x v="43"/>
    <n v="31.96"/>
    <s v="www"/>
    <d v="2015-04-28T17:29:18"/>
    <x v="15"/>
  </r>
  <r>
    <s v="0 Original"/>
    <s v="2015-04-28 Iona Simpson(179)"/>
    <n v="179"/>
    <d v="2015-04-28T00:00:00"/>
    <x v="1"/>
    <n v="16.98"/>
    <s v="www"/>
    <d v="2015-04-28T21:30:25"/>
    <x v="15"/>
  </r>
  <r>
    <s v="0 Original"/>
    <s v="2015-04-28 Zeus Trujillo(423)"/>
    <n v="423"/>
    <d v="2015-04-28T00:00:00"/>
    <x v="5"/>
    <n v="32.950000000000003"/>
    <s v="www"/>
    <d v="2015-04-28T21:34:40"/>
    <x v="15"/>
  </r>
  <r>
    <s v="0 Original"/>
    <s v="2015-04-28 Nayda Shields(203)"/>
    <n v="203"/>
    <d v="2015-04-28T00:00:00"/>
    <x v="11"/>
    <n v="26.97"/>
    <s v="www"/>
    <d v="2015-04-28T23:09:44"/>
    <x v="15"/>
  </r>
  <r>
    <s v="0 Original"/>
    <s v="2015-04-29 Quinn Ewing(61)"/>
    <n v="61"/>
    <d v="2015-04-29T00:00:00"/>
    <x v="90"/>
    <n v="89.87"/>
    <s v="www"/>
    <d v="2015-04-29T22:04:52"/>
    <x v="15"/>
  </r>
  <r>
    <s v="0 Original"/>
    <s v="2015-04-29 Nayda Shields(1083)"/>
    <n v="1083"/>
    <d v="2015-04-29T00:00:00"/>
    <x v="11"/>
    <n v="4.99"/>
    <s v="www"/>
    <d v="2015-04-29T23:47:12"/>
    <x v="15"/>
  </r>
  <r>
    <s v="0 Original"/>
    <s v="2015-05-01 Prescott Nelson(1059)"/>
    <n v="1059"/>
    <d v="2015-05-01T00:00:00"/>
    <x v="2"/>
    <n v="17.98"/>
    <s v="www"/>
    <d v="2015-05-01T01:16:20"/>
    <x v="16"/>
  </r>
  <r>
    <s v="0 Original"/>
    <s v="2015-05-01 Lillian Larsen(244)"/>
    <n v="244"/>
    <d v="2015-05-01T00:00:00"/>
    <x v="41"/>
    <n v="60.92"/>
    <s v="www"/>
    <d v="2015-05-01T23:27:13"/>
    <x v="16"/>
  </r>
  <r>
    <s v="0 Original"/>
    <s v="2015-05-02 Clio Carter(517)"/>
    <n v="517"/>
    <d v="2015-05-02T00:00:00"/>
    <x v="21"/>
    <n v="66.92"/>
    <s v="www"/>
    <d v="2015-05-02T06:55:26"/>
    <x v="16"/>
  </r>
  <r>
    <s v="0 Original"/>
    <s v="2015-05-02 John Drake(965)"/>
    <n v="965"/>
    <d v="2015-05-02T00:00:00"/>
    <x v="9"/>
    <n v="15.98"/>
    <s v="www"/>
    <d v="2015-05-02T11:35:49"/>
    <x v="16"/>
  </r>
  <r>
    <s v="0 Original"/>
    <s v="2015-05-03 Zeus Trujillo(481)"/>
    <n v="481"/>
    <d v="2015-05-03T00:00:00"/>
    <x v="5"/>
    <n v="6.99"/>
    <s v="www"/>
    <d v="2015-05-03T00:25:29"/>
    <x v="16"/>
  </r>
  <r>
    <s v="0 Original"/>
    <s v="2015-05-04 Lionel Vargas(557)"/>
    <n v="557"/>
    <d v="2015-05-04T00:00:00"/>
    <x v="33"/>
    <n v="19.98"/>
    <s v="www"/>
    <d v="2015-05-04T08:51:26"/>
    <x v="16"/>
  </r>
  <r>
    <s v="0 Original"/>
    <s v="2015-05-04 Madeline Reynolds(768)"/>
    <n v="768"/>
    <d v="2015-05-04T00:00:00"/>
    <x v="13"/>
    <n v="7.99"/>
    <s v="www"/>
    <d v="2015-05-04T11:05:56"/>
    <x v="16"/>
  </r>
  <r>
    <s v="0 Original"/>
    <s v="2015-05-04 Nayda Shields(737)"/>
    <n v="737"/>
    <d v="2015-05-04T00:00:00"/>
    <x v="11"/>
    <n v="21.97"/>
    <s v="www"/>
    <d v="2015-05-04T20:09:02"/>
    <x v="16"/>
  </r>
  <r>
    <s v="0 Original"/>
    <s v="2015-05-04 Madeline Reynolds(826)"/>
    <n v="826"/>
    <d v="2015-05-04T00:00:00"/>
    <x v="13"/>
    <n v="19.96"/>
    <s v="www"/>
    <d v="2015-05-04T22:28:13"/>
    <x v="16"/>
  </r>
  <r>
    <s v="0 Original"/>
    <s v="2015-05-05 Christine Medina(831)"/>
    <n v="831"/>
    <d v="2015-05-05T00:00:00"/>
    <x v="8"/>
    <n v="15.97"/>
    <s v="www"/>
    <d v="2015-05-05T16:10:15"/>
    <x v="16"/>
  </r>
  <r>
    <s v="0 Original"/>
    <s v="2015-05-05 Dane Stafford(590)"/>
    <n v="590"/>
    <d v="2015-05-05T00:00:00"/>
    <x v="29"/>
    <n v="24.97"/>
    <s v="www"/>
    <d v="2015-05-05T22:56:07"/>
    <x v="16"/>
  </r>
  <r>
    <s v="0 Original"/>
    <s v="2015-05-06 Galvin Becker(675)"/>
    <n v="675"/>
    <d v="2015-05-06T00:00:00"/>
    <x v="28"/>
    <n v="4.99"/>
    <s v="www"/>
    <d v="2015-05-06T02:50:58"/>
    <x v="16"/>
  </r>
  <r>
    <s v="0 Original"/>
    <s v="2015-05-08 Stacey Kirk(175)"/>
    <n v="175"/>
    <d v="2015-05-08T00:00:00"/>
    <x v="26"/>
    <n v="25.96"/>
    <s v="www"/>
    <d v="2015-05-08T07:56:29"/>
    <x v="16"/>
  </r>
  <r>
    <s v="0 Original"/>
    <s v="2015-05-08 Cameron Rivera(852)"/>
    <n v="852"/>
    <d v="2015-05-08T00:00:00"/>
    <x v="16"/>
    <n v="49.94"/>
    <s v="www"/>
    <d v="2015-05-08T20:18:29"/>
    <x v="16"/>
  </r>
  <r>
    <s v="0 Original"/>
    <s v="2015-05-09 Yuri Oneal(100)"/>
    <n v="100"/>
    <d v="2015-05-09T00:00:00"/>
    <x v="88"/>
    <n v="34.96"/>
    <s v="www"/>
    <d v="2015-05-09T08:21:25"/>
    <x v="16"/>
  </r>
  <r>
    <s v="0 Original"/>
    <s v="2015-05-10 Prescott Nelson(746)"/>
    <n v="746"/>
    <d v="2015-05-10T00:00:00"/>
    <x v="2"/>
    <n v="43.95"/>
    <s v="www"/>
    <d v="2015-05-10T23:34:07"/>
    <x v="16"/>
  </r>
  <r>
    <s v="0 Original"/>
    <s v="2015-05-11 Aristotle Avery(115)"/>
    <n v="115"/>
    <d v="2015-05-11T00:00:00"/>
    <x v="14"/>
    <n v="51.93"/>
    <s v="www"/>
    <d v="2015-05-11T02:41:20"/>
    <x v="16"/>
  </r>
  <r>
    <s v="0 Original"/>
    <s v="2015-05-11 Theodore Mills(180)"/>
    <n v="180"/>
    <d v="2015-05-11T00:00:00"/>
    <x v="62"/>
    <n v="45.93"/>
    <s v="www"/>
    <d v="2015-05-11T19:46:04"/>
    <x v="16"/>
  </r>
  <r>
    <s v="0 Original"/>
    <s v="2015-05-11 Nayda Shields(854)"/>
    <n v="854"/>
    <d v="2015-05-11T00:00:00"/>
    <x v="11"/>
    <n v="101.88"/>
    <s v="www"/>
    <d v="2015-05-11T21:59:16"/>
    <x v="16"/>
  </r>
  <r>
    <s v="0 Original"/>
    <s v="2015-05-12 Serina Booker(441)"/>
    <n v="441"/>
    <d v="2015-05-12T00:00:00"/>
    <x v="60"/>
    <n v="13.98"/>
    <s v="www"/>
    <d v="2015-05-12T07:58:47"/>
    <x v="16"/>
  </r>
  <r>
    <s v="0 Original"/>
    <s v="2015-05-13 Lionel Vargas(467)"/>
    <n v="467"/>
    <d v="2015-05-13T00:00:00"/>
    <x v="33"/>
    <n v="32.950000000000003"/>
    <s v="www"/>
    <d v="2015-05-13T11:06:17"/>
    <x v="16"/>
  </r>
  <r>
    <s v="0 Original"/>
    <s v="2015-05-13 Cameron Rivera(123)"/>
    <n v="123"/>
    <d v="2015-05-13T00:00:00"/>
    <x v="16"/>
    <n v="42.95"/>
    <s v="www"/>
    <d v="2015-05-13T13:23:24"/>
    <x v="16"/>
  </r>
  <r>
    <s v="0 Original"/>
    <s v="2015-05-14 Prescott Nelson(794)"/>
    <n v="794"/>
    <d v="2015-05-14T00:00:00"/>
    <x v="2"/>
    <n v="29.97"/>
    <s v="www"/>
    <d v="2015-05-14T15:29:39"/>
    <x v="16"/>
  </r>
  <r>
    <s v="0 Original"/>
    <s v="2015-05-15 Ora Mann(851)"/>
    <n v="851"/>
    <d v="2015-05-15T00:00:00"/>
    <x v="27"/>
    <n v="14.98"/>
    <s v="www"/>
    <d v="2015-05-15T07:50:13"/>
    <x v="16"/>
  </r>
  <r>
    <s v="0 Original"/>
    <s v="2015-05-15 Clio Carter(267)"/>
    <n v="267"/>
    <d v="2015-05-15T00:00:00"/>
    <x v="21"/>
    <n v="64.92"/>
    <s v="www"/>
    <d v="2015-05-15T12:54:53"/>
    <x v="16"/>
  </r>
  <r>
    <s v="0 Original"/>
    <s v="2015-05-15 Ora Mann(1014)"/>
    <n v="1014"/>
    <d v="2015-05-15T00:00:00"/>
    <x v="27"/>
    <n v="14.97"/>
    <s v="www"/>
    <d v="2015-05-15T13:34:10"/>
    <x v="16"/>
  </r>
  <r>
    <s v="0 Original"/>
    <s v="2015-05-15 Morgan Hoffman(370)"/>
    <n v="370"/>
    <d v="2015-05-15T00:00:00"/>
    <x v="39"/>
    <n v="36.950000000000003"/>
    <s v="www"/>
    <d v="2015-05-15T21:54:29"/>
    <x v="16"/>
  </r>
  <r>
    <s v="0 Original"/>
    <s v="2015-05-16 Belle Short(780)"/>
    <n v="780"/>
    <d v="2015-05-16T00:00:00"/>
    <x v="25"/>
    <n v="21.97"/>
    <s v="www"/>
    <d v="2015-05-16T02:31:41"/>
    <x v="16"/>
  </r>
  <r>
    <s v="0 Original"/>
    <s v="2015-05-16 Angelica Ortiz(280)"/>
    <n v="280"/>
    <d v="2015-05-16T00:00:00"/>
    <x v="17"/>
    <n v="14.98"/>
    <s v="www"/>
    <d v="2015-05-16T11:58:51"/>
    <x v="16"/>
  </r>
  <r>
    <s v="0 Original"/>
    <s v="2015-05-16 Vivian Mendoza(469)"/>
    <n v="469"/>
    <d v="2015-05-16T00:00:00"/>
    <x v="10"/>
    <n v="6.99"/>
    <s v="www"/>
    <d v="2015-05-16T12:09:30"/>
    <x v="16"/>
  </r>
  <r>
    <s v="0 Original"/>
    <s v="2015-05-16 Prescott Nelson(1108)"/>
    <n v="1108"/>
    <d v="2015-05-16T00:00:00"/>
    <x v="2"/>
    <n v="27.97"/>
    <s v="www"/>
    <d v="2015-05-16T20:07:33"/>
    <x v="16"/>
  </r>
  <r>
    <s v="0 Original"/>
    <s v="2015-05-17 Dane Stafford(630)"/>
    <n v="630"/>
    <d v="2015-05-17T00:00:00"/>
    <x v="29"/>
    <n v="44.94"/>
    <s v="www"/>
    <d v="2015-05-17T03:16:53"/>
    <x v="16"/>
  </r>
  <r>
    <s v="0 Original"/>
    <s v="2015-05-17 Prescott Nelson(1021)"/>
    <n v="1021"/>
    <d v="2015-05-17T00:00:00"/>
    <x v="2"/>
    <n v="25.96"/>
    <s v="www"/>
    <d v="2015-05-17T04:07:53"/>
    <x v="16"/>
  </r>
  <r>
    <s v="0 Original"/>
    <s v="2015-05-17 Madeson Silva(470)"/>
    <n v="470"/>
    <d v="2015-05-17T00:00:00"/>
    <x v="63"/>
    <n v="6.99"/>
    <s v="www"/>
    <d v="2015-05-17T09:04:39"/>
    <x v="16"/>
  </r>
  <r>
    <s v="0 Original"/>
    <s v="2015-05-17 Dane Stafford(21)"/>
    <n v="21"/>
    <d v="2015-05-17T00:00:00"/>
    <x v="29"/>
    <n v="23.97"/>
    <s v="www"/>
    <d v="2015-05-17T13:28:24"/>
    <x v="16"/>
  </r>
  <r>
    <s v="0 Original"/>
    <s v="2015-05-17 Melvin Finch(136)"/>
    <n v="136"/>
    <d v="2015-05-17T00:00:00"/>
    <x v="92"/>
    <n v="66.91"/>
    <s v="www"/>
    <d v="2015-05-17T14:45:39"/>
    <x v="16"/>
  </r>
  <r>
    <s v="0 Original"/>
    <s v="2015-05-18 Nayda Shields(978)"/>
    <n v="978"/>
    <d v="2015-05-18T00:00:00"/>
    <x v="11"/>
    <n v="14.98"/>
    <s v="www"/>
    <d v="2015-05-18T19:26:40"/>
    <x v="16"/>
  </r>
  <r>
    <s v="0 Original"/>
    <s v="2015-05-18 Ora Mann(863)"/>
    <n v="863"/>
    <d v="2015-05-18T00:00:00"/>
    <x v="27"/>
    <n v="75.900000000000006"/>
    <s v="www"/>
    <d v="2015-05-18T20:30:05"/>
    <x v="16"/>
  </r>
  <r>
    <s v="0 Original"/>
    <s v="2015-05-19 Jonah Griffin(293)"/>
    <n v="293"/>
    <d v="2015-05-19T00:00:00"/>
    <x v="71"/>
    <n v="12.98"/>
    <s v="www"/>
    <d v="2015-05-19T03:11:37"/>
    <x v="16"/>
  </r>
  <r>
    <s v="0 Original"/>
    <s v="2015-05-20 Christine Medina(982)"/>
    <n v="982"/>
    <d v="2015-05-20T00:00:00"/>
    <x v="8"/>
    <n v="14.98"/>
    <s v="www"/>
    <d v="2015-05-20T08:55:32"/>
    <x v="16"/>
  </r>
  <r>
    <s v="0 Original"/>
    <s v="2015-05-20 Armando Le(11)"/>
    <n v="11"/>
    <d v="2015-05-20T00:00:00"/>
    <x v="61"/>
    <n v="61.91"/>
    <s v="www"/>
    <d v="2015-05-20T13:50:40"/>
    <x v="16"/>
  </r>
  <r>
    <s v="0 Original"/>
    <s v="2015-05-20 Serina Booker(596)"/>
    <n v="596"/>
    <d v="2015-05-20T00:00:00"/>
    <x v="60"/>
    <n v="44.95"/>
    <s v="www"/>
    <d v="2015-05-20T20:56:47"/>
    <x v="16"/>
  </r>
  <r>
    <s v="0 Original"/>
    <s v="2015-05-21 Melvin Finch(135)"/>
    <n v="135"/>
    <d v="2015-05-21T00:00:00"/>
    <x v="92"/>
    <n v="25.95"/>
    <s v="www"/>
    <d v="2015-05-21T02:38:21"/>
    <x v="16"/>
  </r>
  <r>
    <s v="0 Original"/>
    <s v="2015-05-22 Stacey Kirk(424)"/>
    <n v="424"/>
    <d v="2015-05-22T00:00:00"/>
    <x v="26"/>
    <n v="16.98"/>
    <s v="www"/>
    <d v="2015-05-22T08:14:27"/>
    <x v="16"/>
  </r>
  <r>
    <s v="0 Original"/>
    <s v="2015-05-22 Kendall Rocha(147)"/>
    <n v="147"/>
    <d v="2015-05-22T00:00:00"/>
    <x v="6"/>
    <n v="48.93"/>
    <s v="www"/>
    <d v="2015-05-22T09:13:32"/>
    <x v="16"/>
  </r>
  <r>
    <s v="0 Original"/>
    <s v="2015-05-22 Christine Medina(1080)"/>
    <n v="1080"/>
    <d v="2015-05-22T00:00:00"/>
    <x v="8"/>
    <n v="18.97"/>
    <s v="www"/>
    <d v="2015-05-22T21:19:08"/>
    <x v="16"/>
  </r>
  <r>
    <s v="0 Original"/>
    <s v="2015-05-23 John Drake(803)"/>
    <n v="803"/>
    <d v="2015-05-23T00:00:00"/>
    <x v="9"/>
    <n v="20.97"/>
    <s v="www"/>
    <d v="2015-05-23T11:33:04"/>
    <x v="16"/>
  </r>
  <r>
    <s v="0 Original"/>
    <s v="2015-05-23 Madeline Reynolds(801)"/>
    <n v="801"/>
    <d v="2015-05-23T00:00:00"/>
    <x v="13"/>
    <n v="26.96"/>
    <s v="www"/>
    <d v="2015-05-23T14:21:42"/>
    <x v="16"/>
  </r>
  <r>
    <s v="0 Original"/>
    <s v="2015-05-24 Indira Suarez(652)"/>
    <n v="652"/>
    <d v="2015-05-24T00:00:00"/>
    <x v="24"/>
    <n v="66.91"/>
    <s v="www"/>
    <d v="2015-05-24T22:13:39"/>
    <x v="16"/>
  </r>
  <r>
    <s v="0 Original"/>
    <s v="2015-05-25 Lillian Larsen(355)"/>
    <n v="355"/>
    <d v="2015-05-25T00:00:00"/>
    <x v="41"/>
    <n v="15.98"/>
    <s v="www"/>
    <d v="2015-05-25T12:13:03"/>
    <x v="16"/>
  </r>
  <r>
    <s v="0 Original"/>
    <s v="2015-05-25 Clio Carter(251)"/>
    <n v="251"/>
    <d v="2015-05-25T00:00:00"/>
    <x v="21"/>
    <n v="17.98"/>
    <s v="www"/>
    <d v="2015-05-25T13:31:54"/>
    <x v="16"/>
  </r>
  <r>
    <s v="0 Original"/>
    <s v="2015-05-26 Quinn Ewing(120)"/>
    <n v="120"/>
    <d v="2015-05-26T00:00:00"/>
    <x v="90"/>
    <n v="29.96"/>
    <s v="www"/>
    <d v="2015-05-26T07:35:15"/>
    <x v="16"/>
  </r>
  <r>
    <s v="0 Original"/>
    <s v="2015-05-26 Madeline Reynolds(973)"/>
    <n v="973"/>
    <d v="2015-05-26T00:00:00"/>
    <x v="13"/>
    <n v="81.900000000000006"/>
    <s v="www"/>
    <d v="2015-05-26T07:55:57"/>
    <x v="16"/>
  </r>
  <r>
    <s v="0 Original"/>
    <s v="2015-05-27 Indira Suarez(214)"/>
    <n v="214"/>
    <d v="2015-05-27T00:00:00"/>
    <x v="24"/>
    <n v="22.97"/>
    <s v="www"/>
    <d v="2015-05-27T15:59:00"/>
    <x v="16"/>
  </r>
  <r>
    <s v="0 Original"/>
    <s v="2015-05-28 Prescott Nelson(1152)"/>
    <n v="1152"/>
    <d v="2015-05-28T00:00:00"/>
    <x v="2"/>
    <n v="47.94"/>
    <s v="www"/>
    <d v="2015-05-28T04:55:55"/>
    <x v="16"/>
  </r>
  <r>
    <s v="0 Original"/>
    <s v="2015-05-29 Donovan Gomez(1089)"/>
    <n v="1089"/>
    <d v="2015-05-29T00:00:00"/>
    <x v="7"/>
    <n v="54.94"/>
    <s v="www"/>
    <d v="2015-05-29T00:01:22"/>
    <x v="16"/>
  </r>
  <r>
    <s v="0 Original"/>
    <s v="2015-05-29 Clio Carter(556)"/>
    <n v="556"/>
    <d v="2015-05-29T00:00:00"/>
    <x v="21"/>
    <n v="25.96"/>
    <s v="www"/>
    <d v="2015-05-29T15:33:48"/>
    <x v="16"/>
  </r>
  <r>
    <s v="0 Original"/>
    <s v="2015-05-30 Madeson Silva(686)"/>
    <n v="686"/>
    <d v="2015-05-30T00:00:00"/>
    <x v="63"/>
    <n v="31.96"/>
    <s v="www"/>
    <d v="2015-05-30T06:57:40"/>
    <x v="16"/>
  </r>
  <r>
    <s v="0 Original"/>
    <s v="2015-05-30 Blossom Mosley(468)"/>
    <n v="468"/>
    <d v="2015-05-30T00:00:00"/>
    <x v="38"/>
    <n v="16.98"/>
    <s v="www"/>
    <d v="2015-05-30T08:13:53"/>
    <x v="16"/>
  </r>
  <r>
    <s v="0 Original"/>
    <s v="2015-05-30 Uta Workman(515)"/>
    <n v="515"/>
    <d v="2015-05-30T00:00:00"/>
    <x v="18"/>
    <n v="18.97"/>
    <s v="www"/>
    <d v="2015-05-30T23:07:36"/>
    <x v="16"/>
  </r>
  <r>
    <s v="0 Original"/>
    <s v="2015-06-01 Prescott Nelson(701)"/>
    <n v="701"/>
    <d v="2015-06-01T00:00:00"/>
    <x v="2"/>
    <n v="6.99"/>
    <s v="www"/>
    <d v="2015-06-01T21:42:02"/>
    <x v="17"/>
  </r>
  <r>
    <s v="0 Original"/>
    <s v="2015-06-02 Bernard Cash(805)"/>
    <n v="805"/>
    <d v="2015-06-02T00:00:00"/>
    <x v="43"/>
    <n v="37.950000000000003"/>
    <s v="www"/>
    <d v="2015-06-02T07:35:22"/>
    <x v="17"/>
  </r>
  <r>
    <s v="0 Original"/>
    <s v="2015-06-02 Aristotle Avery(406)"/>
    <n v="406"/>
    <d v="2015-06-02T00:00:00"/>
    <x v="14"/>
    <n v="48.93"/>
    <s v="www"/>
    <d v="2015-06-02T12:51:15"/>
    <x v="17"/>
  </r>
  <r>
    <s v="0 Original"/>
    <s v="2015-06-03 Vivian Mendoza(610)"/>
    <n v="610"/>
    <d v="2015-06-03T00:00:00"/>
    <x v="10"/>
    <n v="56.93"/>
    <s v="www"/>
    <d v="2015-06-03T04:32:54"/>
    <x v="17"/>
  </r>
  <r>
    <s v="0 Original"/>
    <s v="2015-06-03 Angelica Ortiz(316)"/>
    <n v="316"/>
    <d v="2015-06-03T00:00:00"/>
    <x v="17"/>
    <n v="24.97"/>
    <s v="www"/>
    <d v="2015-06-03T08:52:10"/>
    <x v="17"/>
  </r>
  <r>
    <s v="0 Original"/>
    <s v="2015-06-05 Benedict Todd(132)"/>
    <n v="132"/>
    <d v="2015-06-05T00:00:00"/>
    <x v="64"/>
    <n v="19.97"/>
    <s v="www"/>
    <d v="2015-06-05T08:15:25"/>
    <x v="17"/>
  </r>
  <r>
    <s v="0 Original"/>
    <s v="2015-06-06 Prescott Nelson(809)"/>
    <n v="809"/>
    <d v="2015-06-06T00:00:00"/>
    <x v="2"/>
    <n v="66.92"/>
    <s v="www"/>
    <d v="2015-06-06T03:26:40"/>
    <x v="17"/>
  </r>
  <r>
    <s v="0 Original"/>
    <s v="2015-06-06 Yoshi Bennett(452)"/>
    <n v="452"/>
    <d v="2015-06-06T00:00:00"/>
    <x v="40"/>
    <n v="46.94"/>
    <s v="www"/>
    <d v="2015-06-06T14:29:06"/>
    <x v="17"/>
  </r>
  <r>
    <s v="0 Original"/>
    <s v="2015-06-07 Bernard Cash(923)"/>
    <n v="923"/>
    <d v="2015-06-07T00:00:00"/>
    <x v="43"/>
    <n v="41.95"/>
    <s v="www"/>
    <d v="2015-06-07T05:02:26"/>
    <x v="17"/>
  </r>
  <r>
    <s v="0 Original"/>
    <s v="2015-06-07 Angelica Ortiz(444)"/>
    <n v="444"/>
    <d v="2015-06-07T00:00:00"/>
    <x v="17"/>
    <n v="77.91"/>
    <s v="www"/>
    <d v="2015-06-07T05:49:40"/>
    <x v="17"/>
  </r>
  <r>
    <s v="0 Original"/>
    <s v="2015-06-08 Wade Coleman(614)"/>
    <n v="614"/>
    <d v="2015-06-08T00:00:00"/>
    <x v="4"/>
    <n v="22.97"/>
    <s v="www"/>
    <d v="2015-06-08T04:17:30"/>
    <x v="17"/>
  </r>
  <r>
    <s v="0 Original"/>
    <s v="2015-06-10 Donovan Gomez(1146)"/>
    <n v="1146"/>
    <d v="2015-06-10T00:00:00"/>
    <x v="7"/>
    <n v="46.94"/>
    <s v="www"/>
    <d v="2015-06-10T01:48:57"/>
    <x v="17"/>
  </r>
  <r>
    <s v="0 Original"/>
    <s v="2015-06-10 Alma Salas(447)"/>
    <n v="447"/>
    <d v="2015-06-10T00:00:00"/>
    <x v="42"/>
    <n v="51.94"/>
    <s v="www"/>
    <d v="2015-06-10T02:19:25"/>
    <x v="17"/>
  </r>
  <r>
    <s v="0 Original"/>
    <s v="2015-06-10 Madeline Reynolds(983)"/>
    <n v="983"/>
    <d v="2015-06-10T00:00:00"/>
    <x v="13"/>
    <n v="15.98"/>
    <s v="www"/>
    <d v="2015-06-10T08:47:15"/>
    <x v="17"/>
  </r>
  <r>
    <s v="0 Original"/>
    <s v="2015-06-10 Bernard Cash(1084)"/>
    <n v="1084"/>
    <d v="2015-06-10T00:00:00"/>
    <x v="43"/>
    <n v="29.96"/>
    <s v="www"/>
    <d v="2015-06-10T19:31:43"/>
    <x v="17"/>
  </r>
  <r>
    <s v="0 Original"/>
    <s v="2015-06-10 Anne Slater(82)"/>
    <n v="82"/>
    <d v="2015-06-10T00:00:00"/>
    <x v="35"/>
    <n v="33.94"/>
    <s v="www"/>
    <d v="2015-06-10T22:18:46"/>
    <x v="17"/>
  </r>
  <r>
    <s v="0 Original"/>
    <s v="2015-06-11 Dale Fry(457)"/>
    <n v="457"/>
    <d v="2015-06-11T00:00:00"/>
    <x v="66"/>
    <n v="76.900000000000006"/>
    <s v="www"/>
    <d v="2015-06-11T09:37:02"/>
    <x v="17"/>
  </r>
  <r>
    <s v="0 Original"/>
    <s v="2015-06-12 Gabriel Carlson(390)"/>
    <n v="390"/>
    <d v="2015-06-12T00:00:00"/>
    <x v="32"/>
    <n v="53.92"/>
    <s v="www"/>
    <d v="2015-06-12T09:52:51"/>
    <x v="17"/>
  </r>
  <r>
    <s v="0 Original"/>
    <s v="2015-06-13 April Buckley(96)"/>
    <n v="96"/>
    <d v="2015-06-13T00:00:00"/>
    <x v="65"/>
    <n v="78.900000000000006"/>
    <s v="www"/>
    <d v="2015-06-13T01:13:43"/>
    <x v="17"/>
  </r>
  <r>
    <s v="0 Original"/>
    <s v="2015-06-13 Galvin Becker(602)"/>
    <n v="602"/>
    <d v="2015-06-13T00:00:00"/>
    <x v="28"/>
    <n v="11.98"/>
    <s v="www"/>
    <d v="2015-06-13T04:13:06"/>
    <x v="17"/>
  </r>
  <r>
    <s v="0 Original"/>
    <s v="2015-06-13 Christine Medina(898)"/>
    <n v="898"/>
    <d v="2015-06-13T00:00:00"/>
    <x v="8"/>
    <n v="34.96"/>
    <s v="www"/>
    <d v="2015-06-13T07:39:53"/>
    <x v="17"/>
  </r>
  <r>
    <s v="0 Original"/>
    <s v="2015-06-13 Ferris Erickson(310)"/>
    <n v="310"/>
    <d v="2015-06-13T00:00:00"/>
    <x v="76"/>
    <n v="26.96"/>
    <s v="www"/>
    <d v="2015-06-13T14:56:52"/>
    <x v="17"/>
  </r>
  <r>
    <s v="0 Original"/>
    <s v="2015-06-13 Belle Short(1019)"/>
    <n v="1019"/>
    <d v="2015-06-13T00:00:00"/>
    <x v="25"/>
    <n v="40.950000000000003"/>
    <s v="www"/>
    <d v="2015-06-13T16:46:55"/>
    <x v="17"/>
  </r>
  <r>
    <s v="0 Original"/>
    <s v="2015-06-13 Christine Medina(935)"/>
    <n v="935"/>
    <d v="2015-06-13T00:00:00"/>
    <x v="8"/>
    <n v="13.98"/>
    <s v="www"/>
    <d v="2015-06-13T19:00:25"/>
    <x v="17"/>
  </r>
  <r>
    <s v="0 Original"/>
    <s v="2015-06-14 Ora Mann(67)"/>
    <n v="67"/>
    <d v="2015-06-14T00:00:00"/>
    <x v="27"/>
    <n v="8.99"/>
    <s v="www"/>
    <d v="2015-06-14T06:04:16"/>
    <x v="17"/>
  </r>
  <r>
    <s v="0 Original"/>
    <s v="2015-06-14 Jonah Griffin(317)"/>
    <n v="317"/>
    <d v="2015-06-14T00:00:00"/>
    <x v="71"/>
    <n v="20.96"/>
    <s v="www"/>
    <d v="2015-06-14T20:05:45"/>
    <x v="17"/>
  </r>
  <r>
    <s v="0 Original"/>
    <s v="2015-06-14 Tashya Osborne(37)"/>
    <n v="37"/>
    <d v="2015-06-14T00:00:00"/>
    <x v="82"/>
    <n v="44.95"/>
    <s v="www"/>
    <d v="2015-06-14T23:49:51"/>
    <x v="17"/>
  </r>
  <r>
    <s v="0 Original"/>
    <s v="2015-06-15 Indira Suarez(240)"/>
    <n v="240"/>
    <d v="2015-06-15T00:00:00"/>
    <x v="24"/>
    <n v="39.94"/>
    <s v="www"/>
    <d v="2015-06-15T09:17:47"/>
    <x v="17"/>
  </r>
  <r>
    <s v="0 Original"/>
    <s v="2015-06-15 Ora Mann(335)"/>
    <n v="335"/>
    <d v="2015-06-15T00:00:00"/>
    <x v="27"/>
    <n v="34.96"/>
    <s v="www"/>
    <d v="2015-06-15T09:30:00"/>
    <x v="17"/>
  </r>
  <r>
    <s v="0 Original"/>
    <s v="2015-06-16 Prescott Nelson(933)"/>
    <n v="933"/>
    <d v="2015-06-16T00:00:00"/>
    <x v="2"/>
    <n v="23.97"/>
    <s v="www"/>
    <d v="2015-06-16T10:50:07"/>
    <x v="17"/>
  </r>
  <r>
    <s v="0 Original"/>
    <s v="2015-06-16 Madeline Reynolds(977)"/>
    <n v="977"/>
    <d v="2015-06-16T00:00:00"/>
    <x v="13"/>
    <n v="27.96"/>
    <s v="www"/>
    <d v="2015-06-16T13:50:34"/>
    <x v="17"/>
  </r>
  <r>
    <s v="0 Original"/>
    <s v="2015-06-16 Madeline Reynolds(910)"/>
    <n v="910"/>
    <d v="2015-06-16T00:00:00"/>
    <x v="13"/>
    <n v="74.91"/>
    <s v="www"/>
    <d v="2015-06-16T14:37:56"/>
    <x v="17"/>
  </r>
  <r>
    <s v="0 Original"/>
    <s v="2015-06-16 Cameron Rivera(817)"/>
    <n v="817"/>
    <d v="2015-06-16T00:00:00"/>
    <x v="16"/>
    <n v="34.94"/>
    <s v="www"/>
    <d v="2015-06-16T16:03:42"/>
    <x v="17"/>
  </r>
  <r>
    <s v="0 Original"/>
    <s v="2015-06-17 Dane Stafford(437)"/>
    <n v="437"/>
    <d v="2015-06-17T00:00:00"/>
    <x v="29"/>
    <n v="72.91"/>
    <s v="www"/>
    <d v="2015-06-17T09:32:54"/>
    <x v="17"/>
  </r>
  <r>
    <s v="0 Original"/>
    <s v="2015-06-17 Kendall Rocha(190)"/>
    <n v="190"/>
    <d v="2015-06-17T00:00:00"/>
    <x v="6"/>
    <n v="46.93"/>
    <s v="www"/>
    <d v="2015-06-17T19:52:16"/>
    <x v="17"/>
  </r>
  <r>
    <s v="0 Original"/>
    <s v="2015-06-18 Ora Mann(1115)"/>
    <n v="1115"/>
    <d v="2015-06-18T00:00:00"/>
    <x v="27"/>
    <n v="9.99"/>
    <s v="www"/>
    <d v="2015-06-18T11:12:16"/>
    <x v="17"/>
  </r>
  <r>
    <s v="0 Original"/>
    <s v="2015-06-19 Prescott Nelson(1002)"/>
    <n v="1002"/>
    <d v="2015-06-19T00:00:00"/>
    <x v="2"/>
    <n v="26.97"/>
    <s v="www"/>
    <d v="2015-06-19T03:42:44"/>
    <x v="17"/>
  </r>
  <r>
    <s v="0 Original"/>
    <s v="2015-06-19 Ferris Erickson(554)"/>
    <n v="554"/>
    <d v="2015-06-19T00:00:00"/>
    <x v="76"/>
    <n v="40.94"/>
    <s v="www"/>
    <d v="2015-06-19T11:08:37"/>
    <x v="17"/>
  </r>
  <r>
    <s v="0 Original"/>
    <s v="2015-06-19 Belle Short(1099)"/>
    <n v="1099"/>
    <d v="2015-06-19T00:00:00"/>
    <x v="25"/>
    <n v="60.93"/>
    <s v="www"/>
    <d v="2015-06-19T13:37:44"/>
    <x v="17"/>
  </r>
  <r>
    <s v="0 Original"/>
    <s v="2015-06-20 Ferris Erickson(366)"/>
    <n v="366"/>
    <d v="2015-06-20T00:00:00"/>
    <x v="76"/>
    <n v="16.98"/>
    <s v="www"/>
    <d v="2015-06-20T07:25:56"/>
    <x v="17"/>
  </r>
  <r>
    <s v="0 Original"/>
    <s v="2015-06-20 John Drake(1041)"/>
    <n v="1041"/>
    <d v="2015-06-20T00:00:00"/>
    <x v="9"/>
    <n v="23.97"/>
    <s v="www"/>
    <d v="2015-06-20T21:20:21"/>
    <x v="17"/>
  </r>
  <r>
    <s v="0 Original"/>
    <s v="2015-06-20 Mariko Cameron(232)"/>
    <n v="232"/>
    <d v="2015-06-20T00:00:00"/>
    <x v="19"/>
    <n v="18.97"/>
    <s v="www"/>
    <d v="2015-06-20T21:58:55"/>
    <x v="17"/>
  </r>
  <r>
    <s v="0 Original"/>
    <s v="2015-06-21 Donovan Gomez(755)"/>
    <n v="755"/>
    <d v="2015-06-21T00:00:00"/>
    <x v="7"/>
    <n v="26.96"/>
    <s v="www"/>
    <d v="2015-06-21T14:44:31"/>
    <x v="17"/>
  </r>
  <r>
    <s v="0 Original"/>
    <s v="2015-06-21 Lois Valdez(347)"/>
    <n v="347"/>
    <d v="2015-06-21T00:00:00"/>
    <x v="52"/>
    <n v="12.98"/>
    <s v="www"/>
    <d v="2015-06-21T19:32:20"/>
    <x v="17"/>
  </r>
  <r>
    <s v="0 Original"/>
    <s v="2015-06-21 Serina Booker(418)"/>
    <n v="418"/>
    <d v="2015-06-21T00:00:00"/>
    <x v="60"/>
    <n v="8.99"/>
    <s v="www"/>
    <d v="2015-06-21T21:28:01"/>
    <x v="17"/>
  </r>
  <r>
    <s v="0 Original"/>
    <s v="2015-06-22 Bernard Cash(738)"/>
    <n v="738"/>
    <d v="2015-06-22T00:00:00"/>
    <x v="43"/>
    <n v="4.99"/>
    <s v="www"/>
    <d v="2015-06-22T12:20:42"/>
    <x v="17"/>
  </r>
  <r>
    <s v="0 Original"/>
    <s v="2015-06-23 Lillian Larsen(322)"/>
    <n v="322"/>
    <d v="2015-06-23T00:00:00"/>
    <x v="41"/>
    <n v="36.950000000000003"/>
    <s v="www"/>
    <d v="2015-06-23T20:59:00"/>
    <x v="17"/>
  </r>
  <r>
    <s v="0 Original"/>
    <s v="2015-06-25 Ora Mann(79)"/>
    <n v="79"/>
    <d v="2015-06-25T00:00:00"/>
    <x v="27"/>
    <n v="58.93"/>
    <s v="www"/>
    <d v="2015-06-25T09:02:14"/>
    <x v="17"/>
  </r>
  <r>
    <s v="0 Original"/>
    <s v="2015-06-26 Christine Medina(916)"/>
    <n v="916"/>
    <d v="2015-06-26T00:00:00"/>
    <x v="8"/>
    <n v="21.96"/>
    <s v="www"/>
    <d v="2015-06-26T01:40:12"/>
    <x v="17"/>
  </r>
  <r>
    <s v="0 Original"/>
    <s v="2015-06-26 Tate Lowery(667)"/>
    <n v="667"/>
    <d v="2015-06-26T00:00:00"/>
    <x v="57"/>
    <n v="45.95"/>
    <s v="www"/>
    <d v="2015-06-26T10:21:18"/>
    <x v="17"/>
  </r>
  <r>
    <s v="0 Original"/>
    <s v="2015-06-26 Mary Moore(43)"/>
    <n v="43"/>
    <d v="2015-06-26T00:00:00"/>
    <x v="56"/>
    <n v="34.96"/>
    <s v="www"/>
    <d v="2015-06-26T23:56:46"/>
    <x v="17"/>
  </r>
  <r>
    <s v="0 Original"/>
    <s v="2015-06-27 Madeson Silva(612)"/>
    <n v="612"/>
    <d v="2015-06-27T00:00:00"/>
    <x v="63"/>
    <n v="9.99"/>
    <s v="www"/>
    <d v="2015-06-27T02:42:38"/>
    <x v="17"/>
  </r>
  <r>
    <s v="0 Original"/>
    <s v="2015-06-27 Ora Mann(1000)"/>
    <n v="1000"/>
    <d v="2015-06-27T00:00:00"/>
    <x v="27"/>
    <n v="45.94"/>
    <s v="www"/>
    <d v="2015-06-27T09:48:52"/>
    <x v="17"/>
  </r>
  <r>
    <s v="0 Original"/>
    <s v="2015-06-29 Nayda Shields(844)"/>
    <n v="844"/>
    <d v="2015-06-29T00:00:00"/>
    <x v="11"/>
    <n v="12.98"/>
    <s v="www"/>
    <d v="2015-06-29T07:58:35"/>
    <x v="17"/>
  </r>
  <r>
    <s v="0 Original"/>
    <s v="2015-06-29 Madeline Reynolds(461)"/>
    <n v="461"/>
    <d v="2015-06-29T00:00:00"/>
    <x v="13"/>
    <n v="17.98"/>
    <s v="www"/>
    <d v="2015-06-29T15:26:56"/>
    <x v="17"/>
  </r>
  <r>
    <s v="0 Original"/>
    <s v="2015-06-29 Bernard Cash(880)"/>
    <n v="880"/>
    <d v="2015-06-29T00:00:00"/>
    <x v="43"/>
    <n v="33.950000000000003"/>
    <s v="www"/>
    <d v="2015-06-29T18:59:21"/>
    <x v="17"/>
  </r>
  <r>
    <s v="0 Original"/>
    <s v="2015-07-01 Cheryl Edwards(56)"/>
    <n v="56"/>
    <d v="2015-07-01T00:00:00"/>
    <x v="93"/>
    <n v="33.96"/>
    <s v="www"/>
    <d v="2015-07-01T19:46:48"/>
    <x v="18"/>
  </r>
  <r>
    <s v="0 Original"/>
    <s v="2015-07-02 Ora Mann(772)"/>
    <n v="772"/>
    <d v="2015-07-02T00:00:00"/>
    <x v="27"/>
    <n v="6.99"/>
    <s v="www"/>
    <d v="2015-07-02T13:24:46"/>
    <x v="18"/>
  </r>
  <r>
    <s v="0 Original"/>
    <s v="2015-07-02 Belle Short(1171)"/>
    <n v="1171"/>
    <d v="2015-07-02T00:00:00"/>
    <x v="25"/>
    <n v="20.97"/>
    <s v="www"/>
    <d v="2015-07-02T19:26:08"/>
    <x v="18"/>
  </r>
  <r>
    <s v="0 Original"/>
    <s v="2015-07-02 Cameron Rivera(1173)"/>
    <n v="1173"/>
    <d v="2015-07-02T00:00:00"/>
    <x v="16"/>
    <n v="37.950000000000003"/>
    <s v="www"/>
    <d v="2015-07-02T19:40:18"/>
    <x v="18"/>
  </r>
  <r>
    <s v="0 Original"/>
    <s v="2015-07-03 Lesley Keith(173)"/>
    <n v="173"/>
    <d v="2015-07-03T00:00:00"/>
    <x v="34"/>
    <n v="38.950000000000003"/>
    <s v="www"/>
    <d v="2015-07-03T23:38:29"/>
    <x v="18"/>
  </r>
  <r>
    <s v="0 Original"/>
    <s v="2015-07-04 Nayda Shields(697)"/>
    <n v="697"/>
    <d v="2015-07-04T00:00:00"/>
    <x v="11"/>
    <n v="13.98"/>
    <s v="www"/>
    <d v="2015-07-04T10:54:03"/>
    <x v="18"/>
  </r>
  <r>
    <s v="0 Original"/>
    <s v="2015-07-04 Clio Carter(647)"/>
    <n v="647"/>
    <d v="2015-07-04T00:00:00"/>
    <x v="21"/>
    <n v="6.99"/>
    <s v="www"/>
    <d v="2015-07-04T21:04:36"/>
    <x v="18"/>
  </r>
  <r>
    <s v="0 Original"/>
    <s v="2015-07-04 Madeson Silva(650)"/>
    <n v="650"/>
    <d v="2015-07-04T00:00:00"/>
    <x v="63"/>
    <n v="7.99"/>
    <s v="www"/>
    <d v="2015-07-04T22:24:20"/>
    <x v="18"/>
  </r>
  <r>
    <s v="0 Original"/>
    <s v="2015-07-06 Nayda Shields(715)"/>
    <n v="715"/>
    <d v="2015-07-06T00:00:00"/>
    <x v="11"/>
    <n v="13.98"/>
    <s v="www"/>
    <d v="2015-07-06T02:29:27"/>
    <x v="18"/>
  </r>
  <r>
    <s v="0 Original"/>
    <s v="2015-07-06 Melvin Finch(2)"/>
    <n v="2"/>
    <d v="2015-07-06T00:00:00"/>
    <x v="92"/>
    <n v="23.97"/>
    <s v="www"/>
    <d v="2015-07-06T16:03:40"/>
    <x v="18"/>
  </r>
  <r>
    <s v="0 Original"/>
    <s v="2015-07-08 Buffy Jennings(156)"/>
    <n v="156"/>
    <d v="2015-07-08T00:00:00"/>
    <x v="47"/>
    <n v="11.98"/>
    <s v="www"/>
    <d v="2015-07-08T11:36:13"/>
    <x v="18"/>
  </r>
  <r>
    <s v="0 Original"/>
    <s v="2015-07-09 Serina Booker(563)"/>
    <n v="563"/>
    <d v="2015-07-09T00:00:00"/>
    <x v="60"/>
    <n v="34.950000000000003"/>
    <s v="www"/>
    <d v="2015-07-09T04:10:57"/>
    <x v="18"/>
  </r>
  <r>
    <s v="0 Original"/>
    <s v="2015-07-10 Claudia Crane(111)"/>
    <n v="111"/>
    <d v="2015-07-10T00:00:00"/>
    <x v="55"/>
    <n v="36.96"/>
    <s v="www"/>
    <d v="2015-07-10T11:14:43"/>
    <x v="18"/>
  </r>
  <r>
    <s v="0 Original"/>
    <s v="2015-07-10 Nayda Shields(1078)"/>
    <n v="1078"/>
    <d v="2015-07-10T00:00:00"/>
    <x v="11"/>
    <n v="21.96"/>
    <s v="www"/>
    <d v="2015-07-10T16:35:28"/>
    <x v="18"/>
  </r>
  <r>
    <s v="0 Original"/>
    <s v="2015-07-11 Cameron Rivera(1031)"/>
    <n v="1031"/>
    <d v="2015-07-11T00:00:00"/>
    <x v="16"/>
    <n v="23.97"/>
    <s v="www"/>
    <d v="2015-07-11T01:26:05"/>
    <x v="18"/>
  </r>
  <r>
    <s v="0 Original"/>
    <s v="2015-07-12 Jonah Griffin(86)"/>
    <n v="86"/>
    <d v="2015-07-12T00:00:00"/>
    <x v="71"/>
    <n v="30.95"/>
    <s v="www"/>
    <d v="2015-07-12T16:10:58"/>
    <x v="18"/>
  </r>
  <r>
    <s v="0 Original"/>
    <s v="2015-07-12 Serina Booker(246)"/>
    <n v="246"/>
    <d v="2015-07-12T00:00:00"/>
    <x v="60"/>
    <n v="46.95"/>
    <s v="www"/>
    <d v="2015-07-12T17:47:12"/>
    <x v="18"/>
  </r>
  <r>
    <s v="0 Original"/>
    <s v="2015-07-13 Dale Fry(372)"/>
    <n v="372"/>
    <d v="2015-07-13T00:00:00"/>
    <x v="66"/>
    <n v="48.93"/>
    <s v="www"/>
    <d v="2015-07-13T14:08:32"/>
    <x v="18"/>
  </r>
  <r>
    <s v="0 Original"/>
    <s v="2015-07-14 Belle Short(752)"/>
    <n v="752"/>
    <d v="2015-07-14T00:00:00"/>
    <x v="25"/>
    <n v="33.96"/>
    <s v="www"/>
    <d v="2015-07-14T08:32:17"/>
    <x v="18"/>
  </r>
  <r>
    <s v="0 Original"/>
    <s v="2015-07-14 Bernard Cash(775)"/>
    <n v="775"/>
    <d v="2015-07-14T00:00:00"/>
    <x v="43"/>
    <n v="46.93"/>
    <s v="www"/>
    <d v="2015-07-14T16:09:22"/>
    <x v="18"/>
  </r>
  <r>
    <s v="0 Original"/>
    <s v="2015-07-15 Anne Slater(503)"/>
    <n v="503"/>
    <d v="2015-07-15T00:00:00"/>
    <x v="35"/>
    <n v="40.950000000000003"/>
    <s v="www"/>
    <d v="2015-07-15T00:42:14"/>
    <x v="18"/>
  </r>
  <r>
    <s v="0 Original"/>
    <s v="2015-07-15 Nayda Shields(1139)"/>
    <n v="1139"/>
    <d v="2015-07-15T00:00:00"/>
    <x v="11"/>
    <n v="14.98"/>
    <s v="www"/>
    <d v="2015-07-15T08:33:42"/>
    <x v="18"/>
  </r>
  <r>
    <s v="0 Original"/>
    <s v="2015-07-15 Jonah Griffin(520)"/>
    <n v="520"/>
    <d v="2015-07-15T00:00:00"/>
    <x v="71"/>
    <n v="53.92"/>
    <s v="www"/>
    <d v="2015-07-15T17:45:00"/>
    <x v="18"/>
  </r>
  <r>
    <s v="0 Original"/>
    <s v="2015-07-16 Yoshi Bennett(603)"/>
    <n v="603"/>
    <d v="2015-07-16T00:00:00"/>
    <x v="40"/>
    <n v="51.93"/>
    <s v="www"/>
    <d v="2015-07-16T02:46:56"/>
    <x v="18"/>
  </r>
  <r>
    <s v="0 Original"/>
    <s v="2015-07-17 Hayley Foster(655)"/>
    <n v="655"/>
    <d v="2015-07-17T00:00:00"/>
    <x v="67"/>
    <n v="19.98"/>
    <s v="www"/>
    <d v="2015-07-17T00:59:16"/>
    <x v="18"/>
  </r>
  <r>
    <s v="0 Original"/>
    <s v="2015-07-17 Eugenia Roman(71)"/>
    <n v="71"/>
    <d v="2015-07-17T00:00:00"/>
    <x v="94"/>
    <n v="73.91"/>
    <s v="www"/>
    <d v="2015-07-17T02:17:59"/>
    <x v="18"/>
  </r>
  <r>
    <s v="0 Original"/>
    <s v="2015-07-17 Alma Salas(84)"/>
    <n v="84"/>
    <d v="2015-07-17T00:00:00"/>
    <x v="42"/>
    <n v="27.97"/>
    <s v="www"/>
    <d v="2015-07-17T04:55:12"/>
    <x v="18"/>
  </r>
  <r>
    <s v="0 Original"/>
    <s v="2015-07-18 Christine Medina(820)"/>
    <n v="820"/>
    <d v="2015-07-18T00:00:00"/>
    <x v="8"/>
    <n v="20.97"/>
    <s v="www"/>
    <d v="2015-07-18T02:03:00"/>
    <x v="18"/>
  </r>
  <r>
    <s v="0 Original"/>
    <s v="2015-07-18 Benedict Todd(57)"/>
    <n v="57"/>
    <d v="2015-07-18T00:00:00"/>
    <x v="64"/>
    <n v="100.88"/>
    <s v="www"/>
    <d v="2015-07-18T03:51:14"/>
    <x v="18"/>
  </r>
  <r>
    <s v="0 Original"/>
    <s v="2015-07-19 Serina Booker(108)"/>
    <n v="108"/>
    <d v="2015-07-19T00:00:00"/>
    <x v="60"/>
    <n v="4.99"/>
    <s v="www"/>
    <d v="2015-07-19T06:41:59"/>
    <x v="18"/>
  </r>
  <r>
    <s v="0 Original"/>
    <s v="2015-07-19 John Drake(936)"/>
    <n v="936"/>
    <d v="2015-07-19T00:00:00"/>
    <x v="9"/>
    <n v="17.98"/>
    <s v="www"/>
    <d v="2015-07-19T13:02:11"/>
    <x v="18"/>
  </r>
  <r>
    <s v="0 Original"/>
    <s v="2015-07-19 Ora Mann(992)"/>
    <n v="992"/>
    <d v="2015-07-19T00:00:00"/>
    <x v="27"/>
    <n v="43.95"/>
    <s v="www"/>
    <d v="2015-07-19T13:30:50"/>
    <x v="18"/>
  </r>
  <r>
    <s v="0 Original"/>
    <s v="2015-07-19 Lionel Vargas(575)"/>
    <n v="575"/>
    <d v="2015-07-19T00:00:00"/>
    <x v="33"/>
    <n v="55.93"/>
    <s v="www"/>
    <d v="2015-07-19T16:46:19"/>
    <x v="18"/>
  </r>
  <r>
    <s v="0 Original"/>
    <s v="2015-07-20 Lois Valdez(276)"/>
    <n v="276"/>
    <d v="2015-07-20T00:00:00"/>
    <x v="52"/>
    <n v="68.92"/>
    <s v="www"/>
    <d v="2015-07-20T01:43:54"/>
    <x v="18"/>
  </r>
  <r>
    <s v="0 Original"/>
    <s v="2015-07-20 Christine Medina(1055)"/>
    <n v="1055"/>
    <d v="2015-07-20T00:00:00"/>
    <x v="8"/>
    <n v="39.950000000000003"/>
    <s v="www"/>
    <d v="2015-07-20T10:02:42"/>
    <x v="18"/>
  </r>
  <r>
    <s v="0 Original"/>
    <s v="2015-07-20 Serina Booker(296)"/>
    <n v="296"/>
    <d v="2015-07-20T00:00:00"/>
    <x v="60"/>
    <n v="12.98"/>
    <s v="www"/>
    <d v="2015-07-20T15:55:23"/>
    <x v="18"/>
  </r>
  <r>
    <s v="0 Original"/>
    <s v="2015-07-20 Bernard Cash(806)"/>
    <n v="806"/>
    <d v="2015-07-20T00:00:00"/>
    <x v="43"/>
    <n v="106.87"/>
    <s v="www"/>
    <d v="2015-07-20T16:38:34"/>
    <x v="18"/>
  </r>
  <r>
    <s v="0 Original"/>
    <s v="2015-07-22 Madeline Reynolds(716)"/>
    <n v="716"/>
    <d v="2015-07-22T00:00:00"/>
    <x v="13"/>
    <n v="5.99"/>
    <s v="www"/>
    <d v="2015-07-22T15:06:10"/>
    <x v="18"/>
  </r>
  <r>
    <s v="0 Original"/>
    <s v="2015-07-24 Wade Coleman(109)"/>
    <n v="109"/>
    <d v="2015-07-24T00:00:00"/>
    <x v="4"/>
    <n v="32.96"/>
    <s v="www"/>
    <d v="2015-07-24T09:17:24"/>
    <x v="18"/>
  </r>
  <r>
    <s v="0 Original"/>
    <s v="2015-07-24 Wade Coleman(235)"/>
    <n v="235"/>
    <d v="2015-07-24T00:00:00"/>
    <x v="4"/>
    <n v="44.95"/>
    <s v="www"/>
    <d v="2015-07-24T20:16:04"/>
    <x v="18"/>
  </r>
  <r>
    <s v="0 Original"/>
    <s v="2015-07-24 Dane Stafford(31)"/>
    <n v="31"/>
    <d v="2015-07-24T00:00:00"/>
    <x v="29"/>
    <n v="32.94"/>
    <s v="www"/>
    <d v="2015-07-24T22:51:04"/>
    <x v="18"/>
  </r>
  <r>
    <s v="0 Original"/>
    <s v="2015-07-25 Nayda Shields(842)"/>
    <n v="842"/>
    <d v="2015-07-25T00:00:00"/>
    <x v="11"/>
    <n v="15.98"/>
    <s v="www"/>
    <d v="2015-07-25T15:40:17"/>
    <x v="18"/>
  </r>
  <r>
    <s v="0 Original"/>
    <s v="2015-07-25 Donna Molina(28)"/>
    <n v="28"/>
    <d v="2015-07-25T00:00:00"/>
    <x v="75"/>
    <n v="20.97"/>
    <s v="www"/>
    <d v="2015-07-25T16:50:15"/>
    <x v="18"/>
  </r>
  <r>
    <s v="0 Original"/>
    <s v="2015-07-27 Ora Mann(1030)"/>
    <n v="1030"/>
    <d v="2015-07-27T00:00:00"/>
    <x v="27"/>
    <n v="24.97"/>
    <s v="www"/>
    <d v="2015-07-27T03:31:51"/>
    <x v="18"/>
  </r>
  <r>
    <s v="0 Original"/>
    <s v="2015-07-27 Ferris Erickson(341)"/>
    <n v="341"/>
    <d v="2015-07-27T00:00:00"/>
    <x v="76"/>
    <n v="60.93"/>
    <s v="www"/>
    <d v="2015-07-27T05:10:35"/>
    <x v="18"/>
  </r>
  <r>
    <s v="0 Original"/>
    <s v="2015-07-28 Cameron Rivera(184)"/>
    <n v="184"/>
    <d v="2015-07-28T00:00:00"/>
    <x v="16"/>
    <n v="17.98"/>
    <s v="www"/>
    <d v="2015-07-28T14:10:02"/>
    <x v="18"/>
  </r>
  <r>
    <s v="0 Original"/>
    <s v="2015-07-28 Donovan Gomez(1066)"/>
    <n v="1066"/>
    <d v="2015-07-28T00:00:00"/>
    <x v="7"/>
    <n v="29.96"/>
    <s v="www"/>
    <d v="2015-07-28T19:56:35"/>
    <x v="18"/>
  </r>
  <r>
    <s v="0 Original"/>
    <s v="2015-07-29 Madeline Reynolds(931)"/>
    <n v="931"/>
    <d v="2015-07-29T00:00:00"/>
    <x v="13"/>
    <n v="22.97"/>
    <s v="www"/>
    <d v="2015-07-29T10:42:30"/>
    <x v="18"/>
  </r>
  <r>
    <s v="0 Original"/>
    <s v="2015-07-30 Belle Short(771)"/>
    <n v="771"/>
    <d v="2015-07-30T00:00:00"/>
    <x v="25"/>
    <n v="19.98"/>
    <s v="www"/>
    <d v="2015-07-30T04:20:54"/>
    <x v="18"/>
  </r>
  <r>
    <s v="0 Original"/>
    <s v="2015-07-30 Christine Medina(1165)"/>
    <n v="1165"/>
    <d v="2015-07-30T00:00:00"/>
    <x v="8"/>
    <n v="22.96"/>
    <s v="www"/>
    <d v="2015-07-30T17:05:09"/>
    <x v="18"/>
  </r>
  <r>
    <s v="0 Original"/>
    <s v="2015-07-30 Donovan Gomez(1129)"/>
    <n v="1129"/>
    <d v="2015-07-30T00:00:00"/>
    <x v="7"/>
    <n v="36.950000000000003"/>
    <s v="www"/>
    <d v="2015-07-30T18:49:43"/>
    <x v="18"/>
  </r>
  <r>
    <s v="0 Original"/>
    <s v="2015-07-30 Nayda Shields(879)"/>
    <n v="879"/>
    <d v="2015-07-30T00:00:00"/>
    <x v="11"/>
    <n v="48.94"/>
    <s v="www"/>
    <d v="2015-07-30T19:07:38"/>
    <x v="18"/>
  </r>
  <r>
    <s v="0 Original"/>
    <s v="2015-07-31 Ora Mann(1086)"/>
    <n v="1086"/>
    <d v="2015-07-31T00:00:00"/>
    <x v="27"/>
    <n v="22.97"/>
    <s v="www"/>
    <d v="2015-07-31T04:11:15"/>
    <x v="18"/>
  </r>
  <r>
    <s v="0 Original"/>
    <s v="2015-07-31 Lillian Larsen(601)"/>
    <n v="601"/>
    <d v="2015-07-31T00:00:00"/>
    <x v="41"/>
    <n v="6.99"/>
    <s v="www"/>
    <d v="2015-07-31T20:08:15"/>
    <x v="18"/>
  </r>
  <r>
    <s v="0 Original"/>
    <s v="2015-07-31 Bernard Cash(703)"/>
    <n v="703"/>
    <d v="2015-07-31T00:00:00"/>
    <x v="43"/>
    <n v="30.95"/>
    <s v="www"/>
    <d v="2015-07-31T22:20:28"/>
    <x v="18"/>
  </r>
  <r>
    <s v="0 Original"/>
    <s v="2015-08-01 Lois Valdez(121)"/>
    <n v="121"/>
    <d v="2015-08-01T00:00:00"/>
    <x v="52"/>
    <n v="33.96"/>
    <s v="www"/>
    <d v="2015-08-01T01:39:23"/>
    <x v="19"/>
  </r>
  <r>
    <s v="0 Original"/>
    <s v="2015-08-01 Colt Hart(34)"/>
    <n v="34"/>
    <d v="2015-08-01T00:00:00"/>
    <x v="46"/>
    <n v="27.95"/>
    <s v="www"/>
    <d v="2015-08-01T04:42:53"/>
    <x v="19"/>
  </r>
  <r>
    <s v="0 Original"/>
    <s v="2015-08-02 Mariko Cameron(613)"/>
    <n v="613"/>
    <d v="2015-08-02T00:00:00"/>
    <x v="19"/>
    <n v="19.97"/>
    <s v="www"/>
    <d v="2015-08-02T21:41:45"/>
    <x v="19"/>
  </r>
  <r>
    <s v="0 Original"/>
    <s v="2015-08-03 Theodore Mills(186)"/>
    <n v="186"/>
    <d v="2015-08-03T00:00:00"/>
    <x v="62"/>
    <n v="17.97"/>
    <s v="www"/>
    <d v="2015-08-03T10:44:58"/>
    <x v="19"/>
  </r>
  <r>
    <s v="0 Original"/>
    <s v="2015-08-03 Ivy Livingston(561)"/>
    <n v="561"/>
    <d v="2015-08-03T00:00:00"/>
    <x v="54"/>
    <n v="14.98"/>
    <s v="www"/>
    <d v="2015-08-03T15:49:54"/>
    <x v="19"/>
  </r>
  <r>
    <s v="0 Original"/>
    <s v="2015-08-03 Bernard Cash(1016)"/>
    <n v="1016"/>
    <d v="2015-08-03T00:00:00"/>
    <x v="43"/>
    <n v="37.950000000000003"/>
    <s v="www"/>
    <d v="2015-08-03T19:22:03"/>
    <x v="19"/>
  </r>
  <r>
    <s v="0 Original"/>
    <s v="2015-08-03 Ferris Erickson(176)"/>
    <n v="176"/>
    <d v="2015-08-03T00:00:00"/>
    <x v="76"/>
    <n v="26.96"/>
    <s v="www"/>
    <d v="2015-08-03T22:16:57"/>
    <x v="19"/>
  </r>
  <r>
    <s v="0 Original"/>
    <s v="2015-08-04 Bernard Cash(1131)"/>
    <n v="1131"/>
    <d v="2015-08-04T00:00:00"/>
    <x v="43"/>
    <n v="13.98"/>
    <s v="www"/>
    <d v="2015-08-04T16:28:07"/>
    <x v="19"/>
  </r>
  <r>
    <s v="0 Original"/>
    <s v="2015-08-05 Serina Booker(581)"/>
    <n v="581"/>
    <d v="2015-08-05T00:00:00"/>
    <x v="60"/>
    <n v="44.94"/>
    <s v="www"/>
    <d v="2015-08-05T09:54:42"/>
    <x v="19"/>
  </r>
  <r>
    <s v="0 Original"/>
    <s v="2015-08-05 Bernard Cash(1178)"/>
    <n v="1178"/>
    <d v="2015-08-05T00:00:00"/>
    <x v="43"/>
    <n v="23.97"/>
    <s v="www"/>
    <d v="2015-08-05T19:49:40"/>
    <x v="19"/>
  </r>
  <r>
    <s v="0 Original"/>
    <s v="2015-08-07 Abigail Shepard(187)"/>
    <n v="187"/>
    <d v="2015-08-07T00:00:00"/>
    <x v="23"/>
    <n v="10.98"/>
    <s v="www"/>
    <d v="2015-08-07T15:30:17"/>
    <x v="19"/>
  </r>
  <r>
    <s v="0 Original"/>
    <s v="2015-08-08 Stacey Kirk(387)"/>
    <n v="387"/>
    <d v="2015-08-08T00:00:00"/>
    <x v="26"/>
    <n v="35.96"/>
    <s v="www"/>
    <d v="2015-08-08T18:02:23"/>
    <x v="19"/>
  </r>
  <r>
    <s v="0 Original"/>
    <s v="2015-08-11 Colby Clay(544)"/>
    <n v="544"/>
    <d v="2015-08-11T00:00:00"/>
    <x v="0"/>
    <n v="8.99"/>
    <s v="www"/>
    <d v="2015-08-11T02:33:31"/>
    <x v="19"/>
  </r>
  <r>
    <s v="0 Original"/>
    <s v="2015-08-12 Alma Salas(621)"/>
    <n v="621"/>
    <d v="2015-08-12T00:00:00"/>
    <x v="42"/>
    <n v="23.96"/>
    <s v="www"/>
    <d v="2015-08-12T01:08:14"/>
    <x v="19"/>
  </r>
  <r>
    <s v="0 Original"/>
    <s v="2015-08-13 Bernard Cash(804)"/>
    <n v="804"/>
    <d v="2015-08-13T00:00:00"/>
    <x v="43"/>
    <n v="60.92"/>
    <s v="www"/>
    <d v="2015-08-13T11:02:04"/>
    <x v="19"/>
  </r>
  <r>
    <s v="0 Original"/>
    <s v="2015-08-14 John Drake(1074)"/>
    <n v="1074"/>
    <d v="2015-08-14T00:00:00"/>
    <x v="9"/>
    <n v="48.94"/>
    <s v="www"/>
    <d v="2015-08-14T13:55:19"/>
    <x v="19"/>
  </r>
  <r>
    <s v="0 Original"/>
    <s v="2015-08-16 Cameron Rivera(864)"/>
    <n v="864"/>
    <d v="2015-08-16T00:00:00"/>
    <x v="16"/>
    <n v="19.98"/>
    <s v="www"/>
    <d v="2015-08-16T04:07:00"/>
    <x v="19"/>
  </r>
  <r>
    <s v="0 Original"/>
    <s v="2015-08-16 Scarlett Odonnell(63)"/>
    <n v="63"/>
    <d v="2015-08-16T00:00:00"/>
    <x v="70"/>
    <n v="71.91"/>
    <s v="www"/>
    <d v="2015-08-16T19:13:42"/>
    <x v="19"/>
  </r>
  <r>
    <s v="0 Original"/>
    <s v="2015-08-17 Nayda Shields(765)"/>
    <n v="765"/>
    <d v="2015-08-17T00:00:00"/>
    <x v="11"/>
    <n v="26.96"/>
    <s v="www"/>
    <d v="2015-08-17T21:05:14"/>
    <x v="19"/>
  </r>
  <r>
    <s v="0 Original"/>
    <s v="2015-08-18 Sigourney Ramsey(178)"/>
    <n v="178"/>
    <d v="2015-08-18T00:00:00"/>
    <x v="95"/>
    <n v="59.92"/>
    <s v="www"/>
    <d v="2015-08-18T04:22:20"/>
    <x v="19"/>
  </r>
  <r>
    <s v="0 Original"/>
    <s v="2015-08-18 Claudia Crane(74)"/>
    <n v="74"/>
    <d v="2015-08-18T00:00:00"/>
    <x v="55"/>
    <n v="71.91"/>
    <s v="www"/>
    <d v="2015-08-18T04:58:38"/>
    <x v="19"/>
  </r>
  <r>
    <s v="0 Original"/>
    <s v="2015-08-19 Aspen Fuentes(10)"/>
    <n v="10"/>
    <d v="2015-08-19T00:00:00"/>
    <x v="89"/>
    <n v="54.92"/>
    <s v="www"/>
    <d v="2015-08-19T12:10:18"/>
    <x v="19"/>
  </r>
  <r>
    <s v="0 Original"/>
    <s v="2015-08-20 Ora Mann(1132)"/>
    <n v="1132"/>
    <d v="2015-08-20T00:00:00"/>
    <x v="27"/>
    <n v="11.98"/>
    <s v="www"/>
    <d v="2015-08-20T06:00:25"/>
    <x v="19"/>
  </r>
  <r>
    <s v="0 Original"/>
    <s v="2015-08-20 Christine Medina(1185)"/>
    <n v="1185"/>
    <d v="2015-08-20T00:00:00"/>
    <x v="8"/>
    <n v="22.97"/>
    <s v="www"/>
    <d v="2015-08-20T22:02:51"/>
    <x v="19"/>
  </r>
  <r>
    <s v="0 Original"/>
    <s v="2015-08-21 Lois Valdez(358)"/>
    <n v="358"/>
    <d v="2015-08-21T00:00:00"/>
    <x v="52"/>
    <n v="22.96"/>
    <s v="www"/>
    <d v="2015-08-21T17:35:31"/>
    <x v="19"/>
  </r>
  <r>
    <s v="0 Original"/>
    <s v="2015-08-21 Aristotle Avery(692)"/>
    <n v="692"/>
    <d v="2015-08-21T00:00:00"/>
    <x v="14"/>
    <n v="17.98"/>
    <s v="www"/>
    <d v="2015-08-21T19:25:06"/>
    <x v="19"/>
  </r>
  <r>
    <s v="0 Original"/>
    <s v="2015-08-22 Bernard Cash(1104)"/>
    <n v="1104"/>
    <d v="2015-08-22T00:00:00"/>
    <x v="43"/>
    <n v="58.92"/>
    <s v="www"/>
    <d v="2015-08-22T11:11:08"/>
    <x v="19"/>
  </r>
  <r>
    <s v="0 Original"/>
    <s v="2015-08-22 Stuart Vega(522)"/>
    <n v="522"/>
    <d v="2015-08-22T00:00:00"/>
    <x v="3"/>
    <n v="44.94"/>
    <s v="www"/>
    <d v="2015-08-22T20:51:53"/>
    <x v="19"/>
  </r>
  <r>
    <s v="0 Original"/>
    <s v="2015-08-24 Cameron Rivera(1180)"/>
    <n v="1180"/>
    <d v="2015-08-24T00:00:00"/>
    <x v="16"/>
    <n v="26.96"/>
    <s v="www"/>
    <d v="2015-08-24T20:22:53"/>
    <x v="19"/>
  </r>
  <r>
    <s v="0 Original"/>
    <s v="2015-08-26 Nayda Shields(835)"/>
    <n v="835"/>
    <d v="2015-08-26T00:00:00"/>
    <x v="11"/>
    <n v="27.96"/>
    <s v="www"/>
    <d v="2015-08-26T09:26:07"/>
    <x v="19"/>
  </r>
  <r>
    <s v="0 Original"/>
    <s v="2015-08-26 Christine Medina(1027)"/>
    <n v="1027"/>
    <d v="2015-08-26T00:00:00"/>
    <x v="8"/>
    <n v="14.98"/>
    <s v="www"/>
    <d v="2015-08-26T09:30:20"/>
    <x v="19"/>
  </r>
  <r>
    <s v="0 Original"/>
    <s v="2015-08-27 Ivy Livingston(382)"/>
    <n v="382"/>
    <d v="2015-08-27T00:00:00"/>
    <x v="54"/>
    <n v="22.97"/>
    <s v="www"/>
    <d v="2015-08-27T00:50:43"/>
    <x v="19"/>
  </r>
  <r>
    <s v="0 Original"/>
    <s v="2015-08-27 Cameron Rivera(790)"/>
    <n v="790"/>
    <d v="2015-08-27T00:00:00"/>
    <x v="16"/>
    <n v="34.950000000000003"/>
    <s v="www"/>
    <d v="2015-08-27T11:25:16"/>
    <x v="19"/>
  </r>
  <r>
    <s v="0 Original"/>
    <s v="2015-08-27 Jonah Griffin(248)"/>
    <n v="248"/>
    <d v="2015-08-27T00:00:00"/>
    <x v="71"/>
    <n v="48.92"/>
    <s v="www"/>
    <d v="2015-08-27T12:54:23"/>
    <x v="19"/>
  </r>
  <r>
    <s v="0 Original"/>
    <s v="2015-08-27 Nayda Shields(3)"/>
    <n v="3"/>
    <d v="2015-08-27T00:00:00"/>
    <x v="11"/>
    <n v="29.97"/>
    <s v="www"/>
    <d v="2015-08-27T23:10:34"/>
    <x v="19"/>
  </r>
  <r>
    <s v="0 Original"/>
    <s v="2015-08-28 Cameron Rivera(800)"/>
    <n v="800"/>
    <d v="2015-08-28T00:00:00"/>
    <x v="16"/>
    <n v="38.950000000000003"/>
    <s v="www"/>
    <d v="2015-08-28T13:15:18"/>
    <x v="19"/>
  </r>
  <r>
    <s v="0 Original"/>
    <s v="2015-08-28 Nayda Shields(736)"/>
    <n v="736"/>
    <d v="2015-08-28T00:00:00"/>
    <x v="11"/>
    <n v="17.97"/>
    <s v="www"/>
    <d v="2015-08-28T21:11:41"/>
    <x v="19"/>
  </r>
  <r>
    <s v="0 Original"/>
    <s v="2015-08-28 Ora Mann(1126)"/>
    <n v="1126"/>
    <d v="2015-08-28T00:00:00"/>
    <x v="27"/>
    <n v="64.91"/>
    <s v="www"/>
    <d v="2015-08-28T22:08:06"/>
    <x v="19"/>
  </r>
  <r>
    <s v="0 Original"/>
    <s v="2015-08-28 Stuart Vega(7)"/>
    <n v="7"/>
    <d v="2015-08-28T00:00:00"/>
    <x v="3"/>
    <n v="41.95"/>
    <s v="www"/>
    <d v="2015-08-28T22:17:32"/>
    <x v="19"/>
  </r>
  <r>
    <s v="0 Original"/>
    <s v="2015-08-29 Colby Clay(6)"/>
    <n v="6"/>
    <d v="2015-08-29T00:00:00"/>
    <x v="0"/>
    <n v="27.97"/>
    <s v="www"/>
    <d v="2015-08-29T05:02:08"/>
    <x v="19"/>
  </r>
  <r>
    <s v="0 Original"/>
    <s v="2015-08-29 Irene Carver(151)"/>
    <n v="151"/>
    <d v="2015-08-29T00:00:00"/>
    <x v="50"/>
    <n v="45.95"/>
    <s v="www"/>
    <d v="2015-08-29T05:32:30"/>
    <x v="19"/>
  </r>
  <r>
    <s v="0 Original"/>
    <s v="2015-08-31 Hayley Foster(249)"/>
    <n v="249"/>
    <d v="2015-08-31T00:00:00"/>
    <x v="67"/>
    <n v="23.96"/>
    <s v="www"/>
    <d v="2015-08-31T11:14:21"/>
    <x v="19"/>
  </r>
  <r>
    <s v="0 Original"/>
    <s v="2015-08-31 Tanek Santos(433)"/>
    <n v="433"/>
    <d v="2015-08-31T00:00:00"/>
    <x v="31"/>
    <n v="44.95"/>
    <s v="www"/>
    <d v="2015-08-31T23:18:25"/>
    <x v="19"/>
  </r>
  <r>
    <s v="0 Original"/>
    <s v="2015-09-01 Nayda Shields(777)"/>
    <n v="777"/>
    <d v="2015-09-01T00:00:00"/>
    <x v="11"/>
    <n v="72.900000000000006"/>
    <s v="www"/>
    <d v="2015-09-01T17:16:46"/>
    <x v="20"/>
  </r>
  <r>
    <s v="0 Original"/>
    <s v="2015-09-01 Indira Suarez(439)"/>
    <n v="439"/>
    <d v="2015-09-01T00:00:00"/>
    <x v="24"/>
    <n v="80.89"/>
    <s v="www"/>
    <d v="2015-09-01T21:25:27"/>
    <x v="20"/>
  </r>
  <r>
    <s v="0 Original"/>
    <s v="2015-09-01 Nayda Shields(342)"/>
    <n v="342"/>
    <d v="2015-09-01T00:00:00"/>
    <x v="11"/>
    <n v="56.92"/>
    <s v="www"/>
    <d v="2015-09-01T21:59:44"/>
    <x v="20"/>
  </r>
  <r>
    <s v="0 Original"/>
    <s v="2015-09-02 April Buckley(253)"/>
    <n v="253"/>
    <d v="2015-09-02T00:00:00"/>
    <x v="65"/>
    <n v="52.93"/>
    <s v="www"/>
    <d v="2015-09-02T00:48:26"/>
    <x v="20"/>
  </r>
  <r>
    <s v="0 Original"/>
    <s v="2015-09-02 Belle Short(899)"/>
    <n v="899"/>
    <d v="2015-09-02T00:00:00"/>
    <x v="25"/>
    <n v="20.96"/>
    <s v="www"/>
    <d v="2015-09-02T02:40:46"/>
    <x v="20"/>
  </r>
  <r>
    <s v="0 Original"/>
    <s v="2015-09-02 Yuri Oneal(19)"/>
    <n v="19"/>
    <d v="2015-09-02T00:00:00"/>
    <x v="88"/>
    <n v="29.96"/>
    <s v="www"/>
    <d v="2015-09-02T07:03:51"/>
    <x v="20"/>
  </r>
  <r>
    <s v="0 Original"/>
    <s v="2015-09-03 Clio Carter(566)"/>
    <n v="566"/>
    <d v="2015-09-03T00:00:00"/>
    <x v="21"/>
    <n v="15.98"/>
    <s v="www"/>
    <d v="2015-09-03T00:46:57"/>
    <x v="20"/>
  </r>
  <r>
    <s v="0 Original"/>
    <s v="2015-09-03 Nayda Shields(1114)"/>
    <n v="1114"/>
    <d v="2015-09-03T00:00:00"/>
    <x v="11"/>
    <n v="31.96"/>
    <s v="www"/>
    <d v="2015-09-03T12:44:05"/>
    <x v="20"/>
  </r>
  <r>
    <s v="0 Original"/>
    <s v="2015-09-03 Indira Suarez(360)"/>
    <n v="360"/>
    <d v="2015-09-03T00:00:00"/>
    <x v="24"/>
    <n v="45.94"/>
    <s v="www"/>
    <d v="2015-09-03T18:27:35"/>
    <x v="20"/>
  </r>
  <r>
    <s v="0 Original"/>
    <s v="2015-09-04 Ora Mann(964)"/>
    <n v="964"/>
    <d v="2015-09-04T00:00:00"/>
    <x v="27"/>
    <n v="38.94"/>
    <s v="www"/>
    <d v="2015-09-04T17:24:54"/>
    <x v="20"/>
  </r>
  <r>
    <s v="0 Original"/>
    <s v="2015-09-04 Cameron Rivera(1177)"/>
    <n v="1177"/>
    <d v="2015-09-04T00:00:00"/>
    <x v="16"/>
    <n v="37.96"/>
    <s v="www"/>
    <d v="2015-09-04T17:26:25"/>
    <x v="20"/>
  </r>
  <r>
    <s v="0 Original"/>
    <s v="2015-09-04 Bernard Cash(1067)"/>
    <n v="1067"/>
    <d v="2015-09-04T00:00:00"/>
    <x v="43"/>
    <n v="28.96"/>
    <s v="www"/>
    <d v="2015-09-04T17:35:55"/>
    <x v="20"/>
  </r>
  <r>
    <s v="0 Original"/>
    <s v="2015-09-04 Tashya Osborne(465)"/>
    <n v="465"/>
    <d v="2015-09-04T00:00:00"/>
    <x v="82"/>
    <n v="47.95"/>
    <s v="www"/>
    <d v="2015-09-04T18:34:46"/>
    <x v="20"/>
  </r>
  <r>
    <s v="0 Original"/>
    <s v="2015-09-06 Cameron Rivera(740)"/>
    <n v="740"/>
    <d v="2015-09-06T00:00:00"/>
    <x v="16"/>
    <n v="23.96"/>
    <s v="www"/>
    <d v="2015-09-06T00:55:46"/>
    <x v="20"/>
  </r>
  <r>
    <s v="0 Original"/>
    <s v="2015-09-07 Angelica Ortiz(431)"/>
    <n v="431"/>
    <d v="2015-09-07T00:00:00"/>
    <x v="17"/>
    <n v="15.98"/>
    <s v="www"/>
    <d v="2015-09-07T15:32:33"/>
    <x v="20"/>
  </r>
  <r>
    <s v="0 Original"/>
    <s v="2015-09-07 Harrison Klein(329)"/>
    <n v="329"/>
    <d v="2015-09-07T00:00:00"/>
    <x v="37"/>
    <n v="7.99"/>
    <s v="www"/>
    <d v="2015-09-07T16:51:52"/>
    <x v="20"/>
  </r>
  <r>
    <s v="0 Original"/>
    <s v="2015-09-08 Cameron Rivera(1154)"/>
    <n v="1154"/>
    <d v="2015-09-08T00:00:00"/>
    <x v="16"/>
    <n v="5.99"/>
    <s v="www"/>
    <d v="2015-09-08T01:41:44"/>
    <x v="20"/>
  </r>
  <r>
    <s v="0 Original"/>
    <s v="2015-09-08 Alma Salas(393)"/>
    <n v="393"/>
    <d v="2015-09-08T00:00:00"/>
    <x v="42"/>
    <n v="66.92"/>
    <s v="www"/>
    <d v="2015-09-08T04:54:34"/>
    <x v="20"/>
  </r>
  <r>
    <s v="0 Original"/>
    <s v="2015-09-09 Morgan Hoffman(204)"/>
    <n v="204"/>
    <d v="2015-09-09T00:00:00"/>
    <x v="39"/>
    <n v="74.92"/>
    <s v="www"/>
    <d v="2015-09-09T06:23:34"/>
    <x v="20"/>
  </r>
  <r>
    <s v="0 Original"/>
    <s v="2015-09-10 John Drake(995)"/>
    <n v="995"/>
    <d v="2015-09-10T00:00:00"/>
    <x v="9"/>
    <n v="31.96"/>
    <s v="www"/>
    <d v="2015-09-10T10:28:39"/>
    <x v="20"/>
  </r>
  <r>
    <s v="0 Original"/>
    <s v="2015-09-10 Tate Lowery(653)"/>
    <n v="653"/>
    <d v="2015-09-10T00:00:00"/>
    <x v="57"/>
    <n v="30.96"/>
    <s v="www"/>
    <d v="2015-09-10T13:33:02"/>
    <x v="20"/>
  </r>
  <r>
    <s v="0 Original"/>
    <s v="2015-09-11 Hayley Foster(384)"/>
    <n v="384"/>
    <d v="2015-09-11T00:00:00"/>
    <x v="67"/>
    <n v="18.97"/>
    <s v="www"/>
    <d v="2015-09-11T03:06:59"/>
    <x v="20"/>
  </r>
  <r>
    <s v="0 Original"/>
    <s v="2015-09-11 Renee Adkins(16)"/>
    <n v="16"/>
    <d v="2015-09-11T00:00:00"/>
    <x v="96"/>
    <n v="13.98"/>
    <s v="www"/>
    <d v="2015-09-11T13:44:57"/>
    <x v="20"/>
  </r>
  <r>
    <s v="0 Original"/>
    <s v="2015-09-12 Donovan Gomez(1009)"/>
    <n v="1009"/>
    <d v="2015-09-12T00:00:00"/>
    <x v="7"/>
    <n v="7.99"/>
    <s v="www"/>
    <d v="2015-09-12T04:55:57"/>
    <x v="20"/>
  </r>
  <r>
    <s v="0 Original"/>
    <s v="2015-09-14 Dane Stafford(264)"/>
    <n v="264"/>
    <d v="2015-09-14T00:00:00"/>
    <x v="29"/>
    <n v="74.91"/>
    <s v="www"/>
    <d v="2015-09-14T13:12:33"/>
    <x v="20"/>
  </r>
  <r>
    <s v="0 Original"/>
    <s v="2015-09-15 Cameron Rivera(850)"/>
    <n v="850"/>
    <d v="2015-09-15T00:00:00"/>
    <x v="16"/>
    <n v="48.93"/>
    <s v="www"/>
    <d v="2015-09-15T09:42:57"/>
    <x v="20"/>
  </r>
  <r>
    <s v="0 Original"/>
    <s v="2015-09-15 Yoshi Bennett(531)"/>
    <n v="531"/>
    <d v="2015-09-15T00:00:00"/>
    <x v="40"/>
    <n v="81.89"/>
    <s v="www"/>
    <d v="2015-09-15T11:20:54"/>
    <x v="20"/>
  </r>
  <r>
    <s v="0 Original"/>
    <s v="2015-09-16 Stuart Vega(427)"/>
    <n v="427"/>
    <d v="2015-09-16T00:00:00"/>
    <x v="3"/>
    <n v="61.92"/>
    <s v="www"/>
    <d v="2015-09-16T12:04:33"/>
    <x v="20"/>
  </r>
  <r>
    <s v="0 Original"/>
    <s v="2015-09-17 Donovan Gomez(921)"/>
    <n v="921"/>
    <d v="2015-09-17T00:00:00"/>
    <x v="7"/>
    <n v="24.96"/>
    <s v="www"/>
    <d v="2015-09-17T12:04:52"/>
    <x v="20"/>
  </r>
  <r>
    <s v="0 Original"/>
    <s v="2015-09-17 Aristotle Avery(12)"/>
    <n v="12"/>
    <d v="2015-09-17T00:00:00"/>
    <x v="14"/>
    <n v="29.96"/>
    <s v="www"/>
    <d v="2015-09-17T21:18:23"/>
    <x v="20"/>
  </r>
  <r>
    <s v="0 Original"/>
    <s v="2015-09-17 Belle Short(1038)"/>
    <n v="1038"/>
    <d v="2015-09-17T00:00:00"/>
    <x v="25"/>
    <n v="53.94"/>
    <s v="www"/>
    <d v="2015-09-17T21:44:35"/>
    <x v="20"/>
  </r>
  <r>
    <s v="0 Original"/>
    <s v="2015-09-18 Indira Suarez(340)"/>
    <n v="340"/>
    <d v="2015-09-18T00:00:00"/>
    <x v="24"/>
    <n v="16.97"/>
    <s v="www"/>
    <d v="2015-09-18T04:14:45"/>
    <x v="20"/>
  </r>
  <r>
    <s v="0 Original"/>
    <s v="2015-09-18 Ulysses Hudson(150)"/>
    <n v="150"/>
    <d v="2015-09-18T00:00:00"/>
    <x v="53"/>
    <n v="54.92"/>
    <s v="www"/>
    <d v="2015-09-18T17:03:51"/>
    <x v="20"/>
  </r>
  <r>
    <s v="0 Original"/>
    <s v="2015-09-19 Bernard Cash(1147)"/>
    <n v="1147"/>
    <d v="2015-09-19T00:00:00"/>
    <x v="43"/>
    <n v="72.92"/>
    <s v="www"/>
    <d v="2015-09-19T23:07:02"/>
    <x v="20"/>
  </r>
  <r>
    <s v="0 Original"/>
    <s v="2015-09-20 Alice Bray(91)"/>
    <n v="91"/>
    <d v="2015-09-20T00:00:00"/>
    <x v="45"/>
    <n v="33.96"/>
    <s v="www"/>
    <d v="2015-09-20T09:17:19"/>
    <x v="20"/>
  </r>
  <r>
    <s v="0 Original"/>
    <s v="2015-09-20 Ferris Erickson(202)"/>
    <n v="202"/>
    <d v="2015-09-20T00:00:00"/>
    <x v="76"/>
    <n v="33.96"/>
    <s v="www"/>
    <d v="2015-09-20T23:30:47"/>
    <x v="20"/>
  </r>
  <r>
    <s v="0 Original"/>
    <s v="2015-09-21 Mariko Cameron(541)"/>
    <n v="541"/>
    <d v="2015-09-21T00:00:00"/>
    <x v="19"/>
    <n v="56.93"/>
    <s v="www"/>
    <d v="2015-09-21T05:34:59"/>
    <x v="20"/>
  </r>
  <r>
    <s v="0 Original"/>
    <s v="2015-09-21 Tashya Osborne(422)"/>
    <n v="422"/>
    <d v="2015-09-21T00:00:00"/>
    <x v="82"/>
    <n v="28.96"/>
    <s v="www"/>
    <d v="2015-09-21T21:27:57"/>
    <x v="20"/>
  </r>
  <r>
    <s v="0 Original"/>
    <s v="2015-09-21 Belle Short(714)"/>
    <n v="714"/>
    <d v="2015-09-21T00:00:00"/>
    <x v="25"/>
    <n v="77.92"/>
    <s v="www"/>
    <d v="2015-09-21T23:34:46"/>
    <x v="20"/>
  </r>
  <r>
    <s v="0 Original"/>
    <s v="2015-09-23 Angelica Ortiz(488)"/>
    <n v="488"/>
    <d v="2015-09-23T00:00:00"/>
    <x v="17"/>
    <n v="33.950000000000003"/>
    <s v="www"/>
    <d v="2015-09-23T01:07:54"/>
    <x v="20"/>
  </r>
  <r>
    <s v="0 Original"/>
    <s v="2015-09-23 Iona Simpson(126)"/>
    <n v="126"/>
    <d v="2015-09-23T00:00:00"/>
    <x v="1"/>
    <n v="37.950000000000003"/>
    <s v="www"/>
    <d v="2015-09-23T16:18:29"/>
    <x v="20"/>
  </r>
  <r>
    <s v="0 Original"/>
    <s v="2015-09-23 Lionel Vargas(558)"/>
    <n v="558"/>
    <d v="2015-09-23T00:00:00"/>
    <x v="33"/>
    <n v="78.900000000000006"/>
    <s v="www"/>
    <d v="2015-09-23T17:55:32"/>
    <x v="20"/>
  </r>
  <r>
    <s v="0 Original"/>
    <s v="2015-09-24 Belle Short(834)"/>
    <n v="834"/>
    <d v="2015-09-24T00:00:00"/>
    <x v="25"/>
    <n v="29.97"/>
    <s v="www"/>
    <d v="2015-09-24T08:52:18"/>
    <x v="20"/>
  </r>
  <r>
    <s v="0 Original"/>
    <s v="2015-09-24 Lois Valdez(506)"/>
    <n v="506"/>
    <d v="2015-09-24T00:00:00"/>
    <x v="52"/>
    <n v="52.92"/>
    <s v="www"/>
    <d v="2015-09-24T13:33:22"/>
    <x v="20"/>
  </r>
  <r>
    <s v="0 Original"/>
    <s v="2015-09-26 John Drake(728)"/>
    <n v="728"/>
    <d v="2015-09-26T00:00:00"/>
    <x v="9"/>
    <n v="19.97"/>
    <s v="www"/>
    <d v="2015-09-26T01:42:27"/>
    <x v="20"/>
  </r>
  <r>
    <s v="0 Original"/>
    <s v="2015-09-27 Tashya Osborne(485)"/>
    <n v="485"/>
    <d v="2015-09-27T00:00:00"/>
    <x v="82"/>
    <n v="9.99"/>
    <s v="www"/>
    <d v="2015-09-27T03:49:50"/>
    <x v="20"/>
  </r>
  <r>
    <s v="0 Original"/>
    <s v="2015-09-27 Donovan Gomez(792)"/>
    <n v="792"/>
    <d v="2015-09-27T00:00:00"/>
    <x v="7"/>
    <n v="58.92"/>
    <s v="www"/>
    <d v="2015-09-27T08:05:40"/>
    <x v="20"/>
  </r>
  <r>
    <s v="0 Original"/>
    <s v="2015-09-27 Madeline Reynolds(940)"/>
    <n v="940"/>
    <d v="2015-09-27T00:00:00"/>
    <x v="13"/>
    <n v="45.94"/>
    <s v="www"/>
    <d v="2015-09-27T19:47:18"/>
    <x v="20"/>
  </r>
  <r>
    <s v="0 Original"/>
    <s v="2015-09-27 Claudia Crane(534)"/>
    <n v="534"/>
    <d v="2015-09-27T00:00:00"/>
    <x v="55"/>
    <n v="28.96"/>
    <s v="www"/>
    <d v="2015-09-27T22:44:37"/>
    <x v="20"/>
  </r>
  <r>
    <s v="0 Original"/>
    <s v="2015-09-29 Serina Booker(536)"/>
    <n v="536"/>
    <d v="2015-09-29T00:00:00"/>
    <x v="60"/>
    <n v="82.9"/>
    <s v="www"/>
    <d v="2015-09-29T11:40:43"/>
    <x v="20"/>
  </r>
  <r>
    <s v="0 Original"/>
    <s v="2015-09-29 Bernard Cash(1102)"/>
    <n v="1102"/>
    <d v="2015-09-29T00:00:00"/>
    <x v="43"/>
    <n v="41.94"/>
    <s v="www"/>
    <d v="2015-09-29T14:38:34"/>
    <x v="20"/>
  </r>
  <r>
    <s v="0 Original"/>
    <s v="2015-09-29 Christine Medina(845)"/>
    <n v="845"/>
    <d v="2015-09-29T00:00:00"/>
    <x v="8"/>
    <n v="16.97"/>
    <s v="www"/>
    <d v="2015-09-29T14:55:53"/>
    <x v="20"/>
  </r>
  <r>
    <s v="0 Original"/>
    <s v="2015-09-29 Bernard Cash(824)"/>
    <n v="824"/>
    <d v="2015-09-29T00:00:00"/>
    <x v="43"/>
    <n v="14.98"/>
    <s v="www"/>
    <d v="2015-09-29T22:29:43"/>
    <x v="20"/>
  </r>
  <r>
    <s v="0 Original"/>
    <s v="2015-09-30 John Drake(802)"/>
    <n v="802"/>
    <d v="2015-09-30T00:00:00"/>
    <x v="9"/>
    <n v="14.98"/>
    <s v="www"/>
    <d v="2015-09-30T01:01:19"/>
    <x v="20"/>
  </r>
  <r>
    <s v="0 Original"/>
    <s v="2015-10-01 Belle Short(18)"/>
    <n v="18"/>
    <d v="2015-10-01T00:00:00"/>
    <x v="25"/>
    <n v="9.99"/>
    <s v="www"/>
    <d v="2015-10-01T02:27:13"/>
    <x v="21"/>
  </r>
  <r>
    <s v="0 Original"/>
    <s v="2015-10-01 Stuart Vega(512)"/>
    <n v="512"/>
    <d v="2015-10-01T00:00:00"/>
    <x v="3"/>
    <n v="13.98"/>
    <s v="www"/>
    <d v="2015-10-01T14:14:19"/>
    <x v="21"/>
  </r>
  <r>
    <s v="0 Original"/>
    <s v="2015-10-02 Ora Mann(227)"/>
    <n v="227"/>
    <d v="2015-10-02T00:00:00"/>
    <x v="27"/>
    <n v="11.98"/>
    <s v="www"/>
    <d v="2015-10-02T05:42:46"/>
    <x v="21"/>
  </r>
  <r>
    <s v="0 Original"/>
    <s v="2015-10-03 Alice Bray(48)"/>
    <n v="48"/>
    <d v="2015-10-03T00:00:00"/>
    <x v="45"/>
    <n v="15.97"/>
    <s v="www"/>
    <d v="2015-10-03T01:37:03"/>
    <x v="21"/>
  </r>
  <r>
    <s v="0 Original"/>
    <s v="2015-10-03 John Drake(99)"/>
    <n v="99"/>
    <d v="2015-10-03T00:00:00"/>
    <x v="9"/>
    <n v="30.96"/>
    <s v="www"/>
    <d v="2015-10-03T09:49:22"/>
    <x v="21"/>
  </r>
  <r>
    <s v="0 Original"/>
    <s v="2015-10-03 Cheryl Edwards(62)"/>
    <n v="62"/>
    <d v="2015-10-03T00:00:00"/>
    <x v="93"/>
    <n v="25.97"/>
    <s v="www"/>
    <d v="2015-10-03T10:32:35"/>
    <x v="21"/>
  </r>
  <r>
    <s v="0 Original"/>
    <s v="2015-10-03 Anne Slater(93)"/>
    <n v="93"/>
    <d v="2015-10-03T00:00:00"/>
    <x v="35"/>
    <n v="33.96"/>
    <s v="www"/>
    <d v="2015-10-03T21:14:07"/>
    <x v="21"/>
  </r>
  <r>
    <s v="0 Original"/>
    <s v="2015-10-03 Stacey Kirk(361)"/>
    <n v="361"/>
    <d v="2015-10-03T00:00:00"/>
    <x v="26"/>
    <n v="53.94"/>
    <s v="www"/>
    <d v="2015-10-03T21:31:34"/>
    <x v="21"/>
  </r>
  <r>
    <s v="0 Original"/>
    <s v="2015-10-04 Madeson Silva(651)"/>
    <n v="651"/>
    <d v="2015-10-04T00:00:00"/>
    <x v="63"/>
    <n v="5.99"/>
    <s v="www"/>
    <d v="2015-10-04T13:42:07"/>
    <x v="21"/>
  </r>
  <r>
    <s v="0 Original"/>
    <s v="2015-10-04 Lucius Gallagher(168)"/>
    <n v="168"/>
    <d v="2015-10-04T00:00:00"/>
    <x v="78"/>
    <n v="43.94"/>
    <s v="www"/>
    <d v="2015-10-04T21:49:23"/>
    <x v="21"/>
  </r>
  <r>
    <s v="0 Original"/>
    <s v="2015-10-05 Ora Mann(825)"/>
    <n v="825"/>
    <d v="2015-10-05T00:00:00"/>
    <x v="27"/>
    <n v="23.97"/>
    <s v="www"/>
    <d v="2015-10-05T10:31:38"/>
    <x v="21"/>
  </r>
  <r>
    <s v="0 Original"/>
    <s v="2015-10-07 Benedict Todd(277)"/>
    <n v="277"/>
    <d v="2015-10-07T00:00:00"/>
    <x v="64"/>
    <n v="13.98"/>
    <s v="www"/>
    <d v="2015-10-07T01:34:07"/>
    <x v="21"/>
  </r>
  <r>
    <s v="0 Original"/>
    <s v="2015-10-08 Uta Workman(645)"/>
    <n v="645"/>
    <d v="2015-10-08T00:00:00"/>
    <x v="18"/>
    <n v="38.950000000000003"/>
    <s v="www"/>
    <d v="2015-10-08T10:00:46"/>
    <x v="21"/>
  </r>
  <r>
    <s v="0 Original"/>
    <s v="2015-10-08 Angelica Ortiz(456)"/>
    <n v="456"/>
    <d v="2015-10-08T00:00:00"/>
    <x v="17"/>
    <n v="5.99"/>
    <s v="www"/>
    <d v="2015-10-08T13:15:17"/>
    <x v="21"/>
  </r>
  <r>
    <s v="0 Original"/>
    <s v="2015-10-08 John Drake(878)"/>
    <n v="878"/>
    <d v="2015-10-08T00:00:00"/>
    <x v="9"/>
    <n v="19.97"/>
    <s v="www"/>
    <d v="2015-10-08T19:01:50"/>
    <x v="21"/>
  </r>
  <r>
    <s v="0 Original"/>
    <s v="2015-10-08 Prescott Nelson(1159)"/>
    <n v="1159"/>
    <d v="2015-10-08T00:00:00"/>
    <x v="2"/>
    <n v="22.96"/>
    <s v="www"/>
    <d v="2015-10-08T19:56:30"/>
    <x v="21"/>
  </r>
  <r>
    <s v="0 Original"/>
    <s v="2015-10-10 Cameron Burton(143)"/>
    <n v="143"/>
    <d v="2015-10-10T00:00:00"/>
    <x v="49"/>
    <n v="51.92"/>
    <s v="www"/>
    <d v="2015-10-10T01:00:40"/>
    <x v="21"/>
  </r>
  <r>
    <s v="0 Original"/>
    <s v="2015-10-10 Morgan Hoffman(479)"/>
    <n v="479"/>
    <d v="2015-10-10T00:00:00"/>
    <x v="39"/>
    <n v="9.99"/>
    <s v="www"/>
    <d v="2015-10-10T18:45:18"/>
    <x v="21"/>
  </r>
  <r>
    <s v="0 Original"/>
    <s v="2015-10-11 Bernard Cash(1107)"/>
    <n v="1107"/>
    <d v="2015-10-11T00:00:00"/>
    <x v="43"/>
    <n v="25.97"/>
    <s v="www"/>
    <d v="2015-10-11T10:48:21"/>
    <x v="21"/>
  </r>
  <r>
    <s v="0 Original"/>
    <s v="2015-10-12 Zane Parrish(649)"/>
    <n v="649"/>
    <d v="2015-10-12T00:00:00"/>
    <x v="30"/>
    <n v="11.98"/>
    <s v="www"/>
    <d v="2015-10-12T01:48:27"/>
    <x v="21"/>
  </r>
  <r>
    <s v="0 Original"/>
    <s v="2015-10-12 Cameron Rivera(828)"/>
    <n v="828"/>
    <d v="2015-10-12T00:00:00"/>
    <x v="16"/>
    <n v="14.98"/>
    <s v="www"/>
    <d v="2015-10-12T12:07:09"/>
    <x v="21"/>
  </r>
  <r>
    <s v="0 Original"/>
    <s v="2015-10-13 Madeline Reynolds(848)"/>
    <n v="848"/>
    <d v="2015-10-13T00:00:00"/>
    <x v="13"/>
    <n v="49.93"/>
    <s v="www"/>
    <d v="2015-10-13T02:04:14"/>
    <x v="21"/>
  </r>
  <r>
    <s v="0 Original"/>
    <s v="2015-10-14 Gabriel Carlson(35)"/>
    <n v="35"/>
    <d v="2015-10-14T00:00:00"/>
    <x v="32"/>
    <n v="84.89"/>
    <s v="www"/>
    <d v="2015-10-14T19:37:57"/>
    <x v="21"/>
  </r>
  <r>
    <s v="0 Original"/>
    <s v="2015-10-16 Bernard Cash(734)"/>
    <n v="734"/>
    <d v="2015-10-16T00:00:00"/>
    <x v="43"/>
    <n v="20.97"/>
    <s v="www"/>
    <d v="2015-10-16T13:30:43"/>
    <x v="21"/>
  </r>
  <r>
    <s v="0 Original"/>
    <s v="2015-10-16 Wade Coleman(210)"/>
    <n v="210"/>
    <d v="2015-10-16T00:00:00"/>
    <x v="4"/>
    <n v="44.94"/>
    <s v="www"/>
    <d v="2015-10-16T22:39:29"/>
    <x v="21"/>
  </r>
  <r>
    <s v="0 Original"/>
    <s v="2015-10-18 Donovan Gomez(1018)"/>
    <n v="1018"/>
    <d v="2015-10-18T00:00:00"/>
    <x v="7"/>
    <n v="26.95"/>
    <s v="www"/>
    <d v="2015-10-18T10:16:42"/>
    <x v="21"/>
  </r>
  <r>
    <s v="0 Original"/>
    <s v="2015-10-18 Rhonda Curtis(436)"/>
    <n v="436"/>
    <d v="2015-10-18T00:00:00"/>
    <x v="15"/>
    <n v="40.94"/>
    <s v="www"/>
    <d v="2015-10-18T10:27:12"/>
    <x v="21"/>
  </r>
  <r>
    <s v="0 Original"/>
    <s v="2015-10-18 Prescott Nelson(1069)"/>
    <n v="1069"/>
    <d v="2015-10-18T00:00:00"/>
    <x v="2"/>
    <n v="41.94"/>
    <s v="www"/>
    <d v="2015-10-18T10:38:33"/>
    <x v="21"/>
  </r>
  <r>
    <s v="0 Original"/>
    <s v="2015-10-19 John Drake(741)"/>
    <n v="741"/>
    <d v="2015-10-19T00:00:00"/>
    <x v="9"/>
    <n v="17.98"/>
    <s v="www"/>
    <d v="2015-10-19T18:16:09"/>
    <x v="21"/>
  </r>
  <r>
    <s v="0 Original"/>
    <s v="2015-10-20 Galvin Becker(163)"/>
    <n v="163"/>
    <d v="2015-10-20T00:00:00"/>
    <x v="28"/>
    <n v="34.96"/>
    <s v="www"/>
    <d v="2015-10-20T18:31:04"/>
    <x v="21"/>
  </r>
  <r>
    <s v="0 Original"/>
    <s v="2015-10-21 Blossom Mosley(462)"/>
    <n v="462"/>
    <d v="2015-10-21T00:00:00"/>
    <x v="38"/>
    <n v="28.96"/>
    <s v="www"/>
    <d v="2015-10-21T10:48:44"/>
    <x v="21"/>
  </r>
  <r>
    <s v="0 Original"/>
    <s v="2015-10-22 Madeline Reynolds(599)"/>
    <n v="599"/>
    <d v="2015-10-22T00:00:00"/>
    <x v="13"/>
    <n v="103.88"/>
    <s v="www"/>
    <d v="2015-10-22T01:04:55"/>
    <x v="21"/>
  </r>
  <r>
    <s v="0 Original"/>
    <s v="2015-10-24 Gabriel Carlson(371)"/>
    <n v="371"/>
    <d v="2015-10-24T00:00:00"/>
    <x v="32"/>
    <n v="13.98"/>
    <s v="www"/>
    <d v="2015-10-24T00:10:41"/>
    <x v="21"/>
  </r>
  <r>
    <s v="0 Original"/>
    <s v="2015-10-24 Christine Medina(1187)"/>
    <n v="1187"/>
    <d v="2015-10-24T00:00:00"/>
    <x v="8"/>
    <n v="34.950000000000003"/>
    <s v="www"/>
    <d v="2015-10-24T13:51:05"/>
    <x v="21"/>
  </r>
  <r>
    <s v="0 Original"/>
    <s v="2015-10-24 Ora Mann(840)"/>
    <n v="840"/>
    <d v="2015-10-24T00:00:00"/>
    <x v="27"/>
    <n v="14.98"/>
    <s v="www"/>
    <d v="2015-10-24T15:12:06"/>
    <x v="21"/>
  </r>
  <r>
    <s v="0 Original"/>
    <s v="2015-10-24 Prescott Nelson(960)"/>
    <n v="960"/>
    <d v="2015-10-24T00:00:00"/>
    <x v="2"/>
    <n v="14.98"/>
    <s v="www"/>
    <d v="2015-10-24T22:46:50"/>
    <x v="21"/>
  </r>
  <r>
    <s v="0 Original"/>
    <s v="2015-10-24 John Drake(1097)"/>
    <n v="1097"/>
    <d v="2015-10-24T00:00:00"/>
    <x v="9"/>
    <n v="11.98"/>
    <s v="www"/>
    <d v="2015-10-24T23:41:37"/>
    <x v="21"/>
  </r>
  <r>
    <s v="0 Original"/>
    <s v="2015-10-26 Hayley Foster(398)"/>
    <n v="398"/>
    <d v="2015-10-26T00:00:00"/>
    <x v="67"/>
    <n v="66.91"/>
    <s v="www"/>
    <d v="2015-10-26T08:01:01"/>
    <x v="21"/>
  </r>
  <r>
    <s v="0 Original"/>
    <s v="2015-10-27 Nayda Shields(904)"/>
    <n v="904"/>
    <d v="2015-10-27T00:00:00"/>
    <x v="11"/>
    <n v="25.96"/>
    <s v="www"/>
    <d v="2015-10-27T02:07:59"/>
    <x v="21"/>
  </r>
  <r>
    <s v="0 Original"/>
    <s v="2015-10-27 Uta Workman(631)"/>
    <n v="631"/>
    <d v="2015-10-27T00:00:00"/>
    <x v="18"/>
    <n v="22.97"/>
    <s v="www"/>
    <d v="2015-10-27T15:18:37"/>
    <x v="21"/>
  </r>
  <r>
    <s v="0 Original"/>
    <s v="2015-10-28 Bernard Cash(1053)"/>
    <n v="1053"/>
    <d v="2015-10-28T00:00:00"/>
    <x v="43"/>
    <n v="22.97"/>
    <s v="www"/>
    <d v="2015-10-28T12:43:26"/>
    <x v="21"/>
  </r>
  <r>
    <s v="0 Original"/>
    <s v="2015-10-28 Belle Short(717)"/>
    <n v="717"/>
    <d v="2015-10-28T00:00:00"/>
    <x v="25"/>
    <n v="24.96"/>
    <s v="www"/>
    <d v="2015-10-28T18:49:12"/>
    <x v="21"/>
  </r>
  <r>
    <s v="0 Original"/>
    <s v="2015-10-28 Lois Valdez(571)"/>
    <n v="571"/>
    <d v="2015-10-28T00:00:00"/>
    <x v="52"/>
    <n v="13.98"/>
    <s v="www"/>
    <d v="2015-10-28T19:06:33"/>
    <x v="21"/>
  </r>
  <r>
    <s v="0 Original"/>
    <s v="2015-10-30 Indira Suarez(516)"/>
    <n v="516"/>
    <d v="2015-10-30T00:00:00"/>
    <x v="24"/>
    <n v="32.96"/>
    <s v="www"/>
    <d v="2015-10-30T16:51:14"/>
    <x v="21"/>
  </r>
  <r>
    <s v="0 Original"/>
    <s v="2015-10-30 Ora Mann(1192)"/>
    <n v="1192"/>
    <d v="2015-10-30T00:00:00"/>
    <x v="27"/>
    <n v="31.96"/>
    <s v="www"/>
    <d v="2015-10-30T18:26:53"/>
    <x v="21"/>
  </r>
  <r>
    <s v="0 Original"/>
    <s v="2015-10-31 Bernard Cash(1032)"/>
    <n v="1032"/>
    <d v="2015-10-31T00:00:00"/>
    <x v="43"/>
    <n v="12.98"/>
    <s v="www"/>
    <d v="2015-10-31T01:16:02"/>
    <x v="21"/>
  </r>
  <r>
    <s v="0 Original"/>
    <s v="2015-10-31 Yetta Duke(73)"/>
    <n v="73"/>
    <d v="2015-10-31T00:00:00"/>
    <x v="97"/>
    <n v="46.94"/>
    <s v="www"/>
    <d v="2015-10-31T12:34:47"/>
    <x v="21"/>
  </r>
  <r>
    <s v="0 Original"/>
    <s v="2015-10-31 Armando Le(8)"/>
    <n v="8"/>
    <d v="2015-10-31T00:00:00"/>
    <x v="61"/>
    <n v="62.91"/>
    <s v="www"/>
    <d v="2015-10-31T22:38:23"/>
    <x v="21"/>
  </r>
  <r>
    <s v="0 Original"/>
    <s v="2015-11-01 Clio Carter(446)"/>
    <n v="446"/>
    <d v="2015-11-01T00:00:00"/>
    <x v="21"/>
    <n v="86.88"/>
    <s v="www"/>
    <d v="2015-11-01T18:53:01"/>
    <x v="22"/>
  </r>
  <r>
    <s v="0 Original"/>
    <s v="2015-11-01 John Drake(1039)"/>
    <n v="1039"/>
    <d v="2015-11-01T00:00:00"/>
    <x v="9"/>
    <n v="29.95"/>
    <s v="www"/>
    <d v="2015-11-01T19:12:23"/>
    <x v="22"/>
  </r>
  <r>
    <s v="0 Original"/>
    <s v="2015-11-02 Zeus Trujillo(45)"/>
    <n v="45"/>
    <d v="2015-11-02T00:00:00"/>
    <x v="5"/>
    <n v="16.97"/>
    <s v="www"/>
    <d v="2015-11-02T00:06:39"/>
    <x v="22"/>
  </r>
  <r>
    <s v="0 Original"/>
    <s v="2015-11-02 Ora Mann(1176)"/>
    <n v="1176"/>
    <d v="2015-11-02T00:00:00"/>
    <x v="27"/>
    <n v="22.97"/>
    <s v="www"/>
    <d v="2015-11-02T06:59:02"/>
    <x v="22"/>
  </r>
  <r>
    <s v="0 Original"/>
    <s v="2015-11-02 Christine Medina(732)"/>
    <n v="732"/>
    <d v="2015-11-02T00:00:00"/>
    <x v="8"/>
    <n v="22.97"/>
    <s v="www"/>
    <d v="2015-11-02T10:29:04"/>
    <x v="22"/>
  </r>
  <r>
    <s v="0 Original"/>
    <s v="2015-11-02 Cameron Rivera(724)"/>
    <n v="724"/>
    <d v="2015-11-02T00:00:00"/>
    <x v="16"/>
    <n v="23.97"/>
    <s v="www"/>
    <d v="2015-11-02T10:49:04"/>
    <x v="22"/>
  </r>
  <r>
    <s v="0 Original"/>
    <s v="2015-11-02 Adrian Dodson(110)"/>
    <n v="110"/>
    <d v="2015-11-02T00:00:00"/>
    <x v="12"/>
    <n v="28.96"/>
    <s v="www"/>
    <d v="2015-11-02T23:25:14"/>
    <x v="22"/>
  </r>
  <r>
    <s v="0 Original"/>
    <s v="2015-11-03 Ora Mann(937)"/>
    <n v="937"/>
    <d v="2015-11-03T00:00:00"/>
    <x v="27"/>
    <n v="9.99"/>
    <s v="www"/>
    <d v="2015-11-03T17:03:05"/>
    <x v="22"/>
  </r>
  <r>
    <s v="0 Original"/>
    <s v="2015-11-03 Belle Short(750)"/>
    <n v="750"/>
    <d v="2015-11-03T00:00:00"/>
    <x v="25"/>
    <n v="19.98"/>
    <s v="www"/>
    <d v="2015-11-03T19:00:52"/>
    <x v="22"/>
  </r>
  <r>
    <s v="0 Original"/>
    <s v="2015-11-05 Ora Mann(871)"/>
    <n v="871"/>
    <d v="2015-11-05T00:00:00"/>
    <x v="27"/>
    <n v="17.97"/>
    <s v="www"/>
    <d v="2015-11-05T00:22:07"/>
    <x v="22"/>
  </r>
  <r>
    <s v="0 Original"/>
    <s v="2015-11-06 Madeline Reynolds(861)"/>
    <n v="861"/>
    <d v="2015-11-06T00:00:00"/>
    <x v="13"/>
    <n v="42.93"/>
    <s v="www"/>
    <d v="2015-11-06T04:02:19"/>
    <x v="22"/>
  </r>
  <r>
    <s v="0 Original"/>
    <s v="2015-11-06 Lillian Larsen(334)"/>
    <n v="334"/>
    <d v="2015-11-06T00:00:00"/>
    <x v="41"/>
    <n v="14.98"/>
    <s v="www"/>
    <d v="2015-11-06T13:00:50"/>
    <x v="22"/>
  </r>
  <r>
    <s v="0 Original"/>
    <s v="2015-11-07 Cameron Rivera(961)"/>
    <n v="961"/>
    <d v="2015-11-07T00:00:00"/>
    <x v="16"/>
    <n v="13.98"/>
    <s v="www"/>
    <d v="2015-11-07T14:03:31"/>
    <x v="22"/>
  </r>
  <r>
    <s v="0 Original"/>
    <s v="2015-11-08 Prescott Nelson(1062)"/>
    <n v="1062"/>
    <d v="2015-11-08T00:00:00"/>
    <x v="2"/>
    <n v="35.96"/>
    <s v="www"/>
    <d v="2015-11-08T03:19:58"/>
    <x v="22"/>
  </r>
  <r>
    <s v="0 Original"/>
    <s v="2015-11-09 Galvin Becker(535)"/>
    <n v="535"/>
    <d v="2015-11-09T00:00:00"/>
    <x v="28"/>
    <n v="32.96"/>
    <s v="www"/>
    <d v="2015-11-09T00:58:53"/>
    <x v="22"/>
  </r>
  <r>
    <s v="0 Original"/>
    <s v="2015-11-09 Cameron Rivera(1174)"/>
    <n v="1174"/>
    <d v="2015-11-09T00:00:00"/>
    <x v="16"/>
    <n v="9.99"/>
    <s v="www"/>
    <d v="2015-11-09T17:01:30"/>
    <x v="22"/>
  </r>
  <r>
    <s v="0 Original"/>
    <s v="2015-11-09 Madeline Reynolds(838)"/>
    <n v="838"/>
    <d v="2015-11-09T00:00:00"/>
    <x v="13"/>
    <n v="42.95"/>
    <s v="www"/>
    <d v="2015-11-09T19:45:27"/>
    <x v="22"/>
  </r>
  <r>
    <s v="0 Original"/>
    <s v="2015-11-10 Zeus Trujillo(472)"/>
    <n v="472"/>
    <d v="2015-11-10T00:00:00"/>
    <x v="5"/>
    <n v="6.99"/>
    <s v="www"/>
    <d v="2015-11-10T04:38:56"/>
    <x v="22"/>
  </r>
  <r>
    <s v="0 Original"/>
    <s v="2015-11-10 Hayley Foster(409)"/>
    <n v="409"/>
    <d v="2015-11-10T00:00:00"/>
    <x v="67"/>
    <n v="77.91"/>
    <s v="www"/>
    <d v="2015-11-10T14:56:24"/>
    <x v="22"/>
  </r>
  <r>
    <s v="0 Original"/>
    <s v="2015-11-10 Donovan Gomez(1010)"/>
    <n v="1010"/>
    <d v="2015-11-10T00:00:00"/>
    <x v="7"/>
    <n v="42.94"/>
    <s v="www"/>
    <d v="2015-11-10T20:59:01"/>
    <x v="22"/>
  </r>
  <r>
    <s v="0 Original"/>
    <s v="2015-11-11 Tanek Santos(325)"/>
    <n v="325"/>
    <d v="2015-11-11T00:00:00"/>
    <x v="31"/>
    <n v="20.97"/>
    <s v="www"/>
    <d v="2015-11-11T01:52:02"/>
    <x v="22"/>
  </r>
  <r>
    <s v="0 Original"/>
    <s v="2015-11-11 Cameron Rivera(932)"/>
    <n v="932"/>
    <d v="2015-11-11T00:00:00"/>
    <x v="16"/>
    <n v="6.99"/>
    <s v="www"/>
    <d v="2015-11-11T12:47:07"/>
    <x v="22"/>
  </r>
  <r>
    <s v="0 Original"/>
    <s v="2015-11-12 Alma Salas(434)"/>
    <n v="434"/>
    <d v="2015-11-12T00:00:00"/>
    <x v="42"/>
    <n v="12.98"/>
    <s v="www"/>
    <d v="2015-11-12T00:19:01"/>
    <x v="22"/>
  </r>
  <r>
    <s v="0 Original"/>
    <s v="2015-11-13 Donovan Gomez(41)"/>
    <n v="41"/>
    <d v="2015-11-13T00:00:00"/>
    <x v="7"/>
    <n v="15.98"/>
    <s v="www"/>
    <d v="2015-11-13T07:16:40"/>
    <x v="22"/>
  </r>
  <r>
    <s v="0 Original"/>
    <s v="2015-11-13 April Buckley(679)"/>
    <n v="679"/>
    <d v="2015-11-13T00:00:00"/>
    <x v="65"/>
    <n v="58.92"/>
    <s v="www"/>
    <d v="2015-11-13T08:36:39"/>
    <x v="22"/>
  </r>
  <r>
    <s v="0 Original"/>
    <s v="2015-11-13 Nayda Shields(858)"/>
    <n v="858"/>
    <d v="2015-11-13T00:00:00"/>
    <x v="11"/>
    <n v="39.94"/>
    <s v="www"/>
    <d v="2015-11-13T20:41:23"/>
    <x v="22"/>
  </r>
  <r>
    <s v="0 Original"/>
    <s v="2015-11-14 Christine Medina(889)"/>
    <n v="889"/>
    <d v="2015-11-14T00:00:00"/>
    <x v="8"/>
    <n v="32.96"/>
    <s v="www"/>
    <d v="2015-11-14T08:34:20"/>
    <x v="22"/>
  </r>
  <r>
    <s v="0 Original"/>
    <s v="2015-11-14 Donovan Gomez(1024)"/>
    <n v="1024"/>
    <d v="2015-11-14T00:00:00"/>
    <x v="7"/>
    <n v="29.97"/>
    <s v="www"/>
    <d v="2015-11-14T22:32:11"/>
    <x v="22"/>
  </r>
  <r>
    <s v="0 Original"/>
    <s v="2015-11-14 Alma Salas(106)"/>
    <n v="106"/>
    <d v="2015-11-14T00:00:00"/>
    <x v="42"/>
    <n v="30.95"/>
    <s v="www"/>
    <d v="2015-11-14T23:58:09"/>
    <x v="22"/>
  </r>
  <r>
    <s v="0 Original"/>
    <s v="2015-11-15 Indira Suarez(1)"/>
    <n v="1"/>
    <d v="2015-11-15T00:00:00"/>
    <x v="24"/>
    <n v="9.99"/>
    <s v="www"/>
    <d v="2015-11-15T09:53:49"/>
    <x v="22"/>
  </r>
  <r>
    <s v="0 Original"/>
    <s v="2015-11-16 Armando Le(619)"/>
    <n v="619"/>
    <d v="2015-11-16T00:00:00"/>
    <x v="61"/>
    <n v="29.96"/>
    <s v="www"/>
    <d v="2015-11-16T08:05:58"/>
    <x v="22"/>
  </r>
  <r>
    <s v="0 Original"/>
    <s v="2015-11-18 Cameron Rivera(1123)"/>
    <n v="1123"/>
    <d v="2015-11-18T00:00:00"/>
    <x v="16"/>
    <n v="51.94"/>
    <s v="www"/>
    <d v="2015-11-18T04:19:19"/>
    <x v="22"/>
  </r>
  <r>
    <s v="0 Original"/>
    <s v="2015-11-18 Clio Carter(247)"/>
    <n v="247"/>
    <d v="2015-11-18T00:00:00"/>
    <x v="21"/>
    <n v="31.96"/>
    <s v="www"/>
    <d v="2015-11-18T11:59:47"/>
    <x v="22"/>
  </r>
  <r>
    <s v="0 Original"/>
    <s v="2015-11-19 Hayley Foster(593)"/>
    <n v="593"/>
    <d v="2015-11-19T00:00:00"/>
    <x v="67"/>
    <n v="4.99"/>
    <s v="www"/>
    <d v="2015-11-19T03:56:46"/>
    <x v="22"/>
  </r>
  <r>
    <s v="0 Original"/>
    <s v="2015-11-19 Ivy Livingston(375)"/>
    <n v="375"/>
    <d v="2015-11-19T00:00:00"/>
    <x v="54"/>
    <n v="77.900000000000006"/>
    <s v="www"/>
    <d v="2015-11-19T19:45:50"/>
    <x v="22"/>
  </r>
  <r>
    <s v="0 Original"/>
    <s v="2015-11-21 Ora Mann(289)"/>
    <n v="289"/>
    <d v="2015-11-21T00:00:00"/>
    <x v="27"/>
    <n v="31.96"/>
    <s v="www"/>
    <d v="2015-11-21T11:57:05"/>
    <x v="22"/>
  </r>
  <r>
    <s v="0 Original"/>
    <s v="2015-11-23 Cameron Rivera(807)"/>
    <n v="807"/>
    <d v="2015-11-23T00:00:00"/>
    <x v="16"/>
    <n v="4.99"/>
    <s v="www"/>
    <d v="2015-11-23T03:06:52"/>
    <x v="22"/>
  </r>
  <r>
    <s v="0 Original"/>
    <s v="2015-11-23 Zane Parrish(661)"/>
    <n v="661"/>
    <d v="2015-11-23T00:00:00"/>
    <x v="30"/>
    <n v="42.95"/>
    <s v="www"/>
    <d v="2015-11-23T15:25:14"/>
    <x v="22"/>
  </r>
  <r>
    <s v="0 Original"/>
    <s v="2015-11-24 Aspen Fuentes(116)"/>
    <n v="116"/>
    <d v="2015-11-24T00:00:00"/>
    <x v="89"/>
    <n v="21.97"/>
    <s v="www"/>
    <d v="2015-11-24T08:47:35"/>
    <x v="22"/>
  </r>
  <r>
    <s v="0 Original"/>
    <s v="2015-11-24 Kendall Rocha(604)"/>
    <n v="604"/>
    <d v="2015-11-24T00:00:00"/>
    <x v="6"/>
    <n v="6.99"/>
    <s v="www"/>
    <d v="2015-11-24T11:45:17"/>
    <x v="22"/>
  </r>
  <r>
    <s v="0 Original"/>
    <s v="2015-11-24 Nayda Shields(1020)"/>
    <n v="1020"/>
    <d v="2015-11-24T00:00:00"/>
    <x v="11"/>
    <n v="17.98"/>
    <s v="www"/>
    <d v="2015-11-24T19:38:19"/>
    <x v="22"/>
  </r>
  <r>
    <s v="0 Original"/>
    <s v="2015-11-25 Prescott Nelson(884)"/>
    <n v="884"/>
    <d v="2015-11-25T00:00:00"/>
    <x v="2"/>
    <n v="51.94"/>
    <s v="www"/>
    <d v="2015-11-25T07:35:11"/>
    <x v="22"/>
  </r>
  <r>
    <s v="0 Original"/>
    <s v="2015-11-27 Christine Medina(941)"/>
    <n v="941"/>
    <d v="2015-11-27T00:00:00"/>
    <x v="8"/>
    <n v="52.94"/>
    <s v="www"/>
    <d v="2015-11-27T11:45:30"/>
    <x v="22"/>
  </r>
  <r>
    <s v="0 Original"/>
    <s v="2015-11-29 Yetta Duke(89)"/>
    <n v="89"/>
    <d v="2015-11-29T00:00:00"/>
    <x v="97"/>
    <n v="41.94"/>
    <s v="www"/>
    <d v="2015-11-29T08:27:14"/>
    <x v="22"/>
  </r>
  <r>
    <s v="0 Original"/>
    <s v="2015-11-29 Belle Short(793)"/>
    <n v="793"/>
    <d v="2015-11-29T00:00:00"/>
    <x v="25"/>
    <n v="35.96"/>
    <s v="www"/>
    <d v="2015-11-29T19:17:32"/>
    <x v="22"/>
  </r>
  <r>
    <s v="0 Original"/>
    <s v="2015-11-30 Serina Booker(591)"/>
    <n v="591"/>
    <d v="2015-11-30T00:00:00"/>
    <x v="60"/>
    <n v="6.99"/>
    <s v="www"/>
    <d v="2015-11-30T01:23:10"/>
    <x v="22"/>
  </r>
  <r>
    <s v="0 Original"/>
    <s v="2015-11-30 Ora Mann(929)"/>
    <n v="929"/>
    <d v="2015-11-30T00:00:00"/>
    <x v="27"/>
    <n v="49.95"/>
    <s v="www"/>
    <d v="2015-11-30T07:20:10"/>
    <x v="22"/>
  </r>
  <r>
    <s v="0 Original"/>
    <s v="2015-11-30 Anne Slater(285)"/>
    <n v="285"/>
    <d v="2015-11-30T00:00:00"/>
    <x v="35"/>
    <n v="16.98"/>
    <s v="www"/>
    <d v="2015-11-30T16:19:20"/>
    <x v="22"/>
  </r>
  <r>
    <s v=""/>
    <m/>
    <m/>
    <m/>
    <x v="98"/>
    <m/>
    <m/>
    <m/>
    <x v="23"/>
  </r>
  <r>
    <m/>
    <m/>
    <m/>
    <m/>
    <x v="98"/>
    <m/>
    <m/>
    <m/>
    <x v="23"/>
  </r>
</pivotCacheRecords>
</file>

<file path=xl/pivotCache/pivotCacheRecords2.xml><?xml version="1.0" encoding="utf-8"?>
<pivotCacheRecords xmlns="http://schemas.openxmlformats.org/spreadsheetml/2006/main" xmlns:r="http://schemas.openxmlformats.org/officeDocument/2006/relationships" count="2906">
  <r>
    <s v="0 Original"/>
    <s v="(1451)"/>
    <n v="1451"/>
    <s v="2014-01-01 Colby Clay(419)"/>
    <x v="0"/>
    <n v="9.99"/>
    <n v="1"/>
    <s v="www"/>
    <d v="2014-01-01T23:04:57"/>
    <d v="2014-01-01T00:00:00"/>
    <x v="0"/>
    <n v="9.99"/>
  </r>
  <r>
    <s v="0 Original"/>
    <s v="(1452)"/>
    <n v="1452"/>
    <s v="2014-01-01 Colby Clay(419)"/>
    <x v="1"/>
    <n v="7.99"/>
    <n v="1"/>
    <s v="www"/>
    <d v="2014-01-01T23:04:57"/>
    <d v="2014-01-01T00:00:00"/>
    <x v="0"/>
    <n v="7.99"/>
  </r>
  <r>
    <s v="0 Original"/>
    <s v="(1453)"/>
    <n v="1453"/>
    <s v="2014-01-01 Colby Clay(419)"/>
    <x v="2"/>
    <n v="7.99"/>
    <n v="1"/>
    <s v="www"/>
    <d v="2014-01-01T23:04:57"/>
    <d v="2014-01-01T00:00:00"/>
    <x v="0"/>
    <n v="7.99"/>
  </r>
  <r>
    <s v="0 Original"/>
    <s v="(1314)"/>
    <n v="1314"/>
    <s v="2014-01-02 Iona Simpson(383)"/>
    <x v="3"/>
    <n v="7.99"/>
    <n v="1"/>
    <s v="www"/>
    <d v="2014-01-02T09:17:08"/>
    <d v="2014-01-02T00:00:00"/>
    <x v="0"/>
    <n v="7.99"/>
  </r>
  <r>
    <s v="0 Original"/>
    <s v="(1315)"/>
    <n v="1315"/>
    <s v="2014-01-02 Iona Simpson(383)"/>
    <x v="4"/>
    <n v="6.99"/>
    <n v="1"/>
    <s v="www"/>
    <d v="2014-01-02T09:17:08"/>
    <d v="2014-01-02T00:00:00"/>
    <x v="0"/>
    <n v="6.99"/>
  </r>
  <r>
    <s v="0 Original"/>
    <s v="(1316)"/>
    <n v="1316"/>
    <s v="2014-01-02 Iona Simpson(383)"/>
    <x v="5"/>
    <n v="9.99"/>
    <n v="1"/>
    <s v="www"/>
    <d v="2014-01-02T09:17:08"/>
    <d v="2014-01-02T00:00:00"/>
    <x v="0"/>
    <n v="9.99"/>
  </r>
  <r>
    <s v="0 Original"/>
    <s v="(2844)"/>
    <n v="2844"/>
    <s v="2014-01-04 Prescott Nelson(857)"/>
    <x v="6"/>
    <n v="5.99"/>
    <n v="1"/>
    <s v="www"/>
    <d v="2014-01-04T05:02:40"/>
    <d v="2014-01-04T00:00:00"/>
    <x v="0"/>
    <n v="5.99"/>
  </r>
  <r>
    <s v="0 Original"/>
    <s v="(2845)"/>
    <n v="2845"/>
    <s v="2014-01-04 Prescott Nelson(857)"/>
    <x v="7"/>
    <n v="9.99"/>
    <n v="1"/>
    <s v="www"/>
    <d v="2014-01-04T05:02:40"/>
    <d v="2014-01-04T00:00:00"/>
    <x v="0"/>
    <n v="9.99"/>
  </r>
  <r>
    <s v="0 Original"/>
    <s v="(2846)"/>
    <n v="2846"/>
    <s v="2014-01-04 Prescott Nelson(857)"/>
    <x v="8"/>
    <n v="4.99"/>
    <n v="2"/>
    <s v="www"/>
    <d v="2014-01-04T05:02:40"/>
    <d v="2014-01-04T00:00:00"/>
    <x v="0"/>
    <n v="9.98"/>
  </r>
  <r>
    <s v="0 Original"/>
    <s v="(2847)"/>
    <n v="2847"/>
    <s v="2014-01-04 Prescott Nelson(857)"/>
    <x v="9"/>
    <n v="7.99"/>
    <n v="2"/>
    <s v="www"/>
    <d v="2014-01-04T05:02:40"/>
    <d v="2014-01-04T00:00:00"/>
    <x v="0"/>
    <n v="15.98"/>
  </r>
  <r>
    <s v="0 Original"/>
    <s v="(2335)"/>
    <n v="2335"/>
    <s v="2014-01-04 Colby Clay(693)"/>
    <x v="10"/>
    <n v="8.99"/>
    <n v="2"/>
    <s v="www"/>
    <d v="2014-01-04T12:39:45"/>
    <d v="2014-01-04T00:00:00"/>
    <x v="0"/>
    <n v="17.98"/>
  </r>
  <r>
    <s v="0 Original"/>
    <s v="(2336)"/>
    <n v="2336"/>
    <s v="2014-01-04 Colby Clay(693)"/>
    <x v="11"/>
    <n v="8.99"/>
    <n v="1"/>
    <s v="www"/>
    <d v="2014-01-04T12:39:45"/>
    <d v="2014-01-04T00:00:00"/>
    <x v="0"/>
    <n v="8.99"/>
  </r>
  <r>
    <s v="0 Original"/>
    <s v="(2337)"/>
    <n v="2337"/>
    <s v="2014-01-04 Colby Clay(693)"/>
    <x v="12"/>
    <n v="8.99"/>
    <n v="1"/>
    <s v="www"/>
    <d v="2014-01-04T12:39:45"/>
    <d v="2014-01-04T00:00:00"/>
    <x v="0"/>
    <n v="8.99"/>
  </r>
  <r>
    <s v="0 Original"/>
    <s v="(2338)"/>
    <n v="2338"/>
    <s v="2014-01-04 Colby Clay(693)"/>
    <x v="13"/>
    <n v="8.99"/>
    <n v="1"/>
    <s v="www"/>
    <d v="2014-01-04T12:39:45"/>
    <d v="2014-01-04T00:00:00"/>
    <x v="0"/>
    <n v="8.99"/>
  </r>
  <r>
    <s v="0 Original"/>
    <s v="(734)"/>
    <n v="734"/>
    <s v="2014-01-04 Stuart Vega(208)"/>
    <x v="14"/>
    <n v="7.99"/>
    <n v="1"/>
    <s v="www"/>
    <d v="2014-01-04T13:58:05"/>
    <d v="2014-01-04T00:00:00"/>
    <x v="0"/>
    <n v="7.99"/>
  </r>
  <r>
    <s v="0 Original"/>
    <s v="(735)"/>
    <n v="735"/>
    <s v="2014-01-04 Stuart Vega(208)"/>
    <x v="14"/>
    <n v="7.99"/>
    <n v="1"/>
    <s v="www"/>
    <d v="2014-01-04T13:58:05"/>
    <d v="2014-01-04T00:00:00"/>
    <x v="0"/>
    <n v="7.99"/>
  </r>
  <r>
    <s v="0 Original"/>
    <s v="(736)"/>
    <n v="736"/>
    <s v="2014-01-04 Stuart Vega(208)"/>
    <x v="15"/>
    <n v="8.99"/>
    <n v="1"/>
    <s v="www"/>
    <d v="2014-01-04T13:58:05"/>
    <d v="2014-01-04T00:00:00"/>
    <x v="0"/>
    <n v="8.99"/>
  </r>
  <r>
    <s v="0 Original"/>
    <s v="(1719)"/>
    <n v="1719"/>
    <s v="2014-01-04 Colby Clay(505)"/>
    <x v="0"/>
    <n v="9.99"/>
    <n v="1"/>
    <s v="www"/>
    <d v="2014-01-04T16:41:18"/>
    <d v="2014-01-04T00:00:00"/>
    <x v="0"/>
    <n v="9.99"/>
  </r>
  <r>
    <s v="0 Original"/>
    <s v="(1720)"/>
    <n v="1720"/>
    <s v="2014-01-04 Colby Clay(505)"/>
    <x v="16"/>
    <n v="6.99"/>
    <n v="1"/>
    <s v="www"/>
    <d v="2014-01-04T16:41:18"/>
    <d v="2014-01-04T00:00:00"/>
    <x v="0"/>
    <n v="6.99"/>
  </r>
  <r>
    <s v="0 Original"/>
    <s v="(389)"/>
    <n v="389"/>
    <s v="2014-01-04 Wade Coleman(107)"/>
    <x v="17"/>
    <n v="9.99"/>
    <n v="1"/>
    <s v="www"/>
    <d v="2014-01-04T17:38:55"/>
    <d v="2014-01-04T00:00:00"/>
    <x v="0"/>
    <n v="9.99"/>
  </r>
  <r>
    <s v="0 Original"/>
    <s v="(390)"/>
    <n v="390"/>
    <s v="2014-01-04 Wade Coleman(107)"/>
    <x v="18"/>
    <n v="5.99"/>
    <n v="1"/>
    <s v="www"/>
    <d v="2014-01-04T17:38:55"/>
    <d v="2014-01-04T00:00:00"/>
    <x v="0"/>
    <n v="5.99"/>
  </r>
  <r>
    <s v="0 Original"/>
    <s v="(391)"/>
    <n v="391"/>
    <s v="2014-01-04 Wade Coleman(107)"/>
    <x v="19"/>
    <n v="9.99"/>
    <n v="1"/>
    <s v="www"/>
    <d v="2014-01-04T17:38:55"/>
    <d v="2014-01-04T00:00:00"/>
    <x v="0"/>
    <n v="9.99"/>
  </r>
  <r>
    <s v="0 Original"/>
    <s v="(392)"/>
    <n v="392"/>
    <s v="2014-01-04 Wade Coleman(107)"/>
    <x v="8"/>
    <n v="4.99"/>
    <n v="1"/>
    <s v="www"/>
    <d v="2014-01-04T17:38:55"/>
    <d v="2014-01-04T00:00:00"/>
    <x v="0"/>
    <n v="4.99"/>
  </r>
  <r>
    <s v="0 Original"/>
    <s v="(1873)"/>
    <n v="1873"/>
    <s v="2014-01-04 Zeus Trujillo(548)"/>
    <x v="5"/>
    <n v="9.99"/>
    <n v="1"/>
    <s v="www"/>
    <d v="2014-01-04T18:09:56"/>
    <d v="2014-01-04T00:00:00"/>
    <x v="0"/>
    <n v="9.99"/>
  </r>
  <r>
    <s v="0 Original"/>
    <s v="(1874)"/>
    <n v="1874"/>
    <s v="2014-01-04 Zeus Trujillo(548)"/>
    <x v="20"/>
    <n v="7.99"/>
    <n v="1"/>
    <s v="www"/>
    <d v="2014-01-04T18:09:56"/>
    <d v="2014-01-04T00:00:00"/>
    <x v="0"/>
    <n v="7.99"/>
  </r>
  <r>
    <s v="0 Original"/>
    <s v="(1875)"/>
    <n v="1875"/>
    <s v="2014-01-04 Zeus Trujillo(548)"/>
    <x v="21"/>
    <n v="4.99"/>
    <n v="2"/>
    <s v="www"/>
    <d v="2014-01-04T18:09:56"/>
    <d v="2014-01-04T00:00:00"/>
    <x v="0"/>
    <n v="9.98"/>
  </r>
  <r>
    <s v="0 Original"/>
    <s v="(2492)"/>
    <n v="2492"/>
    <s v="2014-01-04 Prescott Nelson(747)"/>
    <x v="16"/>
    <n v="6.99"/>
    <n v="2"/>
    <s v="www"/>
    <d v="2014-01-04T23:08:34"/>
    <d v="2014-01-04T00:00:00"/>
    <x v="0"/>
    <n v="13.98"/>
  </r>
  <r>
    <s v="0 Original"/>
    <s v="(1052)"/>
    <n v="1052"/>
    <s v="2014-01-05 Kendall Rocha(300)"/>
    <x v="22"/>
    <n v="6.99"/>
    <n v="1"/>
    <s v="www"/>
    <d v="2014-01-05T09:33:54"/>
    <d v="2014-01-05T00:00:00"/>
    <x v="0"/>
    <n v="6.99"/>
  </r>
  <r>
    <s v="0 Original"/>
    <s v="(3308)"/>
    <n v="3308"/>
    <s v="2014-01-05 Donovan Gomez(1003)"/>
    <x v="23"/>
    <n v="9.99"/>
    <n v="1"/>
    <s v="www"/>
    <d v="2014-01-05T14:13:28"/>
    <d v="2014-01-05T00:00:00"/>
    <x v="0"/>
    <n v="9.99"/>
  </r>
  <r>
    <s v="0 Original"/>
    <s v="(3309)"/>
    <n v="3309"/>
    <s v="2014-01-05 Donovan Gomez(1003)"/>
    <x v="6"/>
    <n v="5.99"/>
    <n v="2"/>
    <s v="www"/>
    <d v="2014-01-05T14:13:28"/>
    <d v="2014-01-05T00:00:00"/>
    <x v="0"/>
    <n v="11.98"/>
  </r>
  <r>
    <s v="0 Original"/>
    <s v="(3310)"/>
    <n v="3310"/>
    <s v="2014-01-05 Donovan Gomez(1003)"/>
    <x v="6"/>
    <n v="5.99"/>
    <n v="1"/>
    <s v="www"/>
    <d v="2014-01-05T14:13:28"/>
    <d v="2014-01-05T00:00:00"/>
    <x v="0"/>
    <n v="5.99"/>
  </r>
  <r>
    <s v="0 Original"/>
    <s v="(3311)"/>
    <n v="3311"/>
    <s v="2014-01-05 Donovan Gomez(1003)"/>
    <x v="9"/>
    <n v="7.99"/>
    <n v="1"/>
    <s v="www"/>
    <d v="2014-01-05T14:13:28"/>
    <d v="2014-01-05T00:00:00"/>
    <x v="0"/>
    <n v="7.99"/>
  </r>
  <r>
    <s v="0 Original"/>
    <s v="(3312)"/>
    <n v="3312"/>
    <s v="2014-01-05 Donovan Gomez(1003)"/>
    <x v="9"/>
    <n v="7.99"/>
    <n v="1"/>
    <s v="www"/>
    <d v="2014-01-05T14:13:28"/>
    <d v="2014-01-05T00:00:00"/>
    <x v="0"/>
    <n v="7.99"/>
  </r>
  <r>
    <s v="0 Original"/>
    <s v="(2417)"/>
    <n v="2417"/>
    <s v="2014-01-05 Christine Medina(722)"/>
    <x v="24"/>
    <n v="7.99"/>
    <n v="1"/>
    <s v="www"/>
    <d v="2014-01-05T16:01:33"/>
    <d v="2014-01-05T00:00:00"/>
    <x v="0"/>
    <n v="7.99"/>
  </r>
  <r>
    <s v="0 Original"/>
    <s v="(2598)"/>
    <n v="2598"/>
    <s v="2014-01-07 John Drake(784)"/>
    <x v="7"/>
    <n v="9.99"/>
    <n v="2"/>
    <s v="www"/>
    <d v="2014-01-07T14:59:03"/>
    <d v="2014-01-07T00:00:00"/>
    <x v="0"/>
    <n v="19.98"/>
  </r>
  <r>
    <s v="0 Original"/>
    <s v="(2599)"/>
    <n v="2599"/>
    <s v="2014-01-07 John Drake(784)"/>
    <x v="24"/>
    <n v="7.99"/>
    <n v="1"/>
    <s v="www"/>
    <d v="2014-01-07T14:59:03"/>
    <d v="2014-01-07T00:00:00"/>
    <x v="0"/>
    <n v="7.99"/>
  </r>
  <r>
    <s v="0 Original"/>
    <s v="(2600)"/>
    <n v="2600"/>
    <s v="2014-01-07 John Drake(784)"/>
    <x v="7"/>
    <n v="9.99"/>
    <n v="2"/>
    <s v="www"/>
    <d v="2014-01-07T14:59:03"/>
    <d v="2014-01-07T00:00:00"/>
    <x v="0"/>
    <n v="19.98"/>
  </r>
  <r>
    <s v="0 Original"/>
    <s v="(2601)"/>
    <n v="2601"/>
    <s v="2014-01-07 John Drake(784)"/>
    <x v="7"/>
    <n v="9.99"/>
    <n v="1"/>
    <s v="www"/>
    <d v="2014-01-07T14:59:03"/>
    <d v="2014-01-07T00:00:00"/>
    <x v="0"/>
    <n v="9.99"/>
  </r>
  <r>
    <s v="0 Original"/>
    <s v="(2602)"/>
    <n v="2602"/>
    <s v="2014-01-07 John Drake(784)"/>
    <x v="16"/>
    <n v="6.99"/>
    <n v="1"/>
    <s v="www"/>
    <d v="2014-01-07T14:59:03"/>
    <d v="2014-01-07T00:00:00"/>
    <x v="0"/>
    <n v="6.99"/>
  </r>
  <r>
    <s v="0 Original"/>
    <s v="(2603)"/>
    <n v="2603"/>
    <s v="2014-01-07 John Drake(784)"/>
    <x v="25"/>
    <n v="9.99"/>
    <n v="1"/>
    <s v="www"/>
    <d v="2014-01-07T14:59:03"/>
    <d v="2014-01-07T00:00:00"/>
    <x v="0"/>
    <n v="9.99"/>
  </r>
  <r>
    <s v="0 Original"/>
    <s v="(1295)"/>
    <n v="1295"/>
    <s v="2014-01-08 Vivian Mendoza(377)"/>
    <x v="14"/>
    <n v="7.99"/>
    <n v="1"/>
    <s v="www"/>
    <d v="2014-01-08T03:41:57"/>
    <d v="2014-01-08T00:00:00"/>
    <x v="0"/>
    <n v="7.99"/>
  </r>
  <r>
    <s v="0 Original"/>
    <s v="(1296)"/>
    <n v="1296"/>
    <s v="2014-01-08 Vivian Mendoza(377)"/>
    <x v="26"/>
    <n v="6.99"/>
    <n v="1"/>
    <s v="www"/>
    <d v="2014-01-08T03:41:57"/>
    <d v="2014-01-08T00:00:00"/>
    <x v="0"/>
    <n v="6.99"/>
  </r>
  <r>
    <s v="0 Original"/>
    <s v="(1297)"/>
    <n v="1297"/>
    <s v="2014-01-08 Vivian Mendoza(377)"/>
    <x v="27"/>
    <n v="9.99"/>
    <n v="1"/>
    <s v="www"/>
    <d v="2014-01-08T03:41:57"/>
    <d v="2014-01-08T00:00:00"/>
    <x v="0"/>
    <n v="9.99"/>
  </r>
  <r>
    <s v="0 Original"/>
    <s v="(1298)"/>
    <n v="1298"/>
    <s v="2014-01-08 Vivian Mendoza(377)"/>
    <x v="28"/>
    <n v="5.99"/>
    <n v="1"/>
    <s v="www"/>
    <d v="2014-01-08T03:41:57"/>
    <d v="2014-01-08T00:00:00"/>
    <x v="0"/>
    <n v="5.99"/>
  </r>
  <r>
    <s v="0 Original"/>
    <s v="(1299)"/>
    <n v="1299"/>
    <s v="2014-01-08 Vivian Mendoza(377)"/>
    <x v="29"/>
    <n v="4.99"/>
    <n v="2"/>
    <s v="www"/>
    <d v="2014-01-08T03:41:57"/>
    <d v="2014-01-08T00:00:00"/>
    <x v="0"/>
    <n v="9.98"/>
  </r>
  <r>
    <s v="0 Original"/>
    <s v="(2887)"/>
    <n v="2887"/>
    <s v="2014-01-08 Nayda Shields(869)"/>
    <x v="8"/>
    <n v="4.99"/>
    <n v="1"/>
    <s v="www"/>
    <d v="2014-01-08T15:07:47"/>
    <d v="2014-01-08T00:00:00"/>
    <x v="0"/>
    <n v="4.99"/>
  </r>
  <r>
    <s v="0 Original"/>
    <s v="(2888)"/>
    <n v="2888"/>
    <s v="2014-01-08 Nayda Shields(869)"/>
    <x v="30"/>
    <n v="6.99"/>
    <n v="1"/>
    <s v="www"/>
    <d v="2014-01-08T15:07:47"/>
    <d v="2014-01-08T00:00:00"/>
    <x v="0"/>
    <n v="6.99"/>
  </r>
  <r>
    <s v="0 Original"/>
    <s v="(2889)"/>
    <n v="2889"/>
    <s v="2014-01-08 Nayda Shields(869)"/>
    <x v="24"/>
    <n v="7.99"/>
    <n v="2"/>
    <s v="www"/>
    <d v="2014-01-08T15:07:47"/>
    <d v="2014-01-08T00:00:00"/>
    <x v="0"/>
    <n v="15.98"/>
  </r>
  <r>
    <s v="0 Original"/>
    <s v="(2890)"/>
    <n v="2890"/>
    <s v="2014-01-08 Nayda Shields(869)"/>
    <x v="23"/>
    <n v="9.99"/>
    <n v="1"/>
    <s v="www"/>
    <d v="2014-01-08T15:07:47"/>
    <d v="2014-01-08T00:00:00"/>
    <x v="0"/>
    <n v="9.99"/>
  </r>
  <r>
    <s v="0 Original"/>
    <s v="(1124)"/>
    <n v="1124"/>
    <s v="2014-01-09 Vivian Mendoza(326)"/>
    <x v="31"/>
    <n v="8.99"/>
    <n v="2"/>
    <s v="www"/>
    <d v="2014-01-09T06:34:31"/>
    <d v="2014-01-09T00:00:00"/>
    <x v="0"/>
    <n v="17.98"/>
  </r>
  <r>
    <s v="0 Original"/>
    <s v="(1125)"/>
    <n v="1125"/>
    <s v="2014-01-09 Vivian Mendoza(326)"/>
    <x v="13"/>
    <n v="8.99"/>
    <n v="1"/>
    <s v="www"/>
    <d v="2014-01-09T06:34:31"/>
    <d v="2014-01-09T00:00:00"/>
    <x v="0"/>
    <n v="8.99"/>
  </r>
  <r>
    <s v="0 Original"/>
    <s v="(1252)"/>
    <n v="1252"/>
    <s v="2014-01-10 Adrian Dodson(364)"/>
    <x v="13"/>
    <n v="8.99"/>
    <n v="1"/>
    <s v="www"/>
    <d v="2014-01-10T20:05:58"/>
    <d v="2014-01-10T00:00:00"/>
    <x v="0"/>
    <n v="8.99"/>
  </r>
  <r>
    <s v="0 Original"/>
    <s v="(1253)"/>
    <n v="1253"/>
    <s v="2014-01-10 Adrian Dodson(364)"/>
    <x v="9"/>
    <n v="7.99"/>
    <n v="1"/>
    <s v="www"/>
    <d v="2014-01-10T20:05:58"/>
    <d v="2014-01-10T00:00:00"/>
    <x v="0"/>
    <n v="7.99"/>
  </r>
  <r>
    <s v="0 Original"/>
    <s v="(1254)"/>
    <n v="1254"/>
    <s v="2014-01-10 Adrian Dodson(364)"/>
    <x v="32"/>
    <n v="5.99"/>
    <n v="1"/>
    <s v="www"/>
    <d v="2014-01-10T20:05:58"/>
    <d v="2014-01-10T00:00:00"/>
    <x v="0"/>
    <n v="5.99"/>
  </r>
  <r>
    <s v="0 Original"/>
    <s v="(1255)"/>
    <n v="1255"/>
    <s v="2014-01-10 Adrian Dodson(364)"/>
    <x v="33"/>
    <n v="4.99"/>
    <n v="1"/>
    <s v="www"/>
    <d v="2014-01-10T20:05:58"/>
    <d v="2014-01-10T00:00:00"/>
    <x v="0"/>
    <n v="4.99"/>
  </r>
  <r>
    <s v="0 Original"/>
    <s v="(1256)"/>
    <n v="1256"/>
    <s v="2014-01-10 Adrian Dodson(364)"/>
    <x v="21"/>
    <n v="4.99"/>
    <n v="1"/>
    <s v="www"/>
    <d v="2014-01-10T20:05:58"/>
    <d v="2014-01-10T00:00:00"/>
    <x v="0"/>
    <n v="4.99"/>
  </r>
  <r>
    <s v="0 Original"/>
    <s v="(2113)"/>
    <n v="2113"/>
    <s v="2014-01-11 Madeline Reynolds(622)"/>
    <x v="34"/>
    <n v="8.99"/>
    <n v="1"/>
    <s v="www"/>
    <d v="2014-01-11T16:43:26"/>
    <d v="2014-01-11T00:00:00"/>
    <x v="0"/>
    <n v="8.99"/>
  </r>
  <r>
    <s v="0 Original"/>
    <s v="(2114)"/>
    <n v="2114"/>
    <s v="2014-01-11 Madeline Reynolds(622)"/>
    <x v="6"/>
    <n v="5.99"/>
    <n v="2"/>
    <s v="www"/>
    <d v="2014-01-11T16:43:26"/>
    <d v="2014-01-11T00:00:00"/>
    <x v="0"/>
    <n v="11.98"/>
  </r>
  <r>
    <s v="0 Original"/>
    <s v="(2115)"/>
    <n v="2115"/>
    <s v="2014-01-11 Madeline Reynolds(622)"/>
    <x v="34"/>
    <n v="8.99"/>
    <n v="1"/>
    <s v="www"/>
    <d v="2014-01-11T16:43:26"/>
    <d v="2014-01-11T00:00:00"/>
    <x v="0"/>
    <n v="8.99"/>
  </r>
  <r>
    <s v="0 Original"/>
    <s v="(2116)"/>
    <n v="2116"/>
    <s v="2014-01-11 Madeline Reynolds(622)"/>
    <x v="13"/>
    <n v="8.99"/>
    <n v="1"/>
    <s v="www"/>
    <d v="2014-01-11T16:43:26"/>
    <d v="2014-01-11T00:00:00"/>
    <x v="0"/>
    <n v="8.99"/>
  </r>
  <r>
    <s v="0 Original"/>
    <s v="(2117)"/>
    <n v="2117"/>
    <s v="2014-01-11 Madeline Reynolds(622)"/>
    <x v="35"/>
    <n v="9.99"/>
    <n v="1"/>
    <s v="www"/>
    <d v="2014-01-11T16:43:26"/>
    <d v="2014-01-11T00:00:00"/>
    <x v="0"/>
    <n v="9.99"/>
  </r>
  <r>
    <s v="0 Original"/>
    <s v="(1692)"/>
    <n v="1692"/>
    <s v="2014-01-11 Aristotle Avery(495)"/>
    <x v="36"/>
    <n v="6.99"/>
    <n v="2"/>
    <s v="www"/>
    <d v="2014-01-11T18:03:32"/>
    <d v="2014-01-11T00:00:00"/>
    <x v="0"/>
    <n v="13.98"/>
  </r>
  <r>
    <s v="0 Original"/>
    <s v="(1388)"/>
    <n v="1388"/>
    <s v="2014-01-11 Rhonda Curtis(403)"/>
    <x v="37"/>
    <n v="8.99"/>
    <n v="1"/>
    <s v="www"/>
    <d v="2014-01-11T18:09:50"/>
    <d v="2014-01-11T00:00:00"/>
    <x v="0"/>
    <n v="8.99"/>
  </r>
  <r>
    <s v="0 Original"/>
    <s v="(296)"/>
    <n v="296"/>
    <s v="2014-01-12 Madeline Reynolds(80)"/>
    <x v="38"/>
    <n v="6.99"/>
    <n v="2"/>
    <s v="www"/>
    <d v="2014-01-12T00:32:54"/>
    <d v="2014-01-12T00:00:00"/>
    <x v="0"/>
    <n v="13.98"/>
  </r>
  <r>
    <s v="0 Original"/>
    <s v="(297)"/>
    <n v="297"/>
    <s v="2014-01-12 Madeline Reynolds(80)"/>
    <x v="39"/>
    <n v="9.99"/>
    <n v="1"/>
    <s v="www"/>
    <d v="2014-01-12T00:32:54"/>
    <d v="2014-01-12T00:00:00"/>
    <x v="0"/>
    <n v="9.99"/>
  </r>
  <r>
    <s v="0 Original"/>
    <s v="(298)"/>
    <n v="298"/>
    <s v="2014-01-12 Madeline Reynolds(80)"/>
    <x v="40"/>
    <n v="5.99"/>
    <n v="2"/>
    <s v="www"/>
    <d v="2014-01-12T00:32:54"/>
    <d v="2014-01-12T00:00:00"/>
    <x v="0"/>
    <n v="11.98"/>
  </r>
  <r>
    <s v="0 Original"/>
    <s v="(2877)"/>
    <n v="2877"/>
    <s v="2014-01-12 Cameron Rivera(865)"/>
    <x v="41"/>
    <n v="4.99"/>
    <n v="1"/>
    <s v="www"/>
    <d v="2014-01-12T05:41:06"/>
    <d v="2014-01-12T00:00:00"/>
    <x v="0"/>
    <n v="4.99"/>
  </r>
  <r>
    <s v="0 Original"/>
    <s v="(2878)"/>
    <n v="2878"/>
    <s v="2014-01-12 Cameron Rivera(865)"/>
    <x v="23"/>
    <n v="9.99"/>
    <n v="2"/>
    <s v="www"/>
    <d v="2014-01-12T05:41:06"/>
    <d v="2014-01-12T00:00:00"/>
    <x v="0"/>
    <n v="19.98"/>
  </r>
  <r>
    <s v="0 Original"/>
    <s v="(2879)"/>
    <n v="2879"/>
    <s v="2014-01-12 Cameron Rivera(865)"/>
    <x v="30"/>
    <n v="6.99"/>
    <n v="1"/>
    <s v="www"/>
    <d v="2014-01-12T05:41:06"/>
    <d v="2014-01-12T00:00:00"/>
    <x v="0"/>
    <n v="6.99"/>
  </r>
  <r>
    <s v="0 Original"/>
    <s v="(3386)"/>
    <n v="3386"/>
    <s v="2014-01-13 Nayda Shields(1023)"/>
    <x v="25"/>
    <n v="9.99"/>
    <n v="1"/>
    <s v="www"/>
    <d v="2014-01-13T06:54:00"/>
    <d v="2014-01-13T00:00:00"/>
    <x v="0"/>
    <n v="9.99"/>
  </r>
  <r>
    <s v="0 Original"/>
    <s v="(3387)"/>
    <n v="3387"/>
    <s v="2014-01-13 Nayda Shields(1023)"/>
    <x v="25"/>
    <n v="9.99"/>
    <n v="1"/>
    <s v="www"/>
    <d v="2014-01-13T06:54:00"/>
    <d v="2014-01-13T00:00:00"/>
    <x v="0"/>
    <n v="9.99"/>
  </r>
  <r>
    <s v="0 Original"/>
    <s v="(3388)"/>
    <n v="3388"/>
    <s v="2014-01-13 Nayda Shields(1023)"/>
    <x v="9"/>
    <n v="7.99"/>
    <n v="2"/>
    <s v="www"/>
    <d v="2014-01-13T06:54:00"/>
    <d v="2014-01-13T00:00:00"/>
    <x v="0"/>
    <n v="15.98"/>
  </r>
  <r>
    <s v="0 Original"/>
    <s v="(3389)"/>
    <n v="3389"/>
    <s v="2014-01-13 Nayda Shields(1023)"/>
    <x v="8"/>
    <n v="4.99"/>
    <n v="1"/>
    <s v="www"/>
    <d v="2014-01-13T06:54:00"/>
    <d v="2014-01-13T00:00:00"/>
    <x v="0"/>
    <n v="4.99"/>
  </r>
  <r>
    <s v="0 Original"/>
    <s v="(2934)"/>
    <n v="2934"/>
    <s v="2014-01-13 Christine Medina(883)"/>
    <x v="6"/>
    <n v="5.99"/>
    <n v="1"/>
    <s v="www"/>
    <d v="2014-01-13T08:31:20"/>
    <d v="2014-01-13T00:00:00"/>
    <x v="0"/>
    <n v="5.99"/>
  </r>
  <r>
    <s v="0 Original"/>
    <s v="(2935)"/>
    <n v="2935"/>
    <s v="2014-01-13 Christine Medina(883)"/>
    <x v="16"/>
    <n v="6.99"/>
    <n v="2"/>
    <s v="www"/>
    <d v="2014-01-13T08:31:20"/>
    <d v="2014-01-13T00:00:00"/>
    <x v="0"/>
    <n v="13.98"/>
  </r>
  <r>
    <s v="0 Original"/>
    <s v="(2936)"/>
    <n v="2936"/>
    <s v="2014-01-13 Christine Medina(883)"/>
    <x v="23"/>
    <n v="9.99"/>
    <n v="3"/>
    <s v="www"/>
    <d v="2014-01-13T08:31:20"/>
    <d v="2014-01-13T00:00:00"/>
    <x v="0"/>
    <n v="29.97"/>
  </r>
  <r>
    <s v="0 Original"/>
    <s v="(2937)"/>
    <n v="2937"/>
    <s v="2014-01-13 Christine Medina(883)"/>
    <x v="8"/>
    <n v="4.99"/>
    <n v="2"/>
    <s v="www"/>
    <d v="2014-01-13T08:31:20"/>
    <d v="2014-01-13T00:00:00"/>
    <x v="0"/>
    <n v="9.98"/>
  </r>
  <r>
    <s v="0 Original"/>
    <s v="(1200)"/>
    <n v="1200"/>
    <s v="2014-01-14 Angelica Ortiz(350)"/>
    <x v="11"/>
    <n v="8.99"/>
    <n v="2"/>
    <s v="www"/>
    <d v="2014-01-14T00:45:25"/>
    <d v="2014-01-14T00:00:00"/>
    <x v="0"/>
    <n v="17.98"/>
  </r>
  <r>
    <s v="0 Original"/>
    <s v="(1201)"/>
    <n v="1201"/>
    <s v="2014-01-14 Angelica Ortiz(350)"/>
    <x v="12"/>
    <n v="8.99"/>
    <n v="1"/>
    <s v="www"/>
    <d v="2014-01-14T00:45:25"/>
    <d v="2014-01-14T00:00:00"/>
    <x v="0"/>
    <n v="8.99"/>
  </r>
  <r>
    <s v="0 Original"/>
    <s v="(1202)"/>
    <n v="1202"/>
    <s v="2014-01-14 Angelica Ortiz(350)"/>
    <x v="5"/>
    <n v="9.99"/>
    <n v="1"/>
    <s v="www"/>
    <d v="2014-01-14T00:45:25"/>
    <d v="2014-01-14T00:00:00"/>
    <x v="0"/>
    <n v="9.99"/>
  </r>
  <r>
    <s v="0 Original"/>
    <s v="(2135)"/>
    <n v="2135"/>
    <s v="2014-01-14 Uta Workman(628)"/>
    <x v="17"/>
    <n v="9.99"/>
    <n v="2"/>
    <s v="www"/>
    <d v="2014-01-14T19:24:39"/>
    <d v="2014-01-14T00:00:00"/>
    <x v="0"/>
    <n v="19.98"/>
  </r>
  <r>
    <s v="0 Original"/>
    <s v="(2136)"/>
    <n v="2136"/>
    <s v="2014-01-14 Uta Workman(628)"/>
    <x v="29"/>
    <n v="4.99"/>
    <n v="1"/>
    <s v="www"/>
    <d v="2014-01-14T19:24:39"/>
    <d v="2014-01-14T00:00:00"/>
    <x v="0"/>
    <n v="4.99"/>
  </r>
  <r>
    <s v="0 Original"/>
    <s v="(2137)"/>
    <n v="2137"/>
    <s v="2014-01-14 Uta Workman(628)"/>
    <x v="33"/>
    <n v="4.99"/>
    <n v="2"/>
    <s v="www"/>
    <d v="2014-01-14T19:24:39"/>
    <d v="2014-01-14T00:00:00"/>
    <x v="0"/>
    <n v="9.98"/>
  </r>
  <r>
    <s v="0 Original"/>
    <s v="(2138)"/>
    <n v="2138"/>
    <s v="2014-01-14 Uta Workman(628)"/>
    <x v="21"/>
    <n v="4.99"/>
    <n v="1"/>
    <s v="www"/>
    <d v="2014-01-14T19:24:39"/>
    <d v="2014-01-14T00:00:00"/>
    <x v="0"/>
    <n v="4.99"/>
  </r>
  <r>
    <s v="0 Original"/>
    <s v="(2139)"/>
    <n v="2139"/>
    <s v="2014-01-14 Uta Workman(628)"/>
    <x v="36"/>
    <n v="6.99"/>
    <n v="1"/>
    <s v="www"/>
    <d v="2014-01-14T19:24:39"/>
    <d v="2014-01-14T00:00:00"/>
    <x v="0"/>
    <n v="6.99"/>
  </r>
  <r>
    <s v="0 Original"/>
    <s v="(943)"/>
    <n v="943"/>
    <s v="2014-01-14 Uta Workman(268)"/>
    <x v="21"/>
    <n v="4.99"/>
    <n v="1"/>
    <s v="www"/>
    <d v="2014-01-14T21:02:23"/>
    <d v="2014-01-14T00:00:00"/>
    <x v="0"/>
    <n v="4.99"/>
  </r>
  <r>
    <s v="0 Original"/>
    <s v="(2288)"/>
    <n v="2288"/>
    <s v="2014-01-15 Mariko Cameron(677)"/>
    <x v="42"/>
    <n v="5.99"/>
    <n v="1"/>
    <s v="www"/>
    <d v="2014-01-15T07:10:17"/>
    <d v="2014-01-15T00:00:00"/>
    <x v="0"/>
    <n v="5.99"/>
  </r>
  <r>
    <s v="0 Original"/>
    <s v="(2289)"/>
    <n v="2289"/>
    <s v="2014-01-15 Mariko Cameron(677)"/>
    <x v="13"/>
    <n v="8.99"/>
    <n v="2"/>
    <s v="www"/>
    <d v="2014-01-15T07:10:17"/>
    <d v="2014-01-15T00:00:00"/>
    <x v="0"/>
    <n v="17.98"/>
  </r>
  <r>
    <s v="0 Original"/>
    <s v="(2290)"/>
    <n v="2290"/>
    <s v="2014-01-15 Mariko Cameron(677)"/>
    <x v="22"/>
    <n v="6.99"/>
    <n v="1"/>
    <s v="www"/>
    <d v="2014-01-15T07:10:17"/>
    <d v="2014-01-15T00:00:00"/>
    <x v="0"/>
    <n v="6.99"/>
  </r>
  <r>
    <s v="0 Original"/>
    <s v="(2291)"/>
    <n v="2291"/>
    <s v="2014-01-15 Mariko Cameron(677)"/>
    <x v="43"/>
    <n v="4.99"/>
    <n v="2"/>
    <s v="www"/>
    <d v="2014-01-15T07:10:17"/>
    <d v="2014-01-15T00:00:00"/>
    <x v="0"/>
    <n v="9.98"/>
  </r>
  <r>
    <s v="0 Original"/>
    <s v="(803)"/>
    <n v="803"/>
    <s v="2014-01-15 Martin Dunlap(226)"/>
    <x v="38"/>
    <n v="6.99"/>
    <n v="1"/>
    <s v="www"/>
    <d v="2014-01-15T11:10:24"/>
    <d v="2014-01-15T00:00:00"/>
    <x v="0"/>
    <n v="6.99"/>
  </r>
  <r>
    <s v="0 Original"/>
    <s v="(804)"/>
    <n v="804"/>
    <s v="2014-01-15 Martin Dunlap(226)"/>
    <x v="20"/>
    <n v="7.99"/>
    <n v="1"/>
    <s v="www"/>
    <d v="2014-01-15T11:10:24"/>
    <d v="2014-01-15T00:00:00"/>
    <x v="0"/>
    <n v="7.99"/>
  </r>
  <r>
    <s v="0 Original"/>
    <s v="(2988)"/>
    <n v="2988"/>
    <s v="2014-01-15 Nayda Shields(900)"/>
    <x v="30"/>
    <n v="6.99"/>
    <n v="2"/>
    <s v="www"/>
    <d v="2014-01-15T16:29:09"/>
    <d v="2014-01-15T00:00:00"/>
    <x v="0"/>
    <n v="13.98"/>
  </r>
  <r>
    <s v="0 Original"/>
    <s v="(2989)"/>
    <n v="2989"/>
    <s v="2014-01-15 Nayda Shields(900)"/>
    <x v="23"/>
    <n v="9.99"/>
    <n v="1"/>
    <s v="www"/>
    <d v="2014-01-15T16:29:09"/>
    <d v="2014-01-15T00:00:00"/>
    <x v="0"/>
    <n v="9.99"/>
  </r>
  <r>
    <s v="0 Original"/>
    <s v="(2990)"/>
    <n v="2990"/>
    <s v="2014-01-15 Nayda Shields(900)"/>
    <x v="16"/>
    <n v="6.99"/>
    <n v="1"/>
    <s v="www"/>
    <d v="2014-01-15T16:29:09"/>
    <d v="2014-01-15T00:00:00"/>
    <x v="0"/>
    <n v="6.99"/>
  </r>
  <r>
    <s v="0 Original"/>
    <s v="(2991)"/>
    <n v="2991"/>
    <s v="2014-01-15 Nayda Shields(900)"/>
    <x v="6"/>
    <n v="5.99"/>
    <n v="1"/>
    <s v="www"/>
    <d v="2014-01-15T16:29:09"/>
    <d v="2014-01-15T00:00:00"/>
    <x v="0"/>
    <n v="5.99"/>
  </r>
  <r>
    <s v="0 Original"/>
    <s v="(1366)"/>
    <n v="1366"/>
    <s v="2014-01-16 Nayda Shields(397)"/>
    <x v="17"/>
    <n v="9.99"/>
    <n v="1"/>
    <s v="www"/>
    <d v="2014-01-16T06:26:54"/>
    <d v="2014-01-16T00:00:00"/>
    <x v="0"/>
    <n v="9.99"/>
  </r>
  <r>
    <s v="0 Original"/>
    <s v="(1367)"/>
    <n v="1367"/>
    <s v="2014-01-16 Nayda Shields(397)"/>
    <x v="11"/>
    <n v="8.99"/>
    <n v="1"/>
    <s v="www"/>
    <d v="2014-01-16T06:26:54"/>
    <d v="2014-01-16T00:00:00"/>
    <x v="0"/>
    <n v="8.99"/>
  </r>
  <r>
    <s v="0 Original"/>
    <s v="(2125)"/>
    <n v="2125"/>
    <s v="2014-01-16 Clio Carter(626)"/>
    <x v="6"/>
    <n v="5.99"/>
    <n v="1"/>
    <s v="www"/>
    <d v="2014-01-16T08:03:45"/>
    <d v="2014-01-16T00:00:00"/>
    <x v="0"/>
    <n v="5.99"/>
  </r>
  <r>
    <s v="0 Original"/>
    <s v="(2126)"/>
    <n v="2126"/>
    <s v="2014-01-16 Clio Carter(626)"/>
    <x v="43"/>
    <n v="4.99"/>
    <n v="1"/>
    <s v="www"/>
    <d v="2014-01-16T08:03:45"/>
    <d v="2014-01-16T00:00:00"/>
    <x v="0"/>
    <n v="4.99"/>
  </r>
  <r>
    <s v="0 Original"/>
    <s v="(2127)"/>
    <n v="2127"/>
    <s v="2014-01-16 Clio Carter(626)"/>
    <x v="44"/>
    <n v="9.99"/>
    <n v="2"/>
    <s v="www"/>
    <d v="2014-01-16T08:03:45"/>
    <d v="2014-01-16T00:00:00"/>
    <x v="0"/>
    <n v="19.98"/>
  </r>
  <r>
    <s v="0 Original"/>
    <s v="(2128)"/>
    <n v="2128"/>
    <s v="2014-01-16 Clio Carter(626)"/>
    <x v="13"/>
    <n v="8.99"/>
    <n v="1"/>
    <s v="www"/>
    <d v="2014-01-16T08:03:45"/>
    <d v="2014-01-16T00:00:00"/>
    <x v="0"/>
    <n v="8.99"/>
  </r>
  <r>
    <s v="0 Original"/>
    <s v="(2129)"/>
    <n v="2129"/>
    <s v="2014-01-16 Clio Carter(626)"/>
    <x v="27"/>
    <n v="9.99"/>
    <n v="1"/>
    <s v="www"/>
    <d v="2014-01-16T08:03:45"/>
    <d v="2014-01-16T00:00:00"/>
    <x v="0"/>
    <n v="9.99"/>
  </r>
  <r>
    <s v="0 Original"/>
    <s v="(3807)"/>
    <n v="3807"/>
    <s v="2014-01-16 Christine Medina(1155)"/>
    <x v="16"/>
    <n v="6.99"/>
    <n v="1"/>
    <s v="www"/>
    <d v="2014-01-16T09:53:24"/>
    <d v="2014-01-16T00:00:00"/>
    <x v="0"/>
    <n v="6.99"/>
  </r>
  <r>
    <s v="0 Original"/>
    <s v="(3808)"/>
    <n v="3808"/>
    <s v="2014-01-16 Christine Medina(1155)"/>
    <x v="24"/>
    <n v="7.99"/>
    <n v="1"/>
    <s v="www"/>
    <d v="2014-01-16T09:53:24"/>
    <d v="2014-01-16T00:00:00"/>
    <x v="0"/>
    <n v="7.99"/>
  </r>
  <r>
    <s v="0 Original"/>
    <s v="(3809)"/>
    <n v="3809"/>
    <s v="2014-01-16 Christine Medina(1155)"/>
    <x v="25"/>
    <n v="9.99"/>
    <n v="1"/>
    <s v="www"/>
    <d v="2014-01-16T09:53:24"/>
    <d v="2014-01-16T00:00:00"/>
    <x v="0"/>
    <n v="9.99"/>
  </r>
  <r>
    <s v="0 Original"/>
    <s v="(2307)"/>
    <n v="2307"/>
    <s v="2014-01-17 Nayda Shields(683)"/>
    <x v="45"/>
    <n v="6.99"/>
    <n v="1"/>
    <s v="www"/>
    <d v="2014-01-17T08:42:23"/>
    <d v="2014-01-17T00:00:00"/>
    <x v="0"/>
    <n v="6.99"/>
  </r>
  <r>
    <s v="0 Original"/>
    <s v="(2308)"/>
    <n v="2308"/>
    <s v="2014-01-17 Nayda Shields(683)"/>
    <x v="11"/>
    <n v="8.99"/>
    <n v="1"/>
    <s v="www"/>
    <d v="2014-01-17T08:42:23"/>
    <d v="2014-01-17T00:00:00"/>
    <x v="0"/>
    <n v="8.99"/>
  </r>
  <r>
    <s v="0 Original"/>
    <s v="(2309)"/>
    <n v="2309"/>
    <s v="2014-01-17 Nayda Shields(683)"/>
    <x v="46"/>
    <n v="5.99"/>
    <n v="1"/>
    <s v="www"/>
    <d v="2014-01-17T08:42:23"/>
    <d v="2014-01-17T00:00:00"/>
    <x v="0"/>
    <n v="5.99"/>
  </r>
  <r>
    <s v="0 Original"/>
    <s v="(1107)"/>
    <n v="1107"/>
    <s v="2014-01-17 Zeus Trujillo(320)"/>
    <x v="26"/>
    <n v="6.99"/>
    <n v="1"/>
    <s v="www"/>
    <d v="2014-01-17T10:23:45"/>
    <d v="2014-01-17T00:00:00"/>
    <x v="0"/>
    <n v="6.99"/>
  </r>
  <r>
    <s v="0 Original"/>
    <s v="(1108)"/>
    <n v="1108"/>
    <s v="2014-01-17 Zeus Trujillo(320)"/>
    <x v="31"/>
    <n v="8.99"/>
    <n v="1"/>
    <s v="www"/>
    <d v="2014-01-17T10:23:45"/>
    <d v="2014-01-17T00:00:00"/>
    <x v="0"/>
    <n v="8.99"/>
  </r>
  <r>
    <s v="0 Original"/>
    <s v="(1109)"/>
    <n v="1109"/>
    <s v="2014-01-17 Zeus Trujillo(320)"/>
    <x v="47"/>
    <n v="6.99"/>
    <n v="1"/>
    <s v="www"/>
    <d v="2014-01-17T10:23:45"/>
    <d v="2014-01-17T00:00:00"/>
    <x v="0"/>
    <n v="6.99"/>
  </r>
  <r>
    <s v="0 Original"/>
    <s v="(697)"/>
    <n v="697"/>
    <s v="2014-01-18 Hermione Maldonado(198)"/>
    <x v="48"/>
    <n v="5.99"/>
    <n v="1"/>
    <s v="www"/>
    <d v="2014-01-18T08:53:38"/>
    <d v="2014-01-18T00:00:00"/>
    <x v="0"/>
    <n v="5.99"/>
  </r>
  <r>
    <s v="0 Original"/>
    <s v="(698)"/>
    <n v="698"/>
    <s v="2014-01-18 Hermione Maldonado(198)"/>
    <x v="49"/>
    <n v="8.99"/>
    <n v="1"/>
    <s v="www"/>
    <d v="2014-01-18T08:53:38"/>
    <d v="2014-01-18T00:00:00"/>
    <x v="0"/>
    <n v="8.99"/>
  </r>
  <r>
    <s v="0 Original"/>
    <s v="(699)"/>
    <n v="699"/>
    <s v="2014-01-18 Hermione Maldonado(198)"/>
    <x v="28"/>
    <n v="5.99"/>
    <n v="1"/>
    <s v="www"/>
    <d v="2014-01-18T08:53:38"/>
    <d v="2014-01-18T00:00:00"/>
    <x v="0"/>
    <n v="5.99"/>
  </r>
  <r>
    <s v="0 Original"/>
    <s v="(700)"/>
    <n v="700"/>
    <s v="2014-01-18 Hermione Maldonado(198)"/>
    <x v="11"/>
    <n v="8.99"/>
    <n v="1"/>
    <s v="www"/>
    <d v="2014-01-18T08:53:38"/>
    <d v="2014-01-18T00:00:00"/>
    <x v="0"/>
    <n v="8.99"/>
  </r>
  <r>
    <s v="0 Original"/>
    <s v="(701)"/>
    <n v="701"/>
    <s v="2014-01-18 Hermione Maldonado(198)"/>
    <x v="50"/>
    <n v="9.99"/>
    <n v="1"/>
    <s v="www"/>
    <d v="2014-01-18T08:53:38"/>
    <d v="2014-01-18T00:00:00"/>
    <x v="0"/>
    <n v="9.99"/>
  </r>
  <r>
    <s v="0 Original"/>
    <s v="(702)"/>
    <n v="702"/>
    <s v="2014-01-18 Hermione Maldonado(198)"/>
    <x v="51"/>
    <n v="8.99"/>
    <n v="2"/>
    <s v="www"/>
    <d v="2014-01-18T08:53:38"/>
    <d v="2014-01-18T00:00:00"/>
    <x v="0"/>
    <n v="17.98"/>
  </r>
  <r>
    <s v="0 Original"/>
    <s v="(24)"/>
    <n v="24"/>
    <s v="2014-01-18 Adrian Dodson(9)"/>
    <x v="52"/>
    <n v="5.99"/>
    <n v="1"/>
    <s v="www"/>
    <d v="2014-01-18T11:35:34"/>
    <d v="2014-01-18T00:00:00"/>
    <x v="0"/>
    <n v="5.99"/>
  </r>
  <r>
    <s v="0 Original"/>
    <s v="(25)"/>
    <n v="25"/>
    <s v="2014-01-18 Adrian Dodson(9)"/>
    <x v="53"/>
    <n v="5.99"/>
    <n v="1"/>
    <s v="www"/>
    <d v="2014-01-18T11:35:34"/>
    <d v="2014-01-18T00:00:00"/>
    <x v="0"/>
    <n v="5.99"/>
  </r>
  <r>
    <s v="0 Original"/>
    <s v="(449)"/>
    <n v="449"/>
    <s v="2014-01-19 Abigail Shepard(125)"/>
    <x v="43"/>
    <n v="4.99"/>
    <n v="1"/>
    <s v="www"/>
    <d v="2014-01-19T08:03:19"/>
    <d v="2014-01-19T00:00:00"/>
    <x v="0"/>
    <n v="4.99"/>
  </r>
  <r>
    <s v="0 Original"/>
    <s v="(450)"/>
    <n v="450"/>
    <s v="2014-01-19 Abigail Shepard(125)"/>
    <x v="54"/>
    <n v="5.99"/>
    <n v="2"/>
    <s v="www"/>
    <d v="2014-01-19T08:03:19"/>
    <d v="2014-01-19T00:00:00"/>
    <x v="0"/>
    <n v="11.98"/>
  </r>
  <r>
    <s v="0 Original"/>
    <s v="(451)"/>
    <n v="451"/>
    <s v="2014-01-19 Abigail Shepard(125)"/>
    <x v="55"/>
    <n v="9.99"/>
    <n v="1"/>
    <s v="www"/>
    <d v="2014-01-19T08:03:19"/>
    <d v="2014-01-19T00:00:00"/>
    <x v="0"/>
    <n v="9.99"/>
  </r>
  <r>
    <s v="0 Original"/>
    <s v="(452)"/>
    <n v="452"/>
    <s v="2014-01-19 Abigail Shepard(125)"/>
    <x v="56"/>
    <n v="6.99"/>
    <n v="1"/>
    <s v="www"/>
    <d v="2014-01-19T08:03:19"/>
    <d v="2014-01-19T00:00:00"/>
    <x v="0"/>
    <n v="6.99"/>
  </r>
  <r>
    <s v="0 Original"/>
    <s v="(2202)"/>
    <n v="2202"/>
    <s v="2014-01-19 Indira Suarez(648)"/>
    <x v="20"/>
    <n v="7.99"/>
    <n v="2"/>
    <s v="www"/>
    <d v="2014-01-19T14:07:47"/>
    <d v="2014-01-19T00:00:00"/>
    <x v="0"/>
    <n v="15.98"/>
  </r>
  <r>
    <s v="0 Original"/>
    <s v="(2203)"/>
    <n v="2203"/>
    <s v="2014-01-19 Indira Suarez(648)"/>
    <x v="38"/>
    <n v="6.99"/>
    <n v="1"/>
    <s v="www"/>
    <d v="2014-01-19T14:07:47"/>
    <d v="2014-01-19T00:00:00"/>
    <x v="0"/>
    <n v="6.99"/>
  </r>
  <r>
    <s v="0 Original"/>
    <s v="(2204)"/>
    <n v="2204"/>
    <s v="2014-01-19 Indira Suarez(648)"/>
    <x v="35"/>
    <n v="9.99"/>
    <n v="1"/>
    <s v="www"/>
    <d v="2014-01-19T14:07:47"/>
    <d v="2014-01-19T00:00:00"/>
    <x v="0"/>
    <n v="9.99"/>
  </r>
  <r>
    <s v="0 Original"/>
    <s v="(3914)"/>
    <n v="3914"/>
    <s v="2014-01-19 Belle Short(1186)"/>
    <x v="16"/>
    <n v="6.99"/>
    <n v="1"/>
    <s v="www"/>
    <d v="2014-01-19T17:27:41"/>
    <d v="2014-01-19T00:00:00"/>
    <x v="0"/>
    <n v="6.99"/>
  </r>
  <r>
    <s v="0 Original"/>
    <s v="(3915)"/>
    <n v="3915"/>
    <s v="2014-01-19 Belle Short(1186)"/>
    <x v="6"/>
    <n v="5.99"/>
    <n v="2"/>
    <s v="www"/>
    <d v="2014-01-19T17:27:41"/>
    <d v="2014-01-19T00:00:00"/>
    <x v="0"/>
    <n v="11.98"/>
  </r>
  <r>
    <s v="0 Original"/>
    <s v="(3916)"/>
    <n v="3916"/>
    <s v="2014-01-19 Belle Short(1186)"/>
    <x v="16"/>
    <n v="6.99"/>
    <n v="2"/>
    <s v="www"/>
    <d v="2014-01-19T17:27:41"/>
    <d v="2014-01-19T00:00:00"/>
    <x v="0"/>
    <n v="13.98"/>
  </r>
  <r>
    <s v="0 Original"/>
    <s v="(3917)"/>
    <n v="3917"/>
    <s v="2014-01-19 Belle Short(1186)"/>
    <x v="8"/>
    <n v="4.99"/>
    <n v="1"/>
    <s v="www"/>
    <d v="2014-01-19T17:27:41"/>
    <d v="2014-01-19T00:00:00"/>
    <x v="0"/>
    <n v="4.99"/>
  </r>
  <r>
    <s v="0 Original"/>
    <s v="(3918)"/>
    <n v="3918"/>
    <s v="2014-01-19 Belle Short(1186)"/>
    <x v="7"/>
    <n v="9.99"/>
    <n v="1"/>
    <s v="www"/>
    <d v="2014-01-19T17:27:41"/>
    <d v="2014-01-19T00:00:00"/>
    <x v="0"/>
    <n v="9.99"/>
  </r>
  <r>
    <s v="0 Original"/>
    <s v="(3723)"/>
    <n v="3723"/>
    <s v="2014-01-19 Belle Short(1127)"/>
    <x v="7"/>
    <n v="9.99"/>
    <n v="1"/>
    <s v="www"/>
    <d v="2014-01-19T19:22:33"/>
    <d v="2014-01-19T00:00:00"/>
    <x v="0"/>
    <n v="9.99"/>
  </r>
  <r>
    <s v="0 Original"/>
    <s v="(3724)"/>
    <n v="3724"/>
    <s v="2014-01-19 Belle Short(1127)"/>
    <x v="41"/>
    <n v="4.99"/>
    <n v="1"/>
    <s v="www"/>
    <d v="2014-01-19T19:22:33"/>
    <d v="2014-01-19T00:00:00"/>
    <x v="0"/>
    <n v="4.99"/>
  </r>
  <r>
    <s v="0 Original"/>
    <s v="(3725)"/>
    <n v="3725"/>
    <s v="2014-01-19 Belle Short(1127)"/>
    <x v="25"/>
    <n v="9.99"/>
    <n v="2"/>
    <s v="www"/>
    <d v="2014-01-19T19:22:33"/>
    <d v="2014-01-19T00:00:00"/>
    <x v="0"/>
    <n v="19.98"/>
  </r>
  <r>
    <s v="0 Original"/>
    <s v="(3726)"/>
    <n v="3726"/>
    <s v="2014-01-19 Belle Short(1127)"/>
    <x v="6"/>
    <n v="5.99"/>
    <n v="2"/>
    <s v="www"/>
    <d v="2014-01-19T19:22:33"/>
    <d v="2014-01-19T00:00:00"/>
    <x v="0"/>
    <n v="11.98"/>
  </r>
  <r>
    <s v="0 Original"/>
    <s v="(3727)"/>
    <n v="3727"/>
    <s v="2014-01-19 Belle Short(1127)"/>
    <x v="30"/>
    <n v="6.99"/>
    <n v="1"/>
    <s v="www"/>
    <d v="2014-01-19T19:22:33"/>
    <d v="2014-01-19T00:00:00"/>
    <x v="0"/>
    <n v="6.99"/>
  </r>
  <r>
    <s v="0 Original"/>
    <s v="(906)"/>
    <n v="906"/>
    <s v="2014-01-21 Stacey Kirk(259)"/>
    <x v="46"/>
    <n v="5.99"/>
    <n v="2"/>
    <s v="www"/>
    <d v="2014-01-21T11:36:19"/>
    <d v="2014-01-21T00:00:00"/>
    <x v="0"/>
    <n v="11.98"/>
  </r>
  <r>
    <s v="0 Original"/>
    <s v="(907)"/>
    <n v="907"/>
    <s v="2014-01-21 Stacey Kirk(259)"/>
    <x v="57"/>
    <n v="4.99"/>
    <n v="1"/>
    <s v="www"/>
    <d v="2014-01-21T11:36:19"/>
    <d v="2014-01-21T00:00:00"/>
    <x v="0"/>
    <n v="4.99"/>
  </r>
  <r>
    <s v="0 Original"/>
    <s v="(2436)"/>
    <n v="2436"/>
    <s v="2014-01-22 Cameron Rivera(730)"/>
    <x v="24"/>
    <n v="7.99"/>
    <n v="2"/>
    <s v="www"/>
    <d v="2014-01-22T00:37:54"/>
    <d v="2014-01-22T00:00:00"/>
    <x v="0"/>
    <n v="15.98"/>
  </r>
  <r>
    <s v="0 Original"/>
    <s v="(2437)"/>
    <n v="2437"/>
    <s v="2014-01-22 Cameron Rivera(730)"/>
    <x v="23"/>
    <n v="9.99"/>
    <n v="1"/>
    <s v="www"/>
    <d v="2014-01-22T00:37:54"/>
    <d v="2014-01-22T00:00:00"/>
    <x v="0"/>
    <n v="9.99"/>
  </r>
  <r>
    <s v="0 Original"/>
    <s v="(2438)"/>
    <n v="2438"/>
    <s v="2014-01-22 Cameron Rivera(730)"/>
    <x v="8"/>
    <n v="4.99"/>
    <n v="1"/>
    <s v="www"/>
    <d v="2014-01-22T00:37:54"/>
    <d v="2014-01-22T00:00:00"/>
    <x v="0"/>
    <n v="4.99"/>
  </r>
  <r>
    <s v="0 Original"/>
    <s v="(2439)"/>
    <n v="2439"/>
    <s v="2014-01-22 Cameron Rivera(730)"/>
    <x v="8"/>
    <n v="4.99"/>
    <n v="1"/>
    <s v="www"/>
    <d v="2014-01-22T00:37:54"/>
    <d v="2014-01-22T00:00:00"/>
    <x v="0"/>
    <n v="4.99"/>
  </r>
  <r>
    <s v="0 Original"/>
    <s v="(2440)"/>
    <n v="2440"/>
    <s v="2014-01-22 Cameron Rivera(730)"/>
    <x v="30"/>
    <n v="6.99"/>
    <n v="1"/>
    <s v="www"/>
    <d v="2014-01-22T00:37:54"/>
    <d v="2014-01-22T00:00:00"/>
    <x v="0"/>
    <n v="6.99"/>
  </r>
  <r>
    <s v="0 Original"/>
    <s v="(2441)"/>
    <n v="2441"/>
    <s v="2014-01-22 Cameron Rivera(730)"/>
    <x v="8"/>
    <n v="4.99"/>
    <n v="1"/>
    <s v="www"/>
    <d v="2014-01-22T00:37:54"/>
    <d v="2014-01-22T00:00:00"/>
    <x v="0"/>
    <n v="4.99"/>
  </r>
  <r>
    <s v="0 Original"/>
    <s v="(2442)"/>
    <n v="2442"/>
    <s v="2014-01-22 Cameron Rivera(730)"/>
    <x v="23"/>
    <n v="9.99"/>
    <n v="1"/>
    <s v="www"/>
    <d v="2014-01-22T00:37:54"/>
    <d v="2014-01-22T00:00:00"/>
    <x v="0"/>
    <n v="9.99"/>
  </r>
  <r>
    <s v="0 Original"/>
    <s v="(2443)"/>
    <n v="2443"/>
    <s v="2014-01-22 Cameron Rivera(730)"/>
    <x v="7"/>
    <n v="9.99"/>
    <n v="2"/>
    <s v="www"/>
    <d v="2014-01-22T00:37:54"/>
    <d v="2014-01-22T00:00:00"/>
    <x v="0"/>
    <n v="19.98"/>
  </r>
  <r>
    <s v="0 Original"/>
    <s v="(2352)"/>
    <n v="2352"/>
    <s v="2014-01-22 Nayda Shields(699)"/>
    <x v="47"/>
    <n v="6.99"/>
    <n v="2"/>
    <s v="www"/>
    <d v="2014-01-22T04:13:03"/>
    <d v="2014-01-22T00:00:00"/>
    <x v="0"/>
    <n v="13.98"/>
  </r>
  <r>
    <s v="0 Original"/>
    <s v="(3634)"/>
    <n v="3634"/>
    <s v="2014-01-22 Ora Mann(1100)"/>
    <x v="6"/>
    <n v="5.99"/>
    <n v="1"/>
    <s v="www"/>
    <d v="2014-01-22T14:39:47"/>
    <d v="2014-01-22T00:00:00"/>
    <x v="0"/>
    <n v="5.99"/>
  </r>
  <r>
    <s v="0 Original"/>
    <s v="(3189)"/>
    <n v="3189"/>
    <s v="2014-01-23 John Drake(962)"/>
    <x v="25"/>
    <n v="9.99"/>
    <n v="2"/>
    <s v="www"/>
    <d v="2014-01-23T05:30:10"/>
    <d v="2014-01-23T00:00:00"/>
    <x v="0"/>
    <n v="19.98"/>
  </r>
  <r>
    <s v="0 Original"/>
    <s v="(3190)"/>
    <n v="3190"/>
    <s v="2014-01-23 John Drake(962)"/>
    <x v="23"/>
    <n v="9.99"/>
    <n v="1"/>
    <s v="www"/>
    <d v="2014-01-23T05:30:10"/>
    <d v="2014-01-23T00:00:00"/>
    <x v="0"/>
    <n v="9.99"/>
  </r>
  <r>
    <s v="0 Original"/>
    <s v="(3191)"/>
    <n v="3191"/>
    <s v="2014-01-23 John Drake(962)"/>
    <x v="6"/>
    <n v="5.99"/>
    <n v="1"/>
    <s v="www"/>
    <d v="2014-01-23T05:30:10"/>
    <d v="2014-01-23T00:00:00"/>
    <x v="0"/>
    <n v="5.99"/>
  </r>
  <r>
    <s v="0 Original"/>
    <s v="(3192)"/>
    <n v="3192"/>
    <s v="2014-01-23 John Drake(962)"/>
    <x v="16"/>
    <n v="6.99"/>
    <n v="1"/>
    <s v="www"/>
    <d v="2014-01-23T05:30:10"/>
    <d v="2014-01-23T00:00:00"/>
    <x v="0"/>
    <n v="6.99"/>
  </r>
  <r>
    <s v="0 Original"/>
    <s v="(3193)"/>
    <n v="3193"/>
    <s v="2014-01-23 John Drake(962)"/>
    <x v="6"/>
    <n v="5.99"/>
    <n v="1"/>
    <s v="www"/>
    <d v="2014-01-23T05:30:10"/>
    <d v="2014-01-23T00:00:00"/>
    <x v="0"/>
    <n v="5.99"/>
  </r>
  <r>
    <s v="0 Original"/>
    <s v="(2292)"/>
    <n v="2292"/>
    <s v="2014-01-24 Galvin Becker(678)"/>
    <x v="44"/>
    <n v="9.99"/>
    <n v="1"/>
    <s v="www"/>
    <d v="2014-01-24T01:34:08"/>
    <d v="2014-01-24T00:00:00"/>
    <x v="0"/>
    <n v="9.99"/>
  </r>
  <r>
    <s v="0 Original"/>
    <s v="(2293)"/>
    <n v="2293"/>
    <s v="2014-01-24 Galvin Becker(678)"/>
    <x v="33"/>
    <n v="4.99"/>
    <n v="1"/>
    <s v="www"/>
    <d v="2014-01-24T01:34:08"/>
    <d v="2014-01-24T00:00:00"/>
    <x v="0"/>
    <n v="4.99"/>
  </r>
  <r>
    <s v="0 Original"/>
    <s v="(2294)"/>
    <n v="2294"/>
    <s v="2014-01-24 Galvin Becker(678)"/>
    <x v="11"/>
    <n v="8.99"/>
    <n v="1"/>
    <s v="www"/>
    <d v="2014-01-24T01:34:08"/>
    <d v="2014-01-24T00:00:00"/>
    <x v="0"/>
    <n v="8.99"/>
  </r>
  <r>
    <s v="0 Original"/>
    <s v="(2842)"/>
    <n v="2842"/>
    <s v="2014-01-24 Madeline Reynolds(856)"/>
    <x v="24"/>
    <n v="7.99"/>
    <n v="2"/>
    <s v="www"/>
    <d v="2014-01-24T03:30:48"/>
    <d v="2014-01-24T00:00:00"/>
    <x v="0"/>
    <n v="15.98"/>
  </r>
  <r>
    <s v="0 Original"/>
    <s v="(2843)"/>
    <n v="2843"/>
    <s v="2014-01-24 Madeline Reynolds(856)"/>
    <x v="8"/>
    <n v="4.99"/>
    <n v="1"/>
    <s v="www"/>
    <d v="2014-01-24T03:30:48"/>
    <d v="2014-01-24T00:00:00"/>
    <x v="0"/>
    <n v="4.99"/>
  </r>
  <r>
    <s v="0 Original"/>
    <s v="(1882)"/>
    <n v="1882"/>
    <s v="2014-01-24 Dane Stafford(550)"/>
    <x v="11"/>
    <n v="8.99"/>
    <n v="1"/>
    <s v="www"/>
    <d v="2014-01-24T08:12:12"/>
    <d v="2014-01-24T00:00:00"/>
    <x v="0"/>
    <n v="8.99"/>
  </r>
  <r>
    <s v="0 Original"/>
    <s v="(1064)"/>
    <n v="1064"/>
    <s v="2014-01-24 Zane Parrish(305)"/>
    <x v="27"/>
    <n v="9.99"/>
    <n v="1"/>
    <s v="www"/>
    <d v="2014-01-24T20:12:13"/>
    <d v="2014-01-24T00:00:00"/>
    <x v="0"/>
    <n v="9.99"/>
  </r>
  <r>
    <s v="0 Original"/>
    <s v="(1065)"/>
    <n v="1065"/>
    <s v="2014-01-24 Zane Parrish(305)"/>
    <x v="58"/>
    <n v="4.99"/>
    <n v="1"/>
    <s v="www"/>
    <d v="2014-01-24T20:12:13"/>
    <d v="2014-01-24T00:00:00"/>
    <x v="0"/>
    <n v="4.99"/>
  </r>
  <r>
    <s v="0 Original"/>
    <s v="(1066)"/>
    <n v="1066"/>
    <s v="2014-01-24 Zane Parrish(305)"/>
    <x v="2"/>
    <n v="7.99"/>
    <n v="1"/>
    <s v="www"/>
    <d v="2014-01-24T20:12:13"/>
    <d v="2014-01-24T00:00:00"/>
    <x v="0"/>
    <n v="7.99"/>
  </r>
  <r>
    <s v="0 Original"/>
    <s v="(3596)"/>
    <n v="3596"/>
    <s v="2014-01-27 Belle Short(1088)"/>
    <x v="41"/>
    <n v="4.99"/>
    <n v="1"/>
    <s v="www"/>
    <d v="2014-01-27T10:33:08"/>
    <d v="2014-01-27T00:00:00"/>
    <x v="0"/>
    <n v="4.99"/>
  </r>
  <r>
    <s v="0 Original"/>
    <s v="(3597)"/>
    <n v="3597"/>
    <s v="2014-01-27 Belle Short(1088)"/>
    <x v="8"/>
    <n v="4.99"/>
    <n v="1"/>
    <s v="www"/>
    <d v="2014-01-27T10:33:08"/>
    <d v="2014-01-27T00:00:00"/>
    <x v="0"/>
    <n v="4.99"/>
  </r>
  <r>
    <s v="0 Original"/>
    <s v="(3598)"/>
    <n v="3598"/>
    <s v="2014-01-27 Belle Short(1088)"/>
    <x v="41"/>
    <n v="4.99"/>
    <n v="2"/>
    <s v="www"/>
    <d v="2014-01-27T10:33:08"/>
    <d v="2014-01-27T00:00:00"/>
    <x v="0"/>
    <n v="9.98"/>
  </r>
  <r>
    <s v="0 Original"/>
    <s v="(3313)"/>
    <n v="3313"/>
    <s v="2014-01-27 Cameron Rivera(1004)"/>
    <x v="23"/>
    <n v="9.99"/>
    <n v="1"/>
    <s v="www"/>
    <d v="2014-01-27T19:38:39"/>
    <d v="2014-01-27T00:00:00"/>
    <x v="0"/>
    <n v="9.99"/>
  </r>
  <r>
    <s v="0 Original"/>
    <s v="(3314)"/>
    <n v="3314"/>
    <s v="2014-01-27 Cameron Rivera(1004)"/>
    <x v="9"/>
    <n v="7.99"/>
    <n v="2"/>
    <s v="www"/>
    <d v="2014-01-27T19:38:39"/>
    <d v="2014-01-27T00:00:00"/>
    <x v="0"/>
    <n v="15.98"/>
  </r>
  <r>
    <s v="0 Original"/>
    <s v="(3315)"/>
    <n v="3315"/>
    <s v="2014-01-27 Cameron Rivera(1004)"/>
    <x v="6"/>
    <n v="5.99"/>
    <n v="1"/>
    <s v="www"/>
    <d v="2014-01-27T19:38:39"/>
    <d v="2014-01-27T00:00:00"/>
    <x v="0"/>
    <n v="5.99"/>
  </r>
  <r>
    <s v="0 Original"/>
    <s v="(2424)"/>
    <n v="2424"/>
    <s v="2014-01-28 Nayda Shields(725)"/>
    <x v="8"/>
    <n v="4.99"/>
    <n v="1"/>
    <s v="www"/>
    <d v="2014-01-28T07:24:29"/>
    <d v="2014-01-28T00:00:00"/>
    <x v="0"/>
    <n v="4.99"/>
  </r>
  <r>
    <s v="0 Original"/>
    <s v="(2425)"/>
    <n v="2425"/>
    <s v="2014-01-28 Nayda Shields(725)"/>
    <x v="41"/>
    <n v="4.99"/>
    <n v="1"/>
    <s v="www"/>
    <d v="2014-01-28T07:24:29"/>
    <d v="2014-01-28T00:00:00"/>
    <x v="0"/>
    <n v="4.99"/>
  </r>
  <r>
    <s v="0 Original"/>
    <s v="(460)"/>
    <n v="460"/>
    <s v="2014-01-28 Tanek Santos(129)"/>
    <x v="7"/>
    <n v="9.99"/>
    <n v="1"/>
    <s v="www"/>
    <d v="2014-01-28T07:33:42"/>
    <d v="2014-01-28T00:00:00"/>
    <x v="0"/>
    <n v="9.99"/>
  </r>
  <r>
    <s v="0 Original"/>
    <s v="(1836)"/>
    <n v="1836"/>
    <s v="2014-01-28 Gabriel Carlson(537)"/>
    <x v="0"/>
    <n v="9.99"/>
    <n v="1"/>
    <s v="www"/>
    <d v="2014-01-28T11:28:11"/>
    <d v="2014-01-28T00:00:00"/>
    <x v="0"/>
    <n v="9.99"/>
  </r>
  <r>
    <s v="0 Original"/>
    <s v="(1837)"/>
    <n v="1837"/>
    <s v="2014-01-28 Gabriel Carlson(537)"/>
    <x v="59"/>
    <n v="6.99"/>
    <n v="1"/>
    <s v="www"/>
    <d v="2014-01-28T11:28:11"/>
    <d v="2014-01-28T00:00:00"/>
    <x v="0"/>
    <n v="6.99"/>
  </r>
  <r>
    <s v="0 Original"/>
    <s v="(1838)"/>
    <n v="1838"/>
    <s v="2014-01-28 Gabriel Carlson(537)"/>
    <x v="12"/>
    <n v="8.99"/>
    <n v="1"/>
    <s v="www"/>
    <d v="2014-01-28T11:28:11"/>
    <d v="2014-01-28T00:00:00"/>
    <x v="0"/>
    <n v="8.99"/>
  </r>
  <r>
    <s v="0 Original"/>
    <s v="(951)"/>
    <n v="951"/>
    <s v="2014-01-28 Lionel Vargas(271)"/>
    <x v="38"/>
    <n v="6.99"/>
    <n v="1"/>
    <s v="www"/>
    <d v="2014-01-28T20:16:37"/>
    <d v="2014-01-28T00:00:00"/>
    <x v="0"/>
    <n v="6.99"/>
  </r>
  <r>
    <s v="0 Original"/>
    <s v="(952)"/>
    <n v="952"/>
    <s v="2014-01-28 Lionel Vargas(271)"/>
    <x v="11"/>
    <n v="8.99"/>
    <n v="2"/>
    <s v="www"/>
    <d v="2014-01-28T20:16:37"/>
    <d v="2014-01-28T00:00:00"/>
    <x v="0"/>
    <n v="17.98"/>
  </r>
  <r>
    <s v="0 Original"/>
    <s v="(953)"/>
    <n v="953"/>
    <s v="2014-01-28 Lionel Vargas(271)"/>
    <x v="59"/>
    <n v="6.99"/>
    <n v="1"/>
    <s v="www"/>
    <d v="2014-01-28T20:16:37"/>
    <d v="2014-01-28T00:00:00"/>
    <x v="0"/>
    <n v="6.99"/>
  </r>
  <r>
    <s v="0 Original"/>
    <s v="(613)"/>
    <n v="613"/>
    <s v="2014-01-29 Lesley Keith(174)"/>
    <x v="60"/>
    <n v="6.99"/>
    <n v="1"/>
    <s v="www"/>
    <d v="2014-01-29T18:40:24"/>
    <d v="2014-01-29T00:00:00"/>
    <x v="0"/>
    <n v="6.99"/>
  </r>
  <r>
    <s v="0 Original"/>
    <s v="(614)"/>
    <n v="614"/>
    <s v="2014-01-29 Lesley Keith(174)"/>
    <x v="61"/>
    <n v="5.99"/>
    <n v="1"/>
    <s v="www"/>
    <d v="2014-01-29T18:40:24"/>
    <d v="2014-01-29T00:00:00"/>
    <x v="0"/>
    <n v="5.99"/>
  </r>
  <r>
    <s v="0 Original"/>
    <s v="(615)"/>
    <n v="615"/>
    <s v="2014-01-29 Lesley Keith(174)"/>
    <x v="62"/>
    <n v="8.99"/>
    <n v="1"/>
    <s v="www"/>
    <d v="2014-01-29T18:40:24"/>
    <d v="2014-01-29T00:00:00"/>
    <x v="0"/>
    <n v="8.99"/>
  </r>
  <r>
    <s v="0 Original"/>
    <s v="(616)"/>
    <n v="616"/>
    <s v="2014-01-29 Lesley Keith(174)"/>
    <x v="63"/>
    <n v="7.99"/>
    <n v="1"/>
    <s v="www"/>
    <d v="2014-01-29T18:40:24"/>
    <d v="2014-01-29T00:00:00"/>
    <x v="0"/>
    <n v="7.99"/>
  </r>
  <r>
    <s v="0 Original"/>
    <s v="(617)"/>
    <n v="617"/>
    <s v="2014-01-29 Lesley Keith(174)"/>
    <x v="64"/>
    <n v="6.99"/>
    <n v="2"/>
    <s v="www"/>
    <d v="2014-01-29T18:40:24"/>
    <d v="2014-01-29T00:00:00"/>
    <x v="0"/>
    <n v="13.98"/>
  </r>
  <r>
    <s v="0 Original"/>
    <s v="(1059)"/>
    <n v="1059"/>
    <s v="2014-01-29 Anne Slater(302)"/>
    <x v="65"/>
    <n v="4.99"/>
    <n v="2"/>
    <s v="www"/>
    <d v="2014-01-29T23:48:37"/>
    <d v="2014-01-29T00:00:00"/>
    <x v="0"/>
    <n v="9.98"/>
  </r>
  <r>
    <s v="0 Original"/>
    <s v="(1060)"/>
    <n v="1060"/>
    <s v="2014-01-29 Anne Slater(302)"/>
    <x v="57"/>
    <n v="4.99"/>
    <n v="1"/>
    <s v="www"/>
    <d v="2014-01-29T23:48:37"/>
    <d v="2014-01-29T00:00:00"/>
    <x v="0"/>
    <n v="4.99"/>
  </r>
  <r>
    <s v="0 Original"/>
    <s v="(3553)"/>
    <n v="3553"/>
    <s v="2014-01-30 Nayda Shields(1073)"/>
    <x v="24"/>
    <n v="7.99"/>
    <n v="1"/>
    <s v="www"/>
    <d v="2014-01-30T04:34:32"/>
    <d v="2014-01-30T00:00:00"/>
    <x v="0"/>
    <n v="7.99"/>
  </r>
  <r>
    <s v="0 Original"/>
    <s v="(3554)"/>
    <n v="3554"/>
    <s v="2014-01-30 Nayda Shields(1073)"/>
    <x v="24"/>
    <n v="7.99"/>
    <n v="1"/>
    <s v="www"/>
    <d v="2014-01-30T04:34:32"/>
    <d v="2014-01-30T00:00:00"/>
    <x v="0"/>
    <n v="7.99"/>
  </r>
  <r>
    <s v="0 Original"/>
    <s v="(3555)"/>
    <n v="3555"/>
    <s v="2014-01-30 Nayda Shields(1073)"/>
    <x v="25"/>
    <n v="9.99"/>
    <n v="1"/>
    <s v="www"/>
    <d v="2014-01-30T04:34:32"/>
    <d v="2014-01-30T00:00:00"/>
    <x v="0"/>
    <n v="9.99"/>
  </r>
  <r>
    <s v="0 Original"/>
    <s v="(3790)"/>
    <n v="3790"/>
    <s v="2014-01-30 Belle Short(1149)"/>
    <x v="23"/>
    <n v="9.99"/>
    <n v="2"/>
    <s v="www"/>
    <d v="2014-01-30T17:17:43"/>
    <d v="2014-01-30T00:00:00"/>
    <x v="0"/>
    <n v="19.98"/>
  </r>
  <r>
    <s v="0 Original"/>
    <s v="(3791)"/>
    <n v="3791"/>
    <s v="2014-01-30 Belle Short(1149)"/>
    <x v="9"/>
    <n v="7.99"/>
    <n v="1"/>
    <s v="www"/>
    <d v="2014-01-30T17:17:43"/>
    <d v="2014-01-30T00:00:00"/>
    <x v="0"/>
    <n v="7.99"/>
  </r>
  <r>
    <s v="0 Original"/>
    <s v="(3792)"/>
    <n v="3792"/>
    <s v="2014-01-30 Belle Short(1149)"/>
    <x v="25"/>
    <n v="9.99"/>
    <n v="1"/>
    <s v="www"/>
    <d v="2014-01-30T17:17:43"/>
    <d v="2014-01-30T00:00:00"/>
    <x v="0"/>
    <n v="9.99"/>
  </r>
  <r>
    <s v="0 Original"/>
    <s v="(1197)"/>
    <n v="1197"/>
    <s v="2014-01-31 Galvin Becker(348)"/>
    <x v="37"/>
    <n v="8.99"/>
    <n v="2"/>
    <s v="www"/>
    <d v="2014-01-31T07:15:23"/>
    <d v="2014-01-31T00:00:00"/>
    <x v="0"/>
    <n v="17.98"/>
  </r>
  <r>
    <s v="0 Original"/>
    <s v="(1267)"/>
    <n v="1267"/>
    <s v="2014-01-31 Hanna Simpson(369)"/>
    <x v="49"/>
    <n v="8.99"/>
    <n v="1"/>
    <s v="www"/>
    <d v="2014-01-31T07:33:16"/>
    <d v="2014-01-31T00:00:00"/>
    <x v="0"/>
    <n v="8.99"/>
  </r>
  <r>
    <s v="0 Original"/>
    <s v="(1268)"/>
    <n v="1268"/>
    <s v="2014-01-31 Hanna Simpson(369)"/>
    <x v="45"/>
    <n v="6.99"/>
    <n v="1"/>
    <s v="www"/>
    <d v="2014-01-31T07:33:16"/>
    <d v="2014-01-31T00:00:00"/>
    <x v="0"/>
    <n v="6.99"/>
  </r>
  <r>
    <s v="0 Original"/>
    <s v="(3827)"/>
    <n v="3827"/>
    <s v="2014-02-01 Ora Mann(1163)"/>
    <x v="25"/>
    <n v="9.99"/>
    <n v="2"/>
    <s v="www"/>
    <d v="2014-02-01T14:19:22"/>
    <d v="2014-02-01T00:00:00"/>
    <x v="1"/>
    <n v="19.98"/>
  </r>
  <r>
    <s v="0 Original"/>
    <s v="(3828)"/>
    <n v="3828"/>
    <s v="2014-02-01 Ora Mann(1163)"/>
    <x v="41"/>
    <n v="4.99"/>
    <n v="1"/>
    <s v="www"/>
    <d v="2014-02-01T14:19:22"/>
    <d v="2014-02-01T00:00:00"/>
    <x v="1"/>
    <n v="4.99"/>
  </r>
  <r>
    <s v="0 Original"/>
    <s v="(3829)"/>
    <n v="3829"/>
    <s v="2014-02-01 Ora Mann(1163)"/>
    <x v="30"/>
    <n v="6.99"/>
    <n v="1"/>
    <s v="www"/>
    <d v="2014-02-01T14:19:22"/>
    <d v="2014-02-01T00:00:00"/>
    <x v="1"/>
    <n v="6.99"/>
  </r>
  <r>
    <s v="0 Original"/>
    <s v="(1866)"/>
    <n v="1866"/>
    <s v="2014-02-02 Harrison Klein(545)"/>
    <x v="49"/>
    <n v="8.99"/>
    <n v="1"/>
    <s v="www"/>
    <d v="2014-02-02T00:49:08"/>
    <d v="2014-02-02T00:00:00"/>
    <x v="1"/>
    <n v="8.99"/>
  </r>
  <r>
    <s v="0 Original"/>
    <s v="(1867)"/>
    <n v="1867"/>
    <s v="2014-02-02 Harrison Klein(545)"/>
    <x v="43"/>
    <n v="4.99"/>
    <n v="1"/>
    <s v="www"/>
    <d v="2014-02-02T00:49:08"/>
    <d v="2014-02-02T00:00:00"/>
    <x v="1"/>
    <n v="4.99"/>
  </r>
  <r>
    <s v="0 Original"/>
    <s v="(1868)"/>
    <n v="1868"/>
    <s v="2014-02-02 Harrison Klein(545)"/>
    <x v="66"/>
    <n v="9.99"/>
    <n v="1"/>
    <s v="www"/>
    <d v="2014-02-02T00:49:08"/>
    <d v="2014-02-02T00:00:00"/>
    <x v="1"/>
    <n v="9.99"/>
  </r>
  <r>
    <s v="0 Original"/>
    <s v="(1814)"/>
    <n v="1814"/>
    <s v="2014-02-02 Dane Stafford(532)"/>
    <x v="29"/>
    <n v="4.99"/>
    <n v="1"/>
    <s v="www"/>
    <d v="2014-02-02T20:10:16"/>
    <d v="2014-02-02T00:00:00"/>
    <x v="1"/>
    <n v="4.99"/>
  </r>
  <r>
    <s v="0 Original"/>
    <s v="(1815)"/>
    <n v="1815"/>
    <s v="2014-02-02 Dane Stafford(532)"/>
    <x v="59"/>
    <n v="6.99"/>
    <n v="1"/>
    <s v="www"/>
    <d v="2014-02-02T20:10:16"/>
    <d v="2014-02-02T00:00:00"/>
    <x v="1"/>
    <n v="6.99"/>
  </r>
  <r>
    <s v="0 Original"/>
    <s v="(1816)"/>
    <n v="1816"/>
    <s v="2014-02-02 Dane Stafford(532)"/>
    <x v="5"/>
    <n v="9.99"/>
    <n v="1"/>
    <s v="www"/>
    <d v="2014-02-02T20:10:16"/>
    <d v="2014-02-02T00:00:00"/>
    <x v="1"/>
    <n v="9.99"/>
  </r>
  <r>
    <s v="0 Original"/>
    <s v="(1817)"/>
    <n v="1817"/>
    <s v="2014-02-02 Dane Stafford(532)"/>
    <x v="38"/>
    <n v="6.99"/>
    <n v="1"/>
    <s v="www"/>
    <d v="2014-02-02T20:10:16"/>
    <d v="2014-02-02T00:00:00"/>
    <x v="1"/>
    <n v="6.99"/>
  </r>
  <r>
    <s v="0 Original"/>
    <s v="(1818)"/>
    <n v="1818"/>
    <s v="2014-02-02 Dane Stafford(532)"/>
    <x v="4"/>
    <n v="6.99"/>
    <n v="2"/>
    <s v="www"/>
    <d v="2014-02-02T20:10:16"/>
    <d v="2014-02-02T00:00:00"/>
    <x v="1"/>
    <n v="13.98"/>
  </r>
  <r>
    <s v="0 Original"/>
    <s v="(1819)"/>
    <n v="1819"/>
    <s v="2014-02-02 Dane Stafford(532)"/>
    <x v="17"/>
    <n v="9.99"/>
    <n v="1"/>
    <s v="www"/>
    <d v="2014-02-02T20:10:16"/>
    <d v="2014-02-02T00:00:00"/>
    <x v="1"/>
    <n v="9.99"/>
  </r>
  <r>
    <s v="0 Original"/>
    <s v="(422)"/>
    <n v="422"/>
    <s v="2014-02-03 Blossom Mosley(117)"/>
    <x v="67"/>
    <n v="8.99"/>
    <n v="1"/>
    <s v="www"/>
    <d v="2014-02-03T02:25:38"/>
    <d v="2014-02-03T00:00:00"/>
    <x v="1"/>
    <n v="8.99"/>
  </r>
  <r>
    <s v="0 Original"/>
    <s v="(423)"/>
    <n v="423"/>
    <s v="2014-02-03 Blossom Mosley(117)"/>
    <x v="68"/>
    <n v="7.99"/>
    <n v="1"/>
    <s v="www"/>
    <d v="2014-02-03T02:25:38"/>
    <d v="2014-02-03T00:00:00"/>
    <x v="1"/>
    <n v="7.99"/>
  </r>
  <r>
    <s v="0 Original"/>
    <s v="(424)"/>
    <n v="424"/>
    <s v="2014-02-03 Blossom Mosley(117)"/>
    <x v="69"/>
    <n v="4.99"/>
    <n v="2"/>
    <s v="www"/>
    <d v="2014-02-03T02:25:38"/>
    <d v="2014-02-03T00:00:00"/>
    <x v="1"/>
    <n v="9.98"/>
  </r>
  <r>
    <s v="0 Original"/>
    <s v="(425)"/>
    <n v="425"/>
    <s v="2014-02-03 Blossom Mosley(117)"/>
    <x v="70"/>
    <n v="8.99"/>
    <n v="1"/>
    <s v="www"/>
    <d v="2014-02-03T02:25:38"/>
    <d v="2014-02-03T00:00:00"/>
    <x v="1"/>
    <n v="8.99"/>
  </r>
  <r>
    <s v="0 Original"/>
    <s v="(426)"/>
    <n v="426"/>
    <s v="2014-02-03 Blossom Mosley(117)"/>
    <x v="71"/>
    <n v="8.99"/>
    <n v="1"/>
    <s v="www"/>
    <d v="2014-02-03T02:25:38"/>
    <d v="2014-02-03T00:00:00"/>
    <x v="1"/>
    <n v="8.99"/>
  </r>
  <r>
    <s v="0 Original"/>
    <s v="(3899)"/>
    <n v="3899"/>
    <s v="2014-02-04 Madeline Reynolds(1182)"/>
    <x v="25"/>
    <n v="9.99"/>
    <n v="1"/>
    <s v="www"/>
    <d v="2014-02-04T00:12:05"/>
    <d v="2014-02-04T00:00:00"/>
    <x v="1"/>
    <n v="9.99"/>
  </r>
  <r>
    <s v="0 Original"/>
    <s v="(3900)"/>
    <n v="3900"/>
    <s v="2014-02-04 Madeline Reynolds(1182)"/>
    <x v="16"/>
    <n v="6.99"/>
    <n v="1"/>
    <s v="www"/>
    <d v="2014-02-04T00:12:05"/>
    <d v="2014-02-04T00:00:00"/>
    <x v="1"/>
    <n v="6.99"/>
  </r>
  <r>
    <s v="0 Original"/>
    <s v="(3901)"/>
    <n v="3901"/>
    <s v="2014-02-04 Madeline Reynolds(1182)"/>
    <x v="25"/>
    <n v="9.99"/>
    <n v="1"/>
    <s v="www"/>
    <d v="2014-02-04T00:12:05"/>
    <d v="2014-02-04T00:00:00"/>
    <x v="1"/>
    <n v="9.99"/>
  </r>
  <r>
    <s v="0 Original"/>
    <s v="(3902)"/>
    <n v="3902"/>
    <s v="2014-02-04 Madeline Reynolds(1182)"/>
    <x v="41"/>
    <n v="4.99"/>
    <n v="2"/>
    <s v="www"/>
    <d v="2014-02-04T00:12:05"/>
    <d v="2014-02-04T00:00:00"/>
    <x v="1"/>
    <n v="9.98"/>
  </r>
  <r>
    <s v="0 Original"/>
    <s v="(3903)"/>
    <n v="3903"/>
    <s v="2014-02-04 Madeline Reynolds(1182)"/>
    <x v="41"/>
    <n v="4.99"/>
    <n v="2"/>
    <s v="www"/>
    <d v="2014-02-04T00:12:05"/>
    <d v="2014-02-04T00:00:00"/>
    <x v="1"/>
    <n v="9.98"/>
  </r>
  <r>
    <s v="0 Original"/>
    <s v="(3262)"/>
    <n v="3262"/>
    <s v="2014-02-04 Belle Short(986)"/>
    <x v="7"/>
    <n v="9.99"/>
    <n v="1"/>
    <s v="www"/>
    <d v="2014-02-04T21:04:44"/>
    <d v="2014-02-04T00:00:00"/>
    <x v="1"/>
    <n v="9.99"/>
  </r>
  <r>
    <s v="0 Original"/>
    <s v="(3263)"/>
    <n v="3263"/>
    <s v="2014-02-04 Belle Short(986)"/>
    <x v="9"/>
    <n v="7.99"/>
    <n v="2"/>
    <s v="www"/>
    <d v="2014-02-04T21:04:44"/>
    <d v="2014-02-04T00:00:00"/>
    <x v="1"/>
    <n v="15.98"/>
  </r>
  <r>
    <s v="0 Original"/>
    <s v="(73)"/>
    <n v="73"/>
    <s v="2014-02-04 Morgan Hoffman(22)"/>
    <x v="72"/>
    <n v="9.99"/>
    <n v="1"/>
    <s v="www"/>
    <d v="2014-02-04T23:31:00"/>
    <d v="2014-02-04T00:00:00"/>
    <x v="1"/>
    <n v="9.99"/>
  </r>
  <r>
    <s v="0 Original"/>
    <s v="(74)"/>
    <n v="74"/>
    <s v="2014-02-04 Morgan Hoffman(22)"/>
    <x v="44"/>
    <n v="9.99"/>
    <n v="2"/>
    <s v="www"/>
    <d v="2014-02-04T23:31:00"/>
    <d v="2014-02-04T00:00:00"/>
    <x v="1"/>
    <n v="19.98"/>
  </r>
  <r>
    <s v="0 Original"/>
    <s v="(3821)"/>
    <n v="3821"/>
    <s v="2014-02-05 Donovan Gomez(1160)"/>
    <x v="9"/>
    <n v="7.99"/>
    <n v="1"/>
    <s v="www"/>
    <d v="2014-02-05T12:28:36"/>
    <d v="2014-02-05T00:00:00"/>
    <x v="1"/>
    <n v="7.99"/>
  </r>
  <r>
    <s v="0 Original"/>
    <s v="(1947)"/>
    <n v="1947"/>
    <s v="2014-02-05 Adrian Dodson(570)"/>
    <x v="2"/>
    <n v="7.99"/>
    <n v="1"/>
    <s v="www"/>
    <d v="2014-02-05T20:43:47"/>
    <d v="2014-02-05T00:00:00"/>
    <x v="1"/>
    <n v="7.99"/>
  </r>
  <r>
    <s v="0 Original"/>
    <s v="(1948)"/>
    <n v="1948"/>
    <s v="2014-02-05 Adrian Dodson(570)"/>
    <x v="9"/>
    <n v="7.99"/>
    <n v="1"/>
    <s v="www"/>
    <d v="2014-02-05T20:43:47"/>
    <d v="2014-02-05T00:00:00"/>
    <x v="1"/>
    <n v="7.99"/>
  </r>
  <r>
    <s v="0 Original"/>
    <s v="(1655)"/>
    <n v="1655"/>
    <s v="2014-02-06 Yoshi Bennett(482)"/>
    <x v="15"/>
    <n v="8.99"/>
    <n v="1"/>
    <s v="www"/>
    <d v="2014-02-06T03:55:11"/>
    <d v="2014-02-06T00:00:00"/>
    <x v="1"/>
    <n v="8.99"/>
  </r>
  <r>
    <s v="0 Original"/>
    <s v="(1656)"/>
    <n v="1656"/>
    <s v="2014-02-06 Yoshi Bennett(482)"/>
    <x v="1"/>
    <n v="7.99"/>
    <n v="2"/>
    <s v="www"/>
    <d v="2014-02-06T03:55:11"/>
    <d v="2014-02-06T00:00:00"/>
    <x v="1"/>
    <n v="15.98"/>
  </r>
  <r>
    <s v="0 Original"/>
    <s v="(1657)"/>
    <n v="1657"/>
    <s v="2014-02-06 Yoshi Bennett(482)"/>
    <x v="42"/>
    <n v="5.99"/>
    <n v="2"/>
    <s v="www"/>
    <d v="2014-02-06T03:55:11"/>
    <d v="2014-02-06T00:00:00"/>
    <x v="1"/>
    <n v="11.98"/>
  </r>
  <r>
    <s v="0 Original"/>
    <s v="(1658)"/>
    <n v="1658"/>
    <s v="2014-02-06 Yoshi Bennett(482)"/>
    <x v="2"/>
    <n v="7.99"/>
    <n v="2"/>
    <s v="www"/>
    <d v="2014-02-06T03:55:11"/>
    <d v="2014-02-06T00:00:00"/>
    <x v="1"/>
    <n v="15.98"/>
  </r>
  <r>
    <s v="0 Original"/>
    <s v="(1659)"/>
    <n v="1659"/>
    <s v="2014-02-06 Yoshi Bennett(482)"/>
    <x v="37"/>
    <n v="8.99"/>
    <n v="1"/>
    <s v="www"/>
    <d v="2014-02-06T03:55:11"/>
    <d v="2014-02-06T00:00:00"/>
    <x v="1"/>
    <n v="8.99"/>
  </r>
  <r>
    <s v="0 Original"/>
    <s v="(1660)"/>
    <n v="1660"/>
    <s v="2014-02-06 Yoshi Bennett(482)"/>
    <x v="6"/>
    <n v="5.99"/>
    <n v="1"/>
    <s v="www"/>
    <d v="2014-02-06T03:55:11"/>
    <d v="2014-02-06T00:00:00"/>
    <x v="1"/>
    <n v="5.99"/>
  </r>
  <r>
    <s v="0 Original"/>
    <s v="(1191)"/>
    <n v="1191"/>
    <s v="2014-02-06 Angelica Ortiz(345)"/>
    <x v="33"/>
    <n v="4.99"/>
    <n v="2"/>
    <s v="www"/>
    <d v="2014-02-06T07:04:20"/>
    <d v="2014-02-06T00:00:00"/>
    <x v="1"/>
    <n v="9.98"/>
  </r>
  <r>
    <s v="0 Original"/>
    <s v="(1641)"/>
    <n v="1641"/>
    <s v="2014-02-06 Hanna Simpson(475)"/>
    <x v="3"/>
    <n v="7.99"/>
    <n v="1"/>
    <s v="www"/>
    <d v="2014-02-06T11:44:04"/>
    <d v="2014-02-06T00:00:00"/>
    <x v="1"/>
    <n v="7.99"/>
  </r>
  <r>
    <s v="0 Original"/>
    <s v="(1642)"/>
    <n v="1642"/>
    <s v="2014-02-06 Hanna Simpson(475)"/>
    <x v="2"/>
    <n v="7.99"/>
    <n v="1"/>
    <s v="www"/>
    <d v="2014-02-06T11:44:04"/>
    <d v="2014-02-06T00:00:00"/>
    <x v="1"/>
    <n v="7.99"/>
  </r>
  <r>
    <s v="0 Original"/>
    <s v="(3069)"/>
    <n v="3069"/>
    <s v="2014-02-07 Prescott Nelson(924)"/>
    <x v="6"/>
    <n v="5.99"/>
    <n v="2"/>
    <s v="www"/>
    <d v="2014-02-07T22:32:46"/>
    <d v="2014-02-07T00:00:00"/>
    <x v="1"/>
    <n v="11.98"/>
  </r>
  <r>
    <s v="0 Original"/>
    <s v="(3070)"/>
    <n v="3070"/>
    <s v="2014-02-07 Prescott Nelson(924)"/>
    <x v="41"/>
    <n v="4.99"/>
    <n v="2"/>
    <s v="www"/>
    <d v="2014-02-07T22:32:46"/>
    <d v="2014-02-07T00:00:00"/>
    <x v="1"/>
    <n v="9.98"/>
  </r>
  <r>
    <s v="0 Original"/>
    <s v="(3830)"/>
    <n v="3830"/>
    <s v="2014-02-10 Prescott Nelson(1164)"/>
    <x v="24"/>
    <n v="7.99"/>
    <n v="2"/>
    <s v="www"/>
    <d v="2014-02-10T05:32:05"/>
    <d v="2014-02-10T00:00:00"/>
    <x v="1"/>
    <n v="15.98"/>
  </r>
  <r>
    <s v="0 Original"/>
    <s v="(3831)"/>
    <n v="3831"/>
    <s v="2014-02-10 Prescott Nelson(1164)"/>
    <x v="24"/>
    <n v="7.99"/>
    <n v="1"/>
    <s v="www"/>
    <d v="2014-02-10T05:32:05"/>
    <d v="2014-02-10T00:00:00"/>
    <x v="1"/>
    <n v="7.99"/>
  </r>
  <r>
    <s v="0 Original"/>
    <s v="(2270)"/>
    <n v="2270"/>
    <s v="2014-02-10 Lillian Larsen(670)"/>
    <x v="6"/>
    <n v="5.99"/>
    <n v="1"/>
    <s v="www"/>
    <d v="2014-02-10T15:52:58"/>
    <d v="2014-02-10T00:00:00"/>
    <x v="1"/>
    <n v="5.99"/>
  </r>
  <r>
    <s v="0 Original"/>
    <s v="(2271)"/>
    <n v="2271"/>
    <s v="2014-02-10 Lillian Larsen(670)"/>
    <x v="1"/>
    <n v="7.99"/>
    <n v="1"/>
    <s v="www"/>
    <d v="2014-02-10T15:52:58"/>
    <d v="2014-02-10T00:00:00"/>
    <x v="1"/>
    <n v="7.99"/>
  </r>
  <r>
    <s v="0 Original"/>
    <s v="(2154)"/>
    <n v="2154"/>
    <s v="2014-02-10 Alma Salas(634)"/>
    <x v="6"/>
    <n v="5.99"/>
    <n v="1"/>
    <s v="www"/>
    <d v="2014-02-10T21:37:09"/>
    <d v="2014-02-10T00:00:00"/>
    <x v="1"/>
    <n v="5.99"/>
  </r>
  <r>
    <s v="0 Original"/>
    <s v="(2155)"/>
    <n v="2155"/>
    <s v="2014-02-10 Alma Salas(634)"/>
    <x v="21"/>
    <n v="4.99"/>
    <n v="1"/>
    <s v="www"/>
    <d v="2014-02-10T21:37:09"/>
    <d v="2014-02-10T00:00:00"/>
    <x v="1"/>
    <n v="4.99"/>
  </r>
  <r>
    <s v="0 Original"/>
    <s v="(2156)"/>
    <n v="2156"/>
    <s v="2014-02-10 Alma Salas(634)"/>
    <x v="45"/>
    <n v="6.99"/>
    <n v="2"/>
    <s v="www"/>
    <d v="2014-02-10T21:37:09"/>
    <d v="2014-02-10T00:00:00"/>
    <x v="1"/>
    <n v="13.98"/>
  </r>
  <r>
    <s v="0 Original"/>
    <s v="(2157)"/>
    <n v="2157"/>
    <s v="2014-02-10 Alma Salas(634)"/>
    <x v="9"/>
    <n v="7.99"/>
    <n v="1"/>
    <s v="www"/>
    <d v="2014-02-10T21:37:09"/>
    <d v="2014-02-10T00:00:00"/>
    <x v="1"/>
    <n v="7.99"/>
  </r>
  <r>
    <s v="0 Original"/>
    <s v="(2158)"/>
    <n v="2158"/>
    <s v="2014-02-10 Alma Salas(634)"/>
    <x v="3"/>
    <n v="7.99"/>
    <n v="1"/>
    <s v="www"/>
    <d v="2014-02-10T21:37:09"/>
    <d v="2014-02-10T00:00:00"/>
    <x v="1"/>
    <n v="7.99"/>
  </r>
  <r>
    <s v="0 Original"/>
    <s v="(2159)"/>
    <n v="2159"/>
    <s v="2014-02-10 Alma Salas(634)"/>
    <x v="34"/>
    <n v="8.99"/>
    <n v="1"/>
    <s v="www"/>
    <d v="2014-02-10T21:37:09"/>
    <d v="2014-02-10T00:00:00"/>
    <x v="1"/>
    <n v="8.99"/>
  </r>
  <r>
    <s v="0 Original"/>
    <s v="(3732)"/>
    <n v="3732"/>
    <s v="2014-02-11 Belle Short(1130)"/>
    <x v="7"/>
    <n v="9.99"/>
    <n v="2"/>
    <s v="www"/>
    <d v="2014-02-11T15:23:24"/>
    <d v="2014-02-11T00:00:00"/>
    <x v="1"/>
    <n v="19.98"/>
  </r>
  <r>
    <s v="0 Original"/>
    <s v="(3733)"/>
    <n v="3733"/>
    <s v="2014-02-11 Belle Short(1130)"/>
    <x v="9"/>
    <n v="7.99"/>
    <n v="1"/>
    <s v="www"/>
    <d v="2014-02-11T15:23:24"/>
    <d v="2014-02-11T00:00:00"/>
    <x v="1"/>
    <n v="7.99"/>
  </r>
  <r>
    <s v="0 Original"/>
    <s v="(3734)"/>
    <n v="3734"/>
    <s v="2014-02-11 Belle Short(1130)"/>
    <x v="41"/>
    <n v="4.99"/>
    <n v="2"/>
    <s v="www"/>
    <d v="2014-02-11T15:23:24"/>
    <d v="2014-02-11T00:00:00"/>
    <x v="1"/>
    <n v="9.98"/>
  </r>
  <r>
    <s v="0 Original"/>
    <s v="(2996)"/>
    <n v="2996"/>
    <s v="2014-02-12 Bernard Cash(902)"/>
    <x v="7"/>
    <n v="9.99"/>
    <n v="1"/>
    <s v="www"/>
    <d v="2014-02-12T03:37:19"/>
    <d v="2014-02-12T00:00:00"/>
    <x v="1"/>
    <n v="9.99"/>
  </r>
  <r>
    <s v="0 Original"/>
    <s v="(2997)"/>
    <n v="2997"/>
    <s v="2014-02-12 Bernard Cash(902)"/>
    <x v="8"/>
    <n v="4.99"/>
    <n v="1"/>
    <s v="www"/>
    <d v="2014-02-12T03:37:19"/>
    <d v="2014-02-12T00:00:00"/>
    <x v="1"/>
    <n v="4.99"/>
  </r>
  <r>
    <s v="0 Original"/>
    <s v="(2998)"/>
    <n v="2998"/>
    <s v="2014-02-12 Bernard Cash(902)"/>
    <x v="41"/>
    <n v="4.99"/>
    <n v="2"/>
    <s v="www"/>
    <d v="2014-02-12T03:37:19"/>
    <d v="2014-02-12T00:00:00"/>
    <x v="1"/>
    <n v="9.98"/>
  </r>
  <r>
    <s v="0 Original"/>
    <s v="(2999)"/>
    <n v="2999"/>
    <s v="2014-02-12 Bernard Cash(902)"/>
    <x v="25"/>
    <n v="9.99"/>
    <n v="1"/>
    <s v="www"/>
    <d v="2014-02-12T03:37:19"/>
    <d v="2014-02-12T00:00:00"/>
    <x v="1"/>
    <n v="9.99"/>
  </r>
  <r>
    <s v="0 Original"/>
    <s v="(7)"/>
    <n v="7"/>
    <s v="2014-02-12 Alexa Herring(4)"/>
    <x v="25"/>
    <n v="9.99"/>
    <n v="2"/>
    <s v="www"/>
    <d v="2014-02-12T12:29:06"/>
    <d v="2014-02-12T00:00:00"/>
    <x v="1"/>
    <n v="19.98"/>
  </r>
  <r>
    <s v="0 Original"/>
    <s v="(8)"/>
    <n v="8"/>
    <s v="2014-02-12 Alexa Herring(4)"/>
    <x v="25"/>
    <n v="9.99"/>
    <n v="1"/>
    <s v="www"/>
    <d v="2014-02-12T12:29:06"/>
    <d v="2014-02-12T00:00:00"/>
    <x v="1"/>
    <n v="9.99"/>
  </r>
  <r>
    <s v="0 Original"/>
    <s v="(569)"/>
    <n v="569"/>
    <s v="2014-02-12 Lionel Vargas(161)"/>
    <x v="73"/>
    <n v="5.99"/>
    <n v="1"/>
    <s v="www"/>
    <d v="2014-02-12T20:31:13"/>
    <d v="2014-02-12T00:00:00"/>
    <x v="1"/>
    <n v="5.99"/>
  </r>
  <r>
    <s v="0 Original"/>
    <s v="(570)"/>
    <n v="570"/>
    <s v="2014-02-12 Lionel Vargas(161)"/>
    <x v="74"/>
    <n v="8.99"/>
    <n v="1"/>
    <s v="www"/>
    <d v="2014-02-12T20:31:13"/>
    <d v="2014-02-12T00:00:00"/>
    <x v="1"/>
    <n v="8.99"/>
  </r>
  <r>
    <s v="0 Original"/>
    <s v="(571)"/>
    <n v="571"/>
    <s v="2014-02-12 Lionel Vargas(161)"/>
    <x v="22"/>
    <n v="6.99"/>
    <n v="1"/>
    <s v="www"/>
    <d v="2014-02-12T20:31:13"/>
    <d v="2014-02-12T00:00:00"/>
    <x v="1"/>
    <n v="6.99"/>
  </r>
  <r>
    <s v="0 Original"/>
    <s v="(2537)"/>
    <n v="2537"/>
    <s v="2014-02-13 Belle Short(762)"/>
    <x v="23"/>
    <n v="9.99"/>
    <n v="2"/>
    <s v="www"/>
    <d v="2014-02-13T11:11:31"/>
    <d v="2014-02-13T00:00:00"/>
    <x v="1"/>
    <n v="19.98"/>
  </r>
  <r>
    <s v="0 Original"/>
    <s v="(2538)"/>
    <n v="2538"/>
    <s v="2014-02-13 Belle Short(762)"/>
    <x v="16"/>
    <n v="6.99"/>
    <n v="1"/>
    <s v="www"/>
    <d v="2014-02-13T11:11:31"/>
    <d v="2014-02-13T00:00:00"/>
    <x v="1"/>
    <n v="6.99"/>
  </r>
  <r>
    <s v="0 Original"/>
    <s v="(240)"/>
    <n v="240"/>
    <s v="2014-02-14 Alice Bray(65)"/>
    <x v="75"/>
    <n v="6.99"/>
    <n v="1"/>
    <s v="www"/>
    <d v="2014-02-14T13:22:15"/>
    <d v="2014-02-14T00:00:00"/>
    <x v="1"/>
    <n v="6.99"/>
  </r>
  <r>
    <s v="0 Original"/>
    <s v="(241)"/>
    <n v="241"/>
    <s v="2014-02-14 Alice Bray(65)"/>
    <x v="76"/>
    <n v="6.99"/>
    <n v="1"/>
    <s v="www"/>
    <d v="2014-02-14T13:22:15"/>
    <d v="2014-02-14T00:00:00"/>
    <x v="1"/>
    <n v="6.99"/>
  </r>
  <r>
    <s v="0 Original"/>
    <s v="(242)"/>
    <n v="242"/>
    <s v="2014-02-14 Alice Bray(65)"/>
    <x v="75"/>
    <n v="6.99"/>
    <n v="1"/>
    <s v="www"/>
    <d v="2014-02-14T13:22:15"/>
    <d v="2014-02-14T00:00:00"/>
    <x v="1"/>
    <n v="6.99"/>
  </r>
  <r>
    <s v="0 Original"/>
    <s v="(243)"/>
    <n v="243"/>
    <s v="2014-02-14 Alice Bray(65)"/>
    <x v="69"/>
    <n v="4.99"/>
    <n v="1"/>
    <s v="www"/>
    <d v="2014-02-14T13:22:15"/>
    <d v="2014-02-14T00:00:00"/>
    <x v="1"/>
    <n v="4.99"/>
  </r>
  <r>
    <s v="0 Original"/>
    <s v="(244)"/>
    <n v="244"/>
    <s v="2014-02-14 Alice Bray(65)"/>
    <x v="77"/>
    <n v="7.99"/>
    <n v="1"/>
    <s v="www"/>
    <d v="2014-02-14T13:22:15"/>
    <d v="2014-02-14T00:00:00"/>
    <x v="1"/>
    <n v="7.99"/>
  </r>
  <r>
    <s v="0 Original"/>
    <s v="(2054)"/>
    <n v="2054"/>
    <s v="2014-02-15 Mariko Cameron(607)"/>
    <x v="0"/>
    <n v="9.99"/>
    <n v="2"/>
    <s v="www"/>
    <d v="2014-02-15T11:04:53"/>
    <d v="2014-02-15T00:00:00"/>
    <x v="1"/>
    <n v="19.98"/>
  </r>
  <r>
    <s v="0 Original"/>
    <s v="(2055)"/>
    <n v="2055"/>
    <s v="2014-02-15 Mariko Cameron(607)"/>
    <x v="1"/>
    <n v="7.99"/>
    <n v="1"/>
    <s v="www"/>
    <d v="2014-02-15T11:04:53"/>
    <d v="2014-02-15T00:00:00"/>
    <x v="1"/>
    <n v="7.99"/>
  </r>
  <r>
    <s v="0 Original"/>
    <s v="(2056)"/>
    <n v="2056"/>
    <s v="2014-02-15 Mariko Cameron(607)"/>
    <x v="10"/>
    <n v="8.99"/>
    <n v="1"/>
    <s v="www"/>
    <d v="2014-02-15T11:04:53"/>
    <d v="2014-02-15T00:00:00"/>
    <x v="1"/>
    <n v="8.99"/>
  </r>
  <r>
    <s v="0 Original"/>
    <s v="(2057)"/>
    <n v="2057"/>
    <s v="2014-02-15 Mariko Cameron(607)"/>
    <x v="21"/>
    <n v="4.99"/>
    <n v="1"/>
    <s v="www"/>
    <d v="2014-02-15T11:04:53"/>
    <d v="2014-02-15T00:00:00"/>
    <x v="1"/>
    <n v="4.99"/>
  </r>
  <r>
    <s v="0 Original"/>
    <s v="(2058)"/>
    <n v="2058"/>
    <s v="2014-02-15 Mariko Cameron(607)"/>
    <x v="12"/>
    <n v="8.99"/>
    <n v="1"/>
    <s v="www"/>
    <d v="2014-02-15T11:04:53"/>
    <d v="2014-02-15T00:00:00"/>
    <x v="1"/>
    <n v="8.99"/>
  </r>
  <r>
    <s v="0 Original"/>
    <s v="(2059)"/>
    <n v="2059"/>
    <s v="2014-02-15 Mariko Cameron(607)"/>
    <x v="31"/>
    <n v="8.99"/>
    <n v="1"/>
    <s v="www"/>
    <d v="2014-02-15T11:04:53"/>
    <d v="2014-02-15T00:00:00"/>
    <x v="1"/>
    <n v="8.99"/>
  </r>
  <r>
    <s v="0 Original"/>
    <s v="(1117)"/>
    <n v="1117"/>
    <s v="2014-02-15 Aristotle Avery(324)"/>
    <x v="31"/>
    <n v="8.99"/>
    <n v="1"/>
    <s v="www"/>
    <d v="2014-02-15T11:51:06"/>
    <d v="2014-02-15T00:00:00"/>
    <x v="1"/>
    <n v="8.99"/>
  </r>
  <r>
    <s v="0 Original"/>
    <s v="(1118)"/>
    <n v="1118"/>
    <s v="2014-02-15 Aristotle Avery(324)"/>
    <x v="65"/>
    <n v="4.99"/>
    <n v="2"/>
    <s v="www"/>
    <d v="2014-02-15T11:51:06"/>
    <d v="2014-02-15T00:00:00"/>
    <x v="1"/>
    <n v="9.98"/>
  </r>
  <r>
    <s v="0 Original"/>
    <s v="(1119)"/>
    <n v="1119"/>
    <s v="2014-02-15 Aristotle Avery(324)"/>
    <x v="10"/>
    <n v="8.99"/>
    <n v="2"/>
    <s v="www"/>
    <d v="2014-02-15T11:51:06"/>
    <d v="2014-02-15T00:00:00"/>
    <x v="1"/>
    <n v="17.98"/>
  </r>
  <r>
    <s v="0 Original"/>
    <s v="(1120)"/>
    <n v="1120"/>
    <s v="2014-02-15 Aristotle Avery(324)"/>
    <x v="25"/>
    <n v="9.99"/>
    <n v="1"/>
    <s v="www"/>
    <d v="2014-02-15T11:51:06"/>
    <d v="2014-02-15T00:00:00"/>
    <x v="1"/>
    <n v="9.99"/>
  </r>
  <r>
    <s v="0 Original"/>
    <s v="(1121)"/>
    <n v="1121"/>
    <s v="2014-02-15 Aristotle Avery(324)"/>
    <x v="45"/>
    <n v="6.99"/>
    <n v="2"/>
    <s v="www"/>
    <d v="2014-02-15T11:51:06"/>
    <d v="2014-02-15T00:00:00"/>
    <x v="1"/>
    <n v="13.98"/>
  </r>
  <r>
    <s v="0 Original"/>
    <s v="(1319)"/>
    <n v="1319"/>
    <s v="2014-02-16 Angelica Ortiz(385)"/>
    <x v="37"/>
    <n v="8.99"/>
    <n v="1"/>
    <s v="www"/>
    <d v="2014-02-16T02:09:21"/>
    <d v="2014-02-16T00:00:00"/>
    <x v="1"/>
    <n v="8.99"/>
  </r>
  <r>
    <s v="0 Original"/>
    <s v="(1320)"/>
    <n v="1320"/>
    <s v="2014-02-16 Angelica Ortiz(385)"/>
    <x v="31"/>
    <n v="8.99"/>
    <n v="2"/>
    <s v="www"/>
    <d v="2014-02-16T02:09:21"/>
    <d v="2014-02-16T00:00:00"/>
    <x v="1"/>
    <n v="17.98"/>
  </r>
  <r>
    <s v="0 Original"/>
    <s v="(1321)"/>
    <n v="1321"/>
    <s v="2014-02-16 Angelica Ortiz(385)"/>
    <x v="66"/>
    <n v="9.99"/>
    <n v="2"/>
    <s v="www"/>
    <d v="2014-02-16T02:09:21"/>
    <d v="2014-02-16T00:00:00"/>
    <x v="1"/>
    <n v="19.98"/>
  </r>
  <r>
    <s v="0 Original"/>
    <s v="(489)"/>
    <n v="489"/>
    <s v="2014-02-17 Colt Hart(138)"/>
    <x v="78"/>
    <n v="5.99"/>
    <n v="1"/>
    <s v="www"/>
    <d v="2014-02-17T02:48:58"/>
    <d v="2014-02-17T00:00:00"/>
    <x v="1"/>
    <n v="5.99"/>
  </r>
  <r>
    <s v="0 Original"/>
    <s v="(490)"/>
    <n v="490"/>
    <s v="2014-02-17 Colt Hart(138)"/>
    <x v="3"/>
    <n v="7.99"/>
    <n v="1"/>
    <s v="www"/>
    <d v="2014-02-17T02:48:58"/>
    <d v="2014-02-17T00:00:00"/>
    <x v="1"/>
    <n v="7.99"/>
  </r>
  <r>
    <s v="0 Original"/>
    <s v="(491)"/>
    <n v="491"/>
    <s v="2014-02-17 Colt Hart(138)"/>
    <x v="10"/>
    <n v="8.99"/>
    <n v="1"/>
    <s v="www"/>
    <d v="2014-02-17T02:48:58"/>
    <d v="2014-02-17T00:00:00"/>
    <x v="1"/>
    <n v="8.99"/>
  </r>
  <r>
    <s v="0 Original"/>
    <s v="(492)"/>
    <n v="492"/>
    <s v="2014-02-17 Colt Hart(138)"/>
    <x v="24"/>
    <n v="7.99"/>
    <n v="2"/>
    <s v="www"/>
    <d v="2014-02-17T02:48:58"/>
    <d v="2014-02-17T00:00:00"/>
    <x v="1"/>
    <n v="15.98"/>
  </r>
  <r>
    <s v="0 Original"/>
    <s v="(3595)"/>
    <n v="3595"/>
    <s v="2014-02-17 Madeline Reynolds(1087)"/>
    <x v="25"/>
    <n v="9.99"/>
    <n v="1"/>
    <s v="www"/>
    <d v="2014-02-17T23:27:30"/>
    <d v="2014-02-17T00:00:00"/>
    <x v="1"/>
    <n v="9.99"/>
  </r>
  <r>
    <s v="0 Original"/>
    <s v="(705)"/>
    <n v="705"/>
    <s v="2014-02-19 Tanek Santos(200)"/>
    <x v="79"/>
    <n v="8.99"/>
    <n v="1"/>
    <s v="www"/>
    <d v="2014-02-19T08:53:34"/>
    <d v="2014-02-19T00:00:00"/>
    <x v="1"/>
    <n v="8.99"/>
  </r>
  <r>
    <s v="0 Original"/>
    <s v="(706)"/>
    <n v="706"/>
    <s v="2014-02-19 Tanek Santos(200)"/>
    <x v="80"/>
    <n v="4.99"/>
    <n v="2"/>
    <s v="www"/>
    <d v="2014-02-19T08:53:34"/>
    <d v="2014-02-19T00:00:00"/>
    <x v="1"/>
    <n v="9.98"/>
  </r>
  <r>
    <s v="0 Original"/>
    <s v="(707)"/>
    <n v="707"/>
    <s v="2014-02-19 Tanek Santos(200)"/>
    <x v="37"/>
    <n v="8.99"/>
    <n v="1"/>
    <s v="www"/>
    <d v="2014-02-19T08:53:34"/>
    <d v="2014-02-19T00:00:00"/>
    <x v="1"/>
    <n v="8.99"/>
  </r>
  <r>
    <s v="0 Original"/>
    <s v="(708)"/>
    <n v="708"/>
    <s v="2014-02-19 Tanek Santos(200)"/>
    <x v="41"/>
    <n v="4.99"/>
    <n v="2"/>
    <s v="www"/>
    <d v="2014-02-19T08:53:34"/>
    <d v="2014-02-19T00:00:00"/>
    <x v="1"/>
    <n v="9.98"/>
  </r>
  <r>
    <s v="0 Original"/>
    <s v="(709)"/>
    <n v="709"/>
    <s v="2014-02-19 Tanek Santos(200)"/>
    <x v="81"/>
    <n v="9.99"/>
    <n v="1"/>
    <s v="www"/>
    <d v="2014-02-19T08:53:34"/>
    <d v="2014-02-19T00:00:00"/>
    <x v="1"/>
    <n v="9.99"/>
  </r>
  <r>
    <s v="0 Original"/>
    <s v="(710)"/>
    <n v="710"/>
    <s v="2014-02-19 Tanek Santos(200)"/>
    <x v="82"/>
    <n v="5.99"/>
    <n v="1"/>
    <s v="www"/>
    <d v="2014-02-19T08:53:34"/>
    <d v="2014-02-19T00:00:00"/>
    <x v="1"/>
    <n v="5.99"/>
  </r>
  <r>
    <s v="0 Original"/>
    <s v="(711)"/>
    <n v="711"/>
    <s v="2014-02-19 Tanek Santos(200)"/>
    <x v="83"/>
    <n v="7.99"/>
    <n v="1"/>
    <s v="www"/>
    <d v="2014-02-19T08:53:34"/>
    <d v="2014-02-19T00:00:00"/>
    <x v="1"/>
    <n v="7.99"/>
  </r>
  <r>
    <s v="0 Original"/>
    <s v="(639)"/>
    <n v="639"/>
    <s v="2014-02-19 Buffy Jennings(181)"/>
    <x v="84"/>
    <n v="9.99"/>
    <n v="1"/>
    <s v="www"/>
    <d v="2014-02-19T20:04:15"/>
    <d v="2014-02-19T00:00:00"/>
    <x v="1"/>
    <n v="9.99"/>
  </r>
  <r>
    <s v="0 Original"/>
    <s v="(640)"/>
    <n v="640"/>
    <s v="2014-02-19 Buffy Jennings(181)"/>
    <x v="85"/>
    <n v="8.99"/>
    <n v="1"/>
    <s v="www"/>
    <d v="2014-02-19T20:04:15"/>
    <d v="2014-02-19T00:00:00"/>
    <x v="1"/>
    <n v="8.99"/>
  </r>
  <r>
    <s v="0 Original"/>
    <s v="(641)"/>
    <n v="641"/>
    <s v="2014-02-19 Buffy Jennings(181)"/>
    <x v="86"/>
    <n v="9.99"/>
    <n v="1"/>
    <s v="www"/>
    <d v="2014-02-19T20:04:15"/>
    <d v="2014-02-19T00:00:00"/>
    <x v="1"/>
    <n v="9.99"/>
  </r>
  <r>
    <s v="0 Original"/>
    <s v="(642)"/>
    <n v="642"/>
    <s v="2014-02-19 Buffy Jennings(181)"/>
    <x v="87"/>
    <n v="8.99"/>
    <n v="1"/>
    <s v="www"/>
    <d v="2014-02-19T20:04:15"/>
    <d v="2014-02-19T00:00:00"/>
    <x v="1"/>
    <n v="8.99"/>
  </r>
  <r>
    <s v="0 Original"/>
    <s v="(643)"/>
    <n v="643"/>
    <s v="2014-02-19 Buffy Jennings(181)"/>
    <x v="88"/>
    <n v="5.99"/>
    <n v="2"/>
    <s v="www"/>
    <d v="2014-02-19T20:04:15"/>
    <d v="2014-02-19T00:00:00"/>
    <x v="1"/>
    <n v="11.98"/>
  </r>
  <r>
    <s v="0 Original"/>
    <s v="(2815)"/>
    <n v="2815"/>
    <s v="2014-02-21 Nayda Shields(849)"/>
    <x v="9"/>
    <n v="7.99"/>
    <n v="1"/>
    <s v="www"/>
    <d v="2014-02-21T04:04:33"/>
    <d v="2014-02-21T00:00:00"/>
    <x v="1"/>
    <n v="7.99"/>
  </r>
  <r>
    <s v="0 Original"/>
    <s v="(2816)"/>
    <n v="2816"/>
    <s v="2014-02-21 Nayda Shields(849)"/>
    <x v="16"/>
    <n v="6.99"/>
    <n v="1"/>
    <s v="www"/>
    <d v="2014-02-21T04:04:33"/>
    <d v="2014-02-21T00:00:00"/>
    <x v="1"/>
    <n v="6.99"/>
  </r>
  <r>
    <s v="0 Original"/>
    <s v="(3485)"/>
    <n v="3485"/>
    <s v="2014-02-21 Ora Mann(1052)"/>
    <x v="9"/>
    <n v="7.99"/>
    <n v="2"/>
    <s v="www"/>
    <d v="2014-02-21T14:45:58"/>
    <d v="2014-02-21T00:00:00"/>
    <x v="1"/>
    <n v="15.98"/>
  </r>
  <r>
    <s v="0 Original"/>
    <s v="(3486)"/>
    <n v="3486"/>
    <s v="2014-02-21 Ora Mann(1052)"/>
    <x v="9"/>
    <n v="7.99"/>
    <n v="2"/>
    <s v="www"/>
    <d v="2014-02-21T14:45:58"/>
    <d v="2014-02-21T00:00:00"/>
    <x v="1"/>
    <n v="15.98"/>
  </r>
  <r>
    <s v="0 Original"/>
    <s v="(1028)"/>
    <n v="1028"/>
    <s v="2014-02-22 Uta Workman(292)"/>
    <x v="0"/>
    <n v="9.99"/>
    <n v="2"/>
    <s v="www"/>
    <d v="2014-02-22T11:42:28"/>
    <d v="2014-02-22T00:00:00"/>
    <x v="1"/>
    <n v="19.98"/>
  </r>
  <r>
    <s v="0 Original"/>
    <s v="(1029)"/>
    <n v="1029"/>
    <s v="2014-02-22 Uta Workman(292)"/>
    <x v="25"/>
    <n v="9.99"/>
    <n v="2"/>
    <s v="www"/>
    <d v="2014-02-22T11:42:28"/>
    <d v="2014-02-22T00:00:00"/>
    <x v="1"/>
    <n v="19.98"/>
  </r>
  <r>
    <s v="0 Original"/>
    <s v="(1030)"/>
    <n v="1030"/>
    <s v="2014-02-22 Uta Workman(292)"/>
    <x v="36"/>
    <n v="6.99"/>
    <n v="1"/>
    <s v="www"/>
    <d v="2014-02-22T11:42:28"/>
    <d v="2014-02-22T00:00:00"/>
    <x v="1"/>
    <n v="6.99"/>
  </r>
  <r>
    <s v="0 Original"/>
    <s v="(1031)"/>
    <n v="1031"/>
    <s v="2014-02-22 Uta Workman(292)"/>
    <x v="11"/>
    <n v="8.99"/>
    <n v="2"/>
    <s v="www"/>
    <d v="2014-02-22T11:42:28"/>
    <d v="2014-02-22T00:00:00"/>
    <x v="1"/>
    <n v="17.98"/>
  </r>
  <r>
    <s v="0 Original"/>
    <s v="(1032)"/>
    <n v="1032"/>
    <s v="2014-02-22 Uta Workman(292)"/>
    <x v="57"/>
    <n v="4.99"/>
    <n v="1"/>
    <s v="www"/>
    <d v="2014-02-22T11:42:28"/>
    <d v="2014-02-22T00:00:00"/>
    <x v="1"/>
    <n v="4.99"/>
  </r>
  <r>
    <s v="0 Original"/>
    <s v="(2760)"/>
    <n v="2760"/>
    <s v="2014-02-23 Ora Mann(832)"/>
    <x v="24"/>
    <n v="7.99"/>
    <n v="1"/>
    <s v="www"/>
    <d v="2014-02-23T05:48:45"/>
    <d v="2014-02-23T00:00:00"/>
    <x v="1"/>
    <n v="7.99"/>
  </r>
  <r>
    <s v="0 Original"/>
    <s v="(2761)"/>
    <n v="2761"/>
    <s v="2014-02-23 Ora Mann(832)"/>
    <x v="8"/>
    <n v="4.99"/>
    <n v="2"/>
    <s v="www"/>
    <d v="2014-02-23T05:48:45"/>
    <d v="2014-02-23T00:00:00"/>
    <x v="1"/>
    <n v="9.98"/>
  </r>
  <r>
    <s v="0 Original"/>
    <s v="(2519)"/>
    <n v="2519"/>
    <s v="2014-02-23 Donovan Gomez(756)"/>
    <x v="30"/>
    <n v="6.99"/>
    <n v="1"/>
    <s v="www"/>
    <d v="2014-02-23T07:58:18"/>
    <d v="2014-02-23T00:00:00"/>
    <x v="1"/>
    <n v="6.99"/>
  </r>
  <r>
    <s v="0 Original"/>
    <s v="(2520)"/>
    <n v="2520"/>
    <s v="2014-02-23 Donovan Gomez(756)"/>
    <x v="9"/>
    <n v="7.99"/>
    <n v="1"/>
    <s v="www"/>
    <d v="2014-02-23T07:58:18"/>
    <d v="2014-02-23T00:00:00"/>
    <x v="1"/>
    <n v="7.99"/>
  </r>
  <r>
    <s v="0 Original"/>
    <s v="(813)"/>
    <n v="813"/>
    <s v="2014-02-23 Harrison Klein(230)"/>
    <x v="15"/>
    <n v="8.99"/>
    <n v="2"/>
    <s v="www"/>
    <d v="2014-02-23T17:07:45"/>
    <d v="2014-02-23T00:00:00"/>
    <x v="1"/>
    <n v="17.98"/>
  </r>
  <r>
    <s v="0 Original"/>
    <s v="(814)"/>
    <n v="814"/>
    <s v="2014-02-23 Harrison Klein(230)"/>
    <x v="35"/>
    <n v="9.99"/>
    <n v="2"/>
    <s v="www"/>
    <d v="2014-02-23T17:07:45"/>
    <d v="2014-02-23T00:00:00"/>
    <x v="1"/>
    <n v="19.98"/>
  </r>
  <r>
    <s v="0 Original"/>
    <s v="(815)"/>
    <n v="815"/>
    <s v="2014-02-23 Harrison Klein(230)"/>
    <x v="4"/>
    <n v="6.99"/>
    <n v="2"/>
    <s v="www"/>
    <d v="2014-02-23T17:07:45"/>
    <d v="2014-02-23T00:00:00"/>
    <x v="1"/>
    <n v="13.98"/>
  </r>
  <r>
    <s v="0 Original"/>
    <s v="(816)"/>
    <n v="816"/>
    <s v="2014-02-23 Harrison Klein(230)"/>
    <x v="6"/>
    <n v="5.99"/>
    <n v="1"/>
    <s v="www"/>
    <d v="2014-02-23T17:07:45"/>
    <d v="2014-02-23T00:00:00"/>
    <x v="1"/>
    <n v="5.99"/>
  </r>
  <r>
    <s v="0 Original"/>
    <s v="(2317)"/>
    <n v="2317"/>
    <s v="2014-02-23 Gabriel Carlson(687)"/>
    <x v="25"/>
    <n v="9.99"/>
    <n v="2"/>
    <s v="www"/>
    <d v="2014-02-23T21:23:29"/>
    <d v="2014-02-23T00:00:00"/>
    <x v="1"/>
    <n v="19.98"/>
  </r>
  <r>
    <s v="0 Original"/>
    <s v="(2318)"/>
    <n v="2318"/>
    <s v="2014-02-23 Gabriel Carlson(687)"/>
    <x v="38"/>
    <n v="6.99"/>
    <n v="2"/>
    <s v="www"/>
    <d v="2014-02-23T21:23:29"/>
    <d v="2014-02-23T00:00:00"/>
    <x v="1"/>
    <n v="13.98"/>
  </r>
  <r>
    <s v="0 Original"/>
    <s v="(2319)"/>
    <n v="2319"/>
    <s v="2014-02-23 Gabriel Carlson(687)"/>
    <x v="25"/>
    <n v="9.99"/>
    <n v="1"/>
    <s v="www"/>
    <d v="2014-02-23T21:23:29"/>
    <d v="2014-02-23T00:00:00"/>
    <x v="1"/>
    <n v="9.99"/>
  </r>
  <r>
    <s v="0 Original"/>
    <s v="(2320)"/>
    <n v="2320"/>
    <s v="2014-02-23 Gabriel Carlson(687)"/>
    <x v="9"/>
    <n v="7.99"/>
    <n v="2"/>
    <s v="www"/>
    <d v="2014-02-23T21:23:29"/>
    <d v="2014-02-23T00:00:00"/>
    <x v="1"/>
    <n v="15.98"/>
  </r>
  <r>
    <s v="0 Original"/>
    <s v="(2321)"/>
    <n v="2321"/>
    <s v="2014-02-23 Gabriel Carlson(687)"/>
    <x v="7"/>
    <n v="9.99"/>
    <n v="1"/>
    <s v="www"/>
    <d v="2014-02-23T21:23:29"/>
    <d v="2014-02-23T00:00:00"/>
    <x v="1"/>
    <n v="9.99"/>
  </r>
  <r>
    <s v="0 Original"/>
    <s v="(1046)"/>
    <n v="1046"/>
    <s v="2014-02-24 Lionel Vargas(298)"/>
    <x v="10"/>
    <n v="8.99"/>
    <n v="1"/>
    <s v="www"/>
    <d v="2014-02-24T07:41:13"/>
    <d v="2014-02-24T00:00:00"/>
    <x v="1"/>
    <n v="8.99"/>
  </r>
  <r>
    <s v="0 Original"/>
    <s v="(517)"/>
    <n v="517"/>
    <s v="2014-02-25 Yvonne Brewer(144)"/>
    <x v="83"/>
    <n v="7.99"/>
    <n v="1"/>
    <s v="www"/>
    <d v="2014-02-25T13:54:05"/>
    <d v="2014-02-25T00:00:00"/>
    <x v="1"/>
    <n v="7.99"/>
  </r>
  <r>
    <s v="0 Original"/>
    <s v="(2840)"/>
    <n v="2840"/>
    <s v="2014-02-26 Donovan Gomez(855)"/>
    <x v="23"/>
    <n v="9.99"/>
    <n v="2"/>
    <s v="www"/>
    <d v="2014-02-26T04:17:08"/>
    <d v="2014-02-26T00:00:00"/>
    <x v="1"/>
    <n v="19.98"/>
  </r>
  <r>
    <s v="0 Original"/>
    <s v="(2841)"/>
    <n v="2841"/>
    <s v="2014-02-26 Donovan Gomez(855)"/>
    <x v="8"/>
    <n v="4.99"/>
    <n v="1"/>
    <s v="www"/>
    <d v="2014-02-26T04:17:08"/>
    <d v="2014-02-26T00:00:00"/>
    <x v="1"/>
    <n v="4.99"/>
  </r>
  <r>
    <s v="0 Original"/>
    <s v="(3687)"/>
    <n v="3687"/>
    <s v="2014-02-28 Christine Medina(1117)"/>
    <x v="24"/>
    <n v="7.99"/>
    <n v="1"/>
    <s v="www"/>
    <d v="2014-02-28T01:55:00"/>
    <d v="2014-02-28T00:00:00"/>
    <x v="1"/>
    <n v="7.99"/>
  </r>
  <r>
    <s v="0 Original"/>
    <s v="(3688)"/>
    <n v="3688"/>
    <s v="2014-02-28 Christine Medina(1117)"/>
    <x v="24"/>
    <n v="7.99"/>
    <n v="1"/>
    <s v="www"/>
    <d v="2014-02-28T01:55:00"/>
    <d v="2014-02-28T00:00:00"/>
    <x v="1"/>
    <n v="7.99"/>
  </r>
  <r>
    <s v="0 Original"/>
    <s v="(3689)"/>
    <n v="3689"/>
    <s v="2014-02-28 Christine Medina(1117)"/>
    <x v="7"/>
    <n v="9.99"/>
    <n v="1"/>
    <s v="www"/>
    <d v="2014-02-28T01:55:00"/>
    <d v="2014-02-28T00:00:00"/>
    <x v="1"/>
    <n v="9.99"/>
  </r>
  <r>
    <s v="0 Original"/>
    <s v="(3690)"/>
    <n v="3690"/>
    <s v="2014-02-28 Christine Medina(1117)"/>
    <x v="25"/>
    <n v="9.99"/>
    <n v="1"/>
    <s v="www"/>
    <d v="2014-02-28T01:55:00"/>
    <d v="2014-02-28T00:00:00"/>
    <x v="1"/>
    <n v="9.99"/>
  </r>
  <r>
    <s v="0 Original"/>
    <s v="(3691)"/>
    <n v="3691"/>
    <s v="2014-02-28 Christine Medina(1117)"/>
    <x v="23"/>
    <n v="9.99"/>
    <n v="1"/>
    <s v="www"/>
    <d v="2014-02-28T01:55:00"/>
    <d v="2014-02-28T00:00:00"/>
    <x v="1"/>
    <n v="9.99"/>
  </r>
  <r>
    <s v="0 Original"/>
    <s v="(3692)"/>
    <n v="3692"/>
    <s v="2014-02-28 Christine Medina(1117)"/>
    <x v="6"/>
    <n v="5.99"/>
    <n v="1"/>
    <s v="www"/>
    <d v="2014-02-28T01:55:00"/>
    <d v="2014-02-28T00:00:00"/>
    <x v="1"/>
    <n v="5.99"/>
  </r>
  <r>
    <s v="0 Original"/>
    <s v="(2176)"/>
    <n v="2176"/>
    <s v="2014-02-28 Colby Clay(641)"/>
    <x v="35"/>
    <n v="9.99"/>
    <n v="2"/>
    <s v="www"/>
    <d v="2014-02-28T07:13:30"/>
    <d v="2014-02-28T00:00:00"/>
    <x v="1"/>
    <n v="19.98"/>
  </r>
  <r>
    <s v="0 Original"/>
    <s v="(2177)"/>
    <n v="2177"/>
    <s v="2014-02-28 Colby Clay(641)"/>
    <x v="38"/>
    <n v="6.99"/>
    <n v="2"/>
    <s v="www"/>
    <d v="2014-02-28T07:13:30"/>
    <d v="2014-02-28T00:00:00"/>
    <x v="1"/>
    <n v="13.98"/>
  </r>
  <r>
    <s v="0 Original"/>
    <s v="(2178)"/>
    <n v="2178"/>
    <s v="2014-02-28 Colby Clay(641)"/>
    <x v="89"/>
    <n v="5.99"/>
    <n v="1"/>
    <s v="www"/>
    <d v="2014-02-28T07:13:30"/>
    <d v="2014-02-28T00:00:00"/>
    <x v="1"/>
    <n v="5.99"/>
  </r>
  <r>
    <s v="0 Original"/>
    <s v="(2179)"/>
    <n v="2179"/>
    <s v="2014-02-28 Colby Clay(641)"/>
    <x v="32"/>
    <n v="5.99"/>
    <n v="1"/>
    <s v="www"/>
    <d v="2014-02-28T07:13:30"/>
    <d v="2014-02-28T00:00:00"/>
    <x v="1"/>
    <n v="5.99"/>
  </r>
  <r>
    <s v="0 Original"/>
    <s v="(557)"/>
    <n v="557"/>
    <s v="2014-02-28 Cameron Burton(158)"/>
    <x v="33"/>
    <n v="4.99"/>
    <n v="2"/>
    <s v="www"/>
    <d v="2014-02-28T11:38:39"/>
    <d v="2014-02-28T00:00:00"/>
    <x v="1"/>
    <n v="9.98"/>
  </r>
  <r>
    <s v="0 Original"/>
    <s v="(558)"/>
    <n v="558"/>
    <s v="2014-02-28 Cameron Burton(158)"/>
    <x v="41"/>
    <n v="4.99"/>
    <n v="1"/>
    <s v="www"/>
    <d v="2014-02-28T11:38:39"/>
    <d v="2014-02-28T00:00:00"/>
    <x v="1"/>
    <n v="4.99"/>
  </r>
  <r>
    <s v="0 Original"/>
    <s v="(559)"/>
    <n v="559"/>
    <s v="2014-02-28 Cameron Burton(158)"/>
    <x v="42"/>
    <n v="5.99"/>
    <n v="1"/>
    <s v="www"/>
    <d v="2014-02-28T11:38:39"/>
    <d v="2014-02-28T00:00:00"/>
    <x v="1"/>
    <n v="5.99"/>
  </r>
  <r>
    <s v="0 Original"/>
    <s v="(560)"/>
    <n v="560"/>
    <s v="2014-02-28 Cameron Burton(158)"/>
    <x v="90"/>
    <n v="5.99"/>
    <n v="1"/>
    <s v="www"/>
    <d v="2014-02-28T11:38:39"/>
    <d v="2014-02-28T00:00:00"/>
    <x v="1"/>
    <n v="5.99"/>
  </r>
  <r>
    <s v="0 Original"/>
    <s v="(2262)"/>
    <n v="2262"/>
    <s v="2014-02-28 Tanek Santos(666)"/>
    <x v="65"/>
    <n v="4.99"/>
    <n v="1"/>
    <s v="www"/>
    <d v="2014-02-28T12:40:21"/>
    <d v="2014-02-28T00:00:00"/>
    <x v="1"/>
    <n v="4.99"/>
  </r>
  <r>
    <s v="0 Original"/>
    <s v="(2263)"/>
    <n v="2263"/>
    <s v="2014-02-28 Tanek Santos(666)"/>
    <x v="16"/>
    <n v="6.99"/>
    <n v="1"/>
    <s v="www"/>
    <d v="2014-02-28T12:40:21"/>
    <d v="2014-02-28T00:00:00"/>
    <x v="1"/>
    <n v="6.99"/>
  </r>
  <r>
    <s v="0 Original"/>
    <s v="(1780)"/>
    <n v="1780"/>
    <s v="2014-02-28 Uta Workman(523)"/>
    <x v="43"/>
    <n v="4.99"/>
    <n v="1"/>
    <s v="www"/>
    <d v="2014-02-28T13:46:47"/>
    <d v="2014-02-28T00:00:00"/>
    <x v="1"/>
    <n v="4.99"/>
  </r>
  <r>
    <s v="0 Original"/>
    <s v="(1781)"/>
    <n v="1781"/>
    <s v="2014-02-28 Uta Workman(523)"/>
    <x v="17"/>
    <n v="9.99"/>
    <n v="2"/>
    <s v="www"/>
    <d v="2014-02-28T13:46:47"/>
    <d v="2014-02-28T00:00:00"/>
    <x v="1"/>
    <n v="19.98"/>
  </r>
  <r>
    <s v="0 Original"/>
    <s v="(1782)"/>
    <n v="1782"/>
    <s v="2014-02-28 Uta Workman(523)"/>
    <x v="16"/>
    <n v="6.99"/>
    <n v="2"/>
    <s v="www"/>
    <d v="2014-02-28T13:46:47"/>
    <d v="2014-02-28T00:00:00"/>
    <x v="1"/>
    <n v="13.98"/>
  </r>
  <r>
    <s v="0 Original"/>
    <s v="(1783)"/>
    <n v="1783"/>
    <s v="2014-02-28 Uta Workman(523)"/>
    <x v="15"/>
    <n v="8.99"/>
    <n v="2"/>
    <s v="www"/>
    <d v="2014-02-28T13:46:47"/>
    <d v="2014-02-28T00:00:00"/>
    <x v="1"/>
    <n v="17.98"/>
  </r>
  <r>
    <s v="0 Original"/>
    <s v="(1784)"/>
    <n v="1784"/>
    <s v="2014-02-28 Uta Workman(523)"/>
    <x v="46"/>
    <n v="5.99"/>
    <n v="1"/>
    <s v="www"/>
    <d v="2014-02-28T13:46:47"/>
    <d v="2014-02-28T00:00:00"/>
    <x v="1"/>
    <n v="5.99"/>
  </r>
  <r>
    <s v="0 Original"/>
    <s v="(1210)"/>
    <n v="1210"/>
    <s v="2014-02-28 Alma Salas(353)"/>
    <x v="4"/>
    <n v="6.99"/>
    <n v="1"/>
    <s v="www"/>
    <d v="2014-02-28T16:07:52"/>
    <d v="2014-02-28T00:00:00"/>
    <x v="1"/>
    <n v="6.99"/>
  </r>
  <r>
    <s v="0 Original"/>
    <s v="(1211)"/>
    <n v="1211"/>
    <s v="2014-02-28 Alma Salas(353)"/>
    <x v="65"/>
    <n v="4.99"/>
    <n v="1"/>
    <s v="www"/>
    <d v="2014-02-28T16:07:52"/>
    <d v="2014-02-28T00:00:00"/>
    <x v="1"/>
    <n v="4.99"/>
  </r>
  <r>
    <s v="0 Original"/>
    <s v="(1212)"/>
    <n v="1212"/>
    <s v="2014-02-28 Alma Salas(353)"/>
    <x v="91"/>
    <n v="9.99"/>
    <n v="1"/>
    <s v="www"/>
    <d v="2014-02-28T16:07:52"/>
    <d v="2014-02-28T00:00:00"/>
    <x v="1"/>
    <n v="9.99"/>
  </r>
  <r>
    <s v="0 Original"/>
    <s v="(3014)"/>
    <n v="3014"/>
    <s v="2014-03-01 Donovan Gomez(907)"/>
    <x v="6"/>
    <n v="5.99"/>
    <n v="2"/>
    <s v="www"/>
    <d v="2014-03-01T08:06:46"/>
    <d v="2014-03-01T00:00:00"/>
    <x v="2"/>
    <n v="11.98"/>
  </r>
  <r>
    <s v="0 Original"/>
    <s v="(3015)"/>
    <n v="3015"/>
    <s v="2014-03-01 Donovan Gomez(907)"/>
    <x v="8"/>
    <n v="4.99"/>
    <n v="1"/>
    <s v="www"/>
    <d v="2014-03-01T08:06:46"/>
    <d v="2014-03-01T00:00:00"/>
    <x v="2"/>
    <n v="4.99"/>
  </r>
  <r>
    <s v="0 Original"/>
    <s v="(3016)"/>
    <n v="3016"/>
    <s v="2014-03-01 Donovan Gomez(907)"/>
    <x v="6"/>
    <n v="5.99"/>
    <n v="1"/>
    <s v="www"/>
    <d v="2014-03-01T08:06:46"/>
    <d v="2014-03-01T00:00:00"/>
    <x v="2"/>
    <n v="5.99"/>
  </r>
  <r>
    <s v="0 Original"/>
    <s v="(3017)"/>
    <n v="3017"/>
    <s v="2014-03-01 Donovan Gomez(907)"/>
    <x v="30"/>
    <n v="6.99"/>
    <n v="1"/>
    <s v="www"/>
    <d v="2014-03-01T08:06:46"/>
    <d v="2014-03-01T00:00:00"/>
    <x v="2"/>
    <n v="6.99"/>
  </r>
  <r>
    <s v="0 Original"/>
    <s v="(3018)"/>
    <n v="3018"/>
    <s v="2014-03-01 Donovan Gomez(907)"/>
    <x v="25"/>
    <n v="9.99"/>
    <n v="1"/>
    <s v="www"/>
    <d v="2014-03-01T08:06:46"/>
    <d v="2014-03-01T00:00:00"/>
    <x v="2"/>
    <n v="9.99"/>
  </r>
  <r>
    <s v="0 Original"/>
    <s v="(245)"/>
    <n v="245"/>
    <s v="2014-03-04 Irene Carver(66)"/>
    <x v="92"/>
    <n v="7.99"/>
    <n v="1"/>
    <s v="www"/>
    <d v="2014-03-04T08:58:55"/>
    <d v="2014-03-04T00:00:00"/>
    <x v="2"/>
    <n v="7.99"/>
  </r>
  <r>
    <s v="0 Original"/>
    <s v="(246)"/>
    <n v="246"/>
    <s v="2014-03-04 Irene Carver(66)"/>
    <x v="66"/>
    <n v="9.99"/>
    <n v="2"/>
    <s v="www"/>
    <d v="2014-03-04T08:58:55"/>
    <d v="2014-03-04T00:00:00"/>
    <x v="2"/>
    <n v="19.98"/>
  </r>
  <r>
    <s v="0 Original"/>
    <s v="(247)"/>
    <n v="247"/>
    <s v="2014-03-04 Irene Carver(66)"/>
    <x v="93"/>
    <n v="6.99"/>
    <n v="2"/>
    <s v="www"/>
    <d v="2014-03-04T08:58:55"/>
    <d v="2014-03-04T00:00:00"/>
    <x v="2"/>
    <n v="13.98"/>
  </r>
  <r>
    <s v="0 Original"/>
    <s v="(3942)"/>
    <n v="3942"/>
    <s v="2014-03-05 Bernard Cash(1195)"/>
    <x v="8"/>
    <n v="4.99"/>
    <n v="2"/>
    <s v="www"/>
    <d v="2014-03-05T02:42:49"/>
    <d v="2014-03-05T00:00:00"/>
    <x v="2"/>
    <n v="9.98"/>
  </r>
  <r>
    <s v="0 Original"/>
    <s v="(141)"/>
    <n v="141"/>
    <s v="2014-03-05 Tanek Santos(40)"/>
    <x v="53"/>
    <n v="5.99"/>
    <n v="2"/>
    <s v="www"/>
    <d v="2014-03-05T15:55:24"/>
    <d v="2014-03-05T00:00:00"/>
    <x v="2"/>
    <n v="11.98"/>
  </r>
  <r>
    <s v="0 Original"/>
    <s v="(142)"/>
    <n v="142"/>
    <s v="2014-03-05 Tanek Santos(40)"/>
    <x v="15"/>
    <n v="8.99"/>
    <n v="1"/>
    <s v="www"/>
    <d v="2014-03-05T15:55:24"/>
    <d v="2014-03-05T00:00:00"/>
    <x v="2"/>
    <n v="8.99"/>
  </r>
  <r>
    <s v="0 Original"/>
    <s v="(143)"/>
    <n v="143"/>
    <s v="2014-03-05 Tanek Santos(40)"/>
    <x v="67"/>
    <n v="8.99"/>
    <n v="1"/>
    <s v="www"/>
    <d v="2014-03-05T15:55:24"/>
    <d v="2014-03-05T00:00:00"/>
    <x v="2"/>
    <n v="8.99"/>
  </r>
  <r>
    <s v="0 Original"/>
    <s v="(144)"/>
    <n v="144"/>
    <s v="2014-03-05 Tanek Santos(40)"/>
    <x v="94"/>
    <n v="7.99"/>
    <n v="1"/>
    <s v="www"/>
    <d v="2014-03-05T15:55:24"/>
    <d v="2014-03-05T00:00:00"/>
    <x v="2"/>
    <n v="7.99"/>
  </r>
  <r>
    <s v="0 Original"/>
    <s v="(145)"/>
    <n v="145"/>
    <s v="2014-03-05 Tanek Santos(40)"/>
    <x v="95"/>
    <n v="7.99"/>
    <n v="2"/>
    <s v="www"/>
    <d v="2014-03-05T15:55:24"/>
    <d v="2014-03-05T00:00:00"/>
    <x v="2"/>
    <n v="15.98"/>
  </r>
  <r>
    <s v="0 Original"/>
    <s v="(3041)"/>
    <n v="3041"/>
    <s v="2014-03-09 Cameron Rivera(913)"/>
    <x v="30"/>
    <n v="6.99"/>
    <n v="1"/>
    <s v="www"/>
    <d v="2014-03-09T22:01:16"/>
    <d v="2014-03-09T00:00:00"/>
    <x v="2"/>
    <n v="6.99"/>
  </r>
  <r>
    <s v="0 Original"/>
    <s v="(3042)"/>
    <n v="3042"/>
    <s v="2014-03-09 Cameron Rivera(913)"/>
    <x v="7"/>
    <n v="9.99"/>
    <n v="1"/>
    <s v="www"/>
    <d v="2014-03-09T22:01:16"/>
    <d v="2014-03-09T00:00:00"/>
    <x v="2"/>
    <n v="9.99"/>
  </r>
  <r>
    <s v="0 Original"/>
    <s v="(2891)"/>
    <n v="2891"/>
    <s v="2014-03-09 Nayda Shields(870)"/>
    <x v="30"/>
    <n v="6.99"/>
    <n v="1"/>
    <s v="www"/>
    <d v="2014-03-09T22:31:45"/>
    <d v="2014-03-09T00:00:00"/>
    <x v="2"/>
    <n v="6.99"/>
  </r>
  <r>
    <s v="0 Original"/>
    <s v="(2892)"/>
    <n v="2892"/>
    <s v="2014-03-09 Nayda Shields(870)"/>
    <x v="6"/>
    <n v="5.99"/>
    <n v="2"/>
    <s v="www"/>
    <d v="2014-03-09T22:31:45"/>
    <d v="2014-03-09T00:00:00"/>
    <x v="2"/>
    <n v="11.98"/>
  </r>
  <r>
    <s v="0 Original"/>
    <s v="(2893)"/>
    <n v="2893"/>
    <s v="2014-03-09 Nayda Shields(870)"/>
    <x v="8"/>
    <n v="4.99"/>
    <n v="1"/>
    <s v="www"/>
    <d v="2014-03-09T22:31:45"/>
    <d v="2014-03-09T00:00:00"/>
    <x v="2"/>
    <n v="4.99"/>
  </r>
  <r>
    <s v="0 Original"/>
    <s v="(2894)"/>
    <n v="2894"/>
    <s v="2014-03-09 Nayda Shields(870)"/>
    <x v="23"/>
    <n v="9.99"/>
    <n v="1"/>
    <s v="www"/>
    <d v="2014-03-09T22:31:45"/>
    <d v="2014-03-09T00:00:00"/>
    <x v="2"/>
    <n v="9.99"/>
  </r>
  <r>
    <s v="0 Original"/>
    <s v="(1800)"/>
    <n v="1800"/>
    <s v="2014-03-11 Ora Mann(529)"/>
    <x v="45"/>
    <n v="6.99"/>
    <n v="1"/>
    <s v="www"/>
    <d v="2014-03-11T05:00:32"/>
    <d v="2014-03-11T00:00:00"/>
    <x v="2"/>
    <n v="6.99"/>
  </r>
  <r>
    <s v="0 Original"/>
    <s v="(1801)"/>
    <n v="1801"/>
    <s v="2014-03-11 Ora Mann(529)"/>
    <x v="91"/>
    <n v="9.99"/>
    <n v="1"/>
    <s v="www"/>
    <d v="2014-03-11T05:00:32"/>
    <d v="2014-03-11T00:00:00"/>
    <x v="2"/>
    <n v="9.99"/>
  </r>
  <r>
    <s v="0 Original"/>
    <s v="(1802)"/>
    <n v="1802"/>
    <s v="2014-03-11 Ora Mann(529)"/>
    <x v="46"/>
    <n v="5.99"/>
    <n v="1"/>
    <s v="www"/>
    <d v="2014-03-11T05:00:32"/>
    <d v="2014-03-11T00:00:00"/>
    <x v="2"/>
    <n v="5.99"/>
  </r>
  <r>
    <s v="0 Original"/>
    <s v="(3212)"/>
    <n v="3212"/>
    <s v="2014-03-11 Christine Medina(970)"/>
    <x v="9"/>
    <n v="7.99"/>
    <n v="1"/>
    <s v="www"/>
    <d v="2014-03-11T13:49:59"/>
    <d v="2014-03-11T00:00:00"/>
    <x v="2"/>
    <n v="7.99"/>
  </r>
  <r>
    <s v="0 Original"/>
    <s v="(3213)"/>
    <n v="3213"/>
    <s v="2014-03-11 Christine Medina(970)"/>
    <x v="25"/>
    <n v="9.99"/>
    <n v="1"/>
    <s v="www"/>
    <d v="2014-03-11T13:49:59"/>
    <d v="2014-03-11T00:00:00"/>
    <x v="2"/>
    <n v="9.99"/>
  </r>
  <r>
    <s v="0 Original"/>
    <s v="(3214)"/>
    <n v="3214"/>
    <s v="2014-03-11 Christine Medina(970)"/>
    <x v="8"/>
    <n v="4.99"/>
    <n v="1"/>
    <s v="www"/>
    <d v="2014-03-11T13:49:59"/>
    <d v="2014-03-11T00:00:00"/>
    <x v="2"/>
    <n v="4.99"/>
  </r>
  <r>
    <s v="0 Original"/>
    <s v="(3215)"/>
    <n v="3215"/>
    <s v="2014-03-11 Christine Medina(970)"/>
    <x v="30"/>
    <n v="6.99"/>
    <n v="2"/>
    <s v="www"/>
    <d v="2014-03-11T13:49:59"/>
    <d v="2014-03-11T00:00:00"/>
    <x v="2"/>
    <n v="13.98"/>
  </r>
  <r>
    <s v="0 Original"/>
    <s v="(3216)"/>
    <n v="3216"/>
    <s v="2014-03-11 Christine Medina(970)"/>
    <x v="7"/>
    <n v="9.99"/>
    <n v="1"/>
    <s v="www"/>
    <d v="2014-03-11T13:49:59"/>
    <d v="2014-03-11T00:00:00"/>
    <x v="2"/>
    <n v="9.99"/>
  </r>
  <r>
    <s v="0 Original"/>
    <s v="(1322)"/>
    <n v="1322"/>
    <s v="2014-03-13 Clio Carter(386)"/>
    <x v="33"/>
    <n v="4.99"/>
    <n v="1"/>
    <s v="www"/>
    <d v="2014-03-13T02:37:22"/>
    <d v="2014-03-13T00:00:00"/>
    <x v="2"/>
    <n v="4.99"/>
  </r>
  <r>
    <s v="0 Original"/>
    <s v="(1323)"/>
    <n v="1323"/>
    <s v="2014-03-13 Clio Carter(386)"/>
    <x v="15"/>
    <n v="8.99"/>
    <n v="2"/>
    <s v="www"/>
    <d v="2014-03-13T02:37:22"/>
    <d v="2014-03-13T00:00:00"/>
    <x v="2"/>
    <n v="17.98"/>
  </r>
  <r>
    <s v="0 Original"/>
    <s v="(1324)"/>
    <n v="1324"/>
    <s v="2014-03-13 Clio Carter(386)"/>
    <x v="17"/>
    <n v="9.99"/>
    <n v="2"/>
    <s v="www"/>
    <d v="2014-03-13T02:37:22"/>
    <d v="2014-03-13T00:00:00"/>
    <x v="2"/>
    <n v="19.98"/>
  </r>
  <r>
    <s v="0 Original"/>
    <s v="(1325)"/>
    <n v="1325"/>
    <s v="2014-03-13 Clio Carter(386)"/>
    <x v="82"/>
    <n v="5.99"/>
    <n v="2"/>
    <s v="www"/>
    <d v="2014-03-13T02:37:22"/>
    <d v="2014-03-13T00:00:00"/>
    <x v="2"/>
    <n v="11.98"/>
  </r>
  <r>
    <s v="0 Original"/>
    <s v="(328)"/>
    <n v="328"/>
    <s v="2014-03-13 Maile Torres(88)"/>
    <x v="96"/>
    <n v="4.99"/>
    <n v="1"/>
    <s v="www"/>
    <d v="2014-03-13T21:26:51"/>
    <d v="2014-03-13T00:00:00"/>
    <x v="2"/>
    <n v="4.99"/>
  </r>
  <r>
    <s v="0 Original"/>
    <s v="(329)"/>
    <n v="329"/>
    <s v="2014-03-13 Maile Torres(88)"/>
    <x v="97"/>
    <n v="4.99"/>
    <n v="2"/>
    <s v="www"/>
    <d v="2014-03-13T21:26:51"/>
    <d v="2014-03-13T00:00:00"/>
    <x v="2"/>
    <n v="9.98"/>
  </r>
  <r>
    <s v="0 Original"/>
    <s v="(3080)"/>
    <n v="3080"/>
    <s v="2014-03-14 Donovan Gomez(927)"/>
    <x v="9"/>
    <n v="7.99"/>
    <n v="2"/>
    <s v="www"/>
    <d v="2014-03-14T05:45:43"/>
    <d v="2014-03-14T00:00:00"/>
    <x v="2"/>
    <n v="15.98"/>
  </r>
  <r>
    <s v="0 Original"/>
    <s v="(3081)"/>
    <n v="3081"/>
    <s v="2014-03-14 Donovan Gomez(927)"/>
    <x v="9"/>
    <n v="7.99"/>
    <n v="2"/>
    <s v="www"/>
    <d v="2014-03-14T05:45:43"/>
    <d v="2014-03-14T00:00:00"/>
    <x v="2"/>
    <n v="15.98"/>
  </r>
  <r>
    <s v="0 Original"/>
    <s v="(3082)"/>
    <n v="3082"/>
    <s v="2014-03-14 Donovan Gomez(927)"/>
    <x v="9"/>
    <n v="7.99"/>
    <n v="1"/>
    <s v="www"/>
    <d v="2014-03-14T05:45:43"/>
    <d v="2014-03-14T00:00:00"/>
    <x v="2"/>
    <n v="7.99"/>
  </r>
  <r>
    <s v="0 Original"/>
    <s v="(3083)"/>
    <n v="3083"/>
    <s v="2014-03-14 Donovan Gomez(927)"/>
    <x v="25"/>
    <n v="9.99"/>
    <n v="2"/>
    <s v="www"/>
    <d v="2014-03-14T05:45:43"/>
    <d v="2014-03-14T00:00:00"/>
    <x v="2"/>
    <n v="19.98"/>
  </r>
  <r>
    <s v="0 Original"/>
    <s v="(3084)"/>
    <n v="3084"/>
    <s v="2014-03-14 Donovan Gomez(927)"/>
    <x v="30"/>
    <n v="6.99"/>
    <n v="2"/>
    <s v="www"/>
    <d v="2014-03-14T05:45:43"/>
    <d v="2014-03-14T00:00:00"/>
    <x v="2"/>
    <n v="13.98"/>
  </r>
  <r>
    <s v="0 Original"/>
    <s v="(284)"/>
    <n v="284"/>
    <s v="2014-03-15 Adrian Dodson(77)"/>
    <x v="98"/>
    <n v="5.99"/>
    <n v="1"/>
    <s v="www"/>
    <d v="2014-03-15T08:22:38"/>
    <d v="2014-03-15T00:00:00"/>
    <x v="2"/>
    <n v="5.99"/>
  </r>
  <r>
    <s v="0 Original"/>
    <s v="(285)"/>
    <n v="285"/>
    <s v="2014-03-15 Adrian Dodson(77)"/>
    <x v="97"/>
    <n v="4.99"/>
    <n v="2"/>
    <s v="www"/>
    <d v="2014-03-15T08:22:38"/>
    <d v="2014-03-15T00:00:00"/>
    <x v="2"/>
    <n v="9.98"/>
  </r>
  <r>
    <s v="0 Original"/>
    <s v="(286)"/>
    <n v="286"/>
    <s v="2014-03-15 Adrian Dodson(77)"/>
    <x v="99"/>
    <n v="4.99"/>
    <n v="1"/>
    <s v="www"/>
    <d v="2014-03-15T08:22:38"/>
    <d v="2014-03-15T00:00:00"/>
    <x v="2"/>
    <n v="4.99"/>
  </r>
  <r>
    <s v="0 Original"/>
    <s v="(3173)"/>
    <n v="3173"/>
    <s v="2014-03-15 Madeline Reynolds(957)"/>
    <x v="41"/>
    <n v="4.99"/>
    <n v="1"/>
    <s v="www"/>
    <d v="2014-03-15T15:05:17"/>
    <d v="2014-03-15T00:00:00"/>
    <x v="2"/>
    <n v="4.99"/>
  </r>
  <r>
    <s v="0 Original"/>
    <s v="(3174)"/>
    <n v="3174"/>
    <s v="2014-03-15 Madeline Reynolds(957)"/>
    <x v="24"/>
    <n v="7.99"/>
    <n v="2"/>
    <s v="www"/>
    <d v="2014-03-15T15:05:17"/>
    <d v="2014-03-15T00:00:00"/>
    <x v="2"/>
    <n v="15.98"/>
  </r>
  <r>
    <s v="0 Original"/>
    <s v="(3175)"/>
    <n v="3175"/>
    <s v="2014-03-15 Madeline Reynolds(957)"/>
    <x v="16"/>
    <n v="6.99"/>
    <n v="1"/>
    <s v="www"/>
    <d v="2014-03-15T15:05:17"/>
    <d v="2014-03-15T00:00:00"/>
    <x v="2"/>
    <n v="6.99"/>
  </r>
  <r>
    <s v="0 Original"/>
    <s v="(3176)"/>
    <n v="3176"/>
    <s v="2014-03-15 Madeline Reynolds(957)"/>
    <x v="7"/>
    <n v="9.99"/>
    <n v="1"/>
    <s v="www"/>
    <d v="2014-03-15T15:05:17"/>
    <d v="2014-03-15T00:00:00"/>
    <x v="2"/>
    <n v="9.99"/>
  </r>
  <r>
    <s v="0 Original"/>
    <s v="(3177)"/>
    <n v="3177"/>
    <s v="2014-03-15 Madeline Reynolds(957)"/>
    <x v="6"/>
    <n v="5.99"/>
    <n v="1"/>
    <s v="www"/>
    <d v="2014-03-15T15:05:17"/>
    <d v="2014-03-15T00:00:00"/>
    <x v="2"/>
    <n v="5.99"/>
  </r>
  <r>
    <s v="0 Original"/>
    <s v="(3178)"/>
    <n v="3178"/>
    <s v="2014-03-15 Madeline Reynolds(957)"/>
    <x v="25"/>
    <n v="9.99"/>
    <n v="1"/>
    <s v="www"/>
    <d v="2014-03-15T15:05:17"/>
    <d v="2014-03-15T00:00:00"/>
    <x v="2"/>
    <n v="9.99"/>
  </r>
  <r>
    <s v="0 Original"/>
    <s v="(1847)"/>
    <n v="1847"/>
    <s v="2014-03-16 Lois Valdez(540)"/>
    <x v="25"/>
    <n v="9.99"/>
    <n v="1"/>
    <s v="www"/>
    <d v="2014-03-16T17:12:57"/>
    <d v="2014-03-16T00:00:00"/>
    <x v="2"/>
    <n v="9.99"/>
  </r>
  <r>
    <s v="0 Original"/>
    <s v="(1848)"/>
    <n v="1848"/>
    <s v="2014-03-16 Lois Valdez(540)"/>
    <x v="38"/>
    <n v="6.99"/>
    <n v="1"/>
    <s v="www"/>
    <d v="2014-03-16T17:12:57"/>
    <d v="2014-03-16T00:00:00"/>
    <x v="2"/>
    <n v="6.99"/>
  </r>
  <r>
    <s v="0 Original"/>
    <s v="(1849)"/>
    <n v="1849"/>
    <s v="2014-03-16 Lois Valdez(540)"/>
    <x v="9"/>
    <n v="7.99"/>
    <n v="2"/>
    <s v="www"/>
    <d v="2014-03-16T17:12:57"/>
    <d v="2014-03-16T00:00:00"/>
    <x v="2"/>
    <n v="15.98"/>
  </r>
  <r>
    <s v="0 Original"/>
    <s v="(1850)"/>
    <n v="1850"/>
    <s v="2014-03-16 Lois Valdez(540)"/>
    <x v="46"/>
    <n v="5.99"/>
    <n v="1"/>
    <s v="www"/>
    <d v="2014-03-16T17:12:57"/>
    <d v="2014-03-16T00:00:00"/>
    <x v="2"/>
    <n v="5.99"/>
  </r>
  <r>
    <s v="0 Original"/>
    <s v="(1851)"/>
    <n v="1851"/>
    <s v="2014-03-16 Lois Valdez(540)"/>
    <x v="59"/>
    <n v="6.99"/>
    <n v="2"/>
    <s v="www"/>
    <d v="2014-03-16T17:12:57"/>
    <d v="2014-03-16T00:00:00"/>
    <x v="2"/>
    <n v="13.98"/>
  </r>
  <r>
    <s v="0 Original"/>
    <s v="(1852)"/>
    <n v="1852"/>
    <s v="2014-03-16 Lois Valdez(540)"/>
    <x v="9"/>
    <n v="7.99"/>
    <n v="1"/>
    <s v="www"/>
    <d v="2014-03-16T17:12:57"/>
    <d v="2014-03-16T00:00:00"/>
    <x v="2"/>
    <n v="7.99"/>
  </r>
  <r>
    <s v="0 Original"/>
    <s v="(1853)"/>
    <n v="1853"/>
    <s v="2014-03-16 Lois Valdez(540)"/>
    <x v="17"/>
    <n v="9.99"/>
    <n v="1"/>
    <s v="www"/>
    <d v="2014-03-16T17:12:57"/>
    <d v="2014-03-16T00:00:00"/>
    <x v="2"/>
    <n v="9.99"/>
  </r>
  <r>
    <s v="0 Original"/>
    <s v="(501)"/>
    <n v="501"/>
    <s v="2014-03-16 Alexa Herring(141)"/>
    <x v="21"/>
    <n v="4.99"/>
    <n v="1"/>
    <s v="www"/>
    <d v="2014-03-16T17:22:13"/>
    <d v="2014-03-16T00:00:00"/>
    <x v="2"/>
    <n v="4.99"/>
  </r>
  <r>
    <s v="0 Original"/>
    <s v="(502)"/>
    <n v="502"/>
    <s v="2014-03-16 Alexa Herring(141)"/>
    <x v="100"/>
    <n v="4.99"/>
    <n v="2"/>
    <s v="www"/>
    <d v="2014-03-16T17:22:13"/>
    <d v="2014-03-16T00:00:00"/>
    <x v="2"/>
    <n v="9.98"/>
  </r>
  <r>
    <s v="0 Original"/>
    <s v="(503)"/>
    <n v="503"/>
    <s v="2014-03-16 Alexa Herring(141)"/>
    <x v="101"/>
    <n v="9.99"/>
    <n v="1"/>
    <s v="www"/>
    <d v="2014-03-16T17:22:13"/>
    <d v="2014-03-16T00:00:00"/>
    <x v="2"/>
    <n v="9.99"/>
  </r>
  <r>
    <s v="0 Original"/>
    <s v="(504)"/>
    <n v="504"/>
    <s v="2014-03-16 Alexa Herring(141)"/>
    <x v="102"/>
    <n v="6.99"/>
    <n v="2"/>
    <s v="www"/>
    <d v="2014-03-16T17:22:13"/>
    <d v="2014-03-16T00:00:00"/>
    <x v="2"/>
    <n v="13.98"/>
  </r>
  <r>
    <s v="0 Original"/>
    <s v="(505)"/>
    <n v="505"/>
    <s v="2014-03-16 Alexa Herring(141)"/>
    <x v="103"/>
    <n v="5.99"/>
    <n v="1"/>
    <s v="www"/>
    <d v="2014-03-16T17:22:13"/>
    <d v="2014-03-16T00:00:00"/>
    <x v="2"/>
    <n v="5.99"/>
  </r>
  <r>
    <s v="0 Original"/>
    <s v="(506)"/>
    <n v="506"/>
    <s v="2014-03-16 Alexa Herring(141)"/>
    <x v="79"/>
    <n v="8.99"/>
    <n v="1"/>
    <s v="www"/>
    <d v="2014-03-16T17:22:13"/>
    <d v="2014-03-16T00:00:00"/>
    <x v="2"/>
    <n v="8.99"/>
  </r>
  <r>
    <s v="0 Original"/>
    <s v="(2594)"/>
    <n v="2594"/>
    <s v="2014-03-18 Bernard Cash(782)"/>
    <x v="41"/>
    <n v="4.99"/>
    <n v="1"/>
    <s v="www"/>
    <d v="2014-03-18T13:55:09"/>
    <d v="2014-03-18T00:00:00"/>
    <x v="2"/>
    <n v="4.99"/>
  </r>
  <r>
    <s v="0 Original"/>
    <s v="(2595)"/>
    <n v="2595"/>
    <s v="2014-03-18 Bernard Cash(782)"/>
    <x v="8"/>
    <n v="4.99"/>
    <n v="1"/>
    <s v="www"/>
    <d v="2014-03-18T13:55:09"/>
    <d v="2014-03-18T00:00:00"/>
    <x v="2"/>
    <n v="4.99"/>
  </r>
  <r>
    <s v="0 Original"/>
    <s v="(2596)"/>
    <n v="2596"/>
    <s v="2014-03-18 Prescott Nelson(783)"/>
    <x v="6"/>
    <n v="5.99"/>
    <n v="1"/>
    <s v="www"/>
    <d v="2014-03-18T15:25:39"/>
    <d v="2014-03-18T00:00:00"/>
    <x v="2"/>
    <n v="5.99"/>
  </r>
  <r>
    <s v="0 Original"/>
    <s v="(2597)"/>
    <n v="2597"/>
    <s v="2014-03-18 Prescott Nelson(783)"/>
    <x v="16"/>
    <n v="6.99"/>
    <n v="1"/>
    <s v="www"/>
    <d v="2014-03-18T15:25:39"/>
    <d v="2014-03-18T00:00:00"/>
    <x v="2"/>
    <n v="6.99"/>
  </r>
  <r>
    <s v="0 Original"/>
    <s v="(2377)"/>
    <n v="2377"/>
    <s v="2014-03-18 Cameron Rivera(709)"/>
    <x v="8"/>
    <n v="4.99"/>
    <n v="1"/>
    <s v="www"/>
    <d v="2014-03-18T19:03:19"/>
    <d v="2014-03-18T00:00:00"/>
    <x v="2"/>
    <n v="4.99"/>
  </r>
  <r>
    <s v="0 Original"/>
    <s v="(2378)"/>
    <n v="2378"/>
    <s v="2014-03-18 Cameron Rivera(709)"/>
    <x v="25"/>
    <n v="9.99"/>
    <n v="2"/>
    <s v="www"/>
    <d v="2014-03-18T19:03:19"/>
    <d v="2014-03-18T00:00:00"/>
    <x v="2"/>
    <n v="19.98"/>
  </r>
  <r>
    <s v="0 Original"/>
    <s v="(2379)"/>
    <n v="2379"/>
    <s v="2014-03-18 Cameron Rivera(709)"/>
    <x v="9"/>
    <n v="7.99"/>
    <n v="1"/>
    <s v="www"/>
    <d v="2014-03-18T19:03:19"/>
    <d v="2014-03-18T00:00:00"/>
    <x v="2"/>
    <n v="7.99"/>
  </r>
  <r>
    <s v="0 Original"/>
    <s v="(89)"/>
    <n v="89"/>
    <s v="2014-03-18 Ulysses Hudson(27)"/>
    <x v="63"/>
    <n v="7.99"/>
    <n v="2"/>
    <s v="www"/>
    <d v="2014-03-18T23:07:26"/>
    <d v="2014-03-18T00:00:00"/>
    <x v="2"/>
    <n v="15.98"/>
  </r>
  <r>
    <s v="0 Original"/>
    <s v="(90)"/>
    <n v="90"/>
    <s v="2014-03-18 Ulysses Hudson(27)"/>
    <x v="81"/>
    <n v="9.99"/>
    <n v="2"/>
    <s v="www"/>
    <d v="2014-03-18T23:07:26"/>
    <d v="2014-03-18T00:00:00"/>
    <x v="2"/>
    <n v="19.98"/>
  </r>
  <r>
    <s v="0 Original"/>
    <s v="(91)"/>
    <n v="91"/>
    <s v="2014-03-18 Ulysses Hudson(27)"/>
    <x v="42"/>
    <n v="5.99"/>
    <n v="1"/>
    <s v="www"/>
    <d v="2014-03-18T23:07:26"/>
    <d v="2014-03-18T00:00:00"/>
    <x v="2"/>
    <n v="5.99"/>
  </r>
  <r>
    <s v="0 Original"/>
    <s v="(92)"/>
    <n v="92"/>
    <s v="2014-03-18 Ulysses Hudson(27)"/>
    <x v="104"/>
    <n v="4.99"/>
    <n v="1"/>
    <s v="www"/>
    <d v="2014-03-18T23:07:26"/>
    <d v="2014-03-18T00:00:00"/>
    <x v="2"/>
    <n v="4.99"/>
  </r>
  <r>
    <s v="0 Original"/>
    <s v="(93)"/>
    <n v="93"/>
    <s v="2014-03-18 Ulysses Hudson(27)"/>
    <x v="52"/>
    <n v="5.99"/>
    <n v="1"/>
    <s v="www"/>
    <d v="2014-03-18T23:07:26"/>
    <d v="2014-03-18T00:00:00"/>
    <x v="2"/>
    <n v="5.99"/>
  </r>
  <r>
    <s v="0 Original"/>
    <s v="(94)"/>
    <n v="94"/>
    <s v="2014-03-18 Ulysses Hudson(27)"/>
    <x v="105"/>
    <n v="4.99"/>
    <n v="1"/>
    <s v="www"/>
    <d v="2014-03-18T23:07:26"/>
    <d v="2014-03-18T00:00:00"/>
    <x v="2"/>
    <n v="4.99"/>
  </r>
  <r>
    <s v="0 Original"/>
    <s v="(95)"/>
    <n v="95"/>
    <s v="2014-03-18 Ulysses Hudson(27)"/>
    <x v="106"/>
    <n v="7.99"/>
    <n v="2"/>
    <s v="www"/>
    <d v="2014-03-18T23:07:26"/>
    <d v="2014-03-18T00:00:00"/>
    <x v="2"/>
    <n v="15.98"/>
  </r>
  <r>
    <s v="0 Original"/>
    <s v="(780)"/>
    <n v="780"/>
    <s v="2014-03-19 Indira Suarez(221)"/>
    <x v="57"/>
    <n v="4.99"/>
    <n v="2"/>
    <s v="www"/>
    <d v="2014-03-19T19:07:39"/>
    <d v="2014-03-19T00:00:00"/>
    <x v="2"/>
    <n v="9.98"/>
  </r>
  <r>
    <s v="0 Original"/>
    <s v="(781)"/>
    <n v="781"/>
    <s v="2014-03-19 Indira Suarez(221)"/>
    <x v="2"/>
    <n v="7.99"/>
    <n v="1"/>
    <s v="www"/>
    <d v="2014-03-19T19:07:39"/>
    <d v="2014-03-19T00:00:00"/>
    <x v="2"/>
    <n v="7.99"/>
  </r>
  <r>
    <s v="0 Original"/>
    <s v="(782)"/>
    <n v="782"/>
    <s v="2014-03-19 Indira Suarez(221)"/>
    <x v="107"/>
    <n v="8.99"/>
    <n v="2"/>
    <s v="www"/>
    <d v="2014-03-19T19:07:39"/>
    <d v="2014-03-19T00:00:00"/>
    <x v="2"/>
    <n v="17.98"/>
  </r>
  <r>
    <s v="0 Original"/>
    <s v="(783)"/>
    <n v="783"/>
    <s v="2014-03-19 Indira Suarez(221)"/>
    <x v="17"/>
    <n v="9.99"/>
    <n v="1"/>
    <s v="www"/>
    <d v="2014-03-19T19:07:39"/>
    <d v="2014-03-19T00:00:00"/>
    <x v="2"/>
    <n v="9.99"/>
  </r>
  <r>
    <s v="0 Original"/>
    <s v="(784)"/>
    <n v="784"/>
    <s v="2014-03-19 Indira Suarez(221)"/>
    <x v="7"/>
    <n v="9.99"/>
    <n v="2"/>
    <s v="www"/>
    <d v="2014-03-19T19:07:39"/>
    <d v="2014-03-19T00:00:00"/>
    <x v="2"/>
    <n v="19.98"/>
  </r>
  <r>
    <s v="0 Original"/>
    <s v="(785)"/>
    <n v="785"/>
    <s v="2014-03-19 Indira Suarez(221)"/>
    <x v="34"/>
    <n v="8.99"/>
    <n v="1"/>
    <s v="www"/>
    <d v="2014-03-19T19:07:39"/>
    <d v="2014-03-19T00:00:00"/>
    <x v="2"/>
    <n v="8.99"/>
  </r>
  <r>
    <s v="0 Original"/>
    <s v="(786)"/>
    <n v="786"/>
    <s v="2014-03-19 Indira Suarez(221)"/>
    <x v="91"/>
    <n v="9.99"/>
    <n v="1"/>
    <s v="www"/>
    <d v="2014-03-19T19:07:39"/>
    <d v="2014-03-19T00:00:00"/>
    <x v="2"/>
    <n v="9.99"/>
  </r>
  <r>
    <s v="0 Original"/>
    <s v="(2250)"/>
    <n v="2250"/>
    <s v="2014-03-19 Wade Coleman(664)"/>
    <x v="6"/>
    <n v="5.99"/>
    <n v="1"/>
    <s v="www"/>
    <d v="2014-03-19T21:35:01"/>
    <d v="2014-03-19T00:00:00"/>
    <x v="2"/>
    <n v="5.99"/>
  </r>
  <r>
    <s v="0 Original"/>
    <s v="(2251)"/>
    <n v="2251"/>
    <s v="2014-03-19 Wade Coleman(664)"/>
    <x v="66"/>
    <n v="9.99"/>
    <n v="1"/>
    <s v="www"/>
    <d v="2014-03-19T21:35:01"/>
    <d v="2014-03-19T00:00:00"/>
    <x v="2"/>
    <n v="9.99"/>
  </r>
  <r>
    <s v="0 Original"/>
    <s v="(2252)"/>
    <n v="2252"/>
    <s v="2014-03-19 Wade Coleman(664)"/>
    <x v="35"/>
    <n v="9.99"/>
    <n v="2"/>
    <s v="www"/>
    <d v="2014-03-19T21:35:01"/>
    <d v="2014-03-19T00:00:00"/>
    <x v="2"/>
    <n v="19.98"/>
  </r>
  <r>
    <s v="0 Original"/>
    <s v="(2253)"/>
    <n v="2253"/>
    <s v="2014-03-19 Wade Coleman(664)"/>
    <x v="49"/>
    <n v="8.99"/>
    <n v="2"/>
    <s v="www"/>
    <d v="2014-03-19T21:35:01"/>
    <d v="2014-03-19T00:00:00"/>
    <x v="2"/>
    <n v="17.98"/>
  </r>
  <r>
    <s v="0 Original"/>
    <s v="(3824)"/>
    <n v="3824"/>
    <s v="2014-03-20 Bernard Cash(1162)"/>
    <x v="16"/>
    <n v="6.99"/>
    <n v="1"/>
    <s v="www"/>
    <d v="2014-03-20T18:15:58"/>
    <d v="2014-03-20T00:00:00"/>
    <x v="2"/>
    <n v="6.99"/>
  </r>
  <r>
    <s v="0 Original"/>
    <s v="(3825)"/>
    <n v="3825"/>
    <s v="2014-03-20 Bernard Cash(1162)"/>
    <x v="16"/>
    <n v="6.99"/>
    <n v="1"/>
    <s v="www"/>
    <d v="2014-03-20T18:15:58"/>
    <d v="2014-03-20T00:00:00"/>
    <x v="2"/>
    <n v="6.99"/>
  </r>
  <r>
    <s v="0 Original"/>
    <s v="(3826)"/>
    <n v="3826"/>
    <s v="2014-03-20 Bernard Cash(1162)"/>
    <x v="24"/>
    <n v="7.99"/>
    <n v="1"/>
    <s v="www"/>
    <d v="2014-03-20T18:15:58"/>
    <d v="2014-03-20T00:00:00"/>
    <x v="2"/>
    <n v="7.99"/>
  </r>
  <r>
    <s v="0 Original"/>
    <s v="(1435)"/>
    <n v="1435"/>
    <s v="2014-03-20 Ivy Livingston(414)"/>
    <x v="31"/>
    <n v="8.99"/>
    <n v="1"/>
    <s v="www"/>
    <d v="2014-03-20T20:10:45"/>
    <d v="2014-03-20T00:00:00"/>
    <x v="2"/>
    <n v="8.99"/>
  </r>
  <r>
    <s v="0 Original"/>
    <s v="(1436)"/>
    <n v="1436"/>
    <s v="2014-03-20 Ivy Livingston(414)"/>
    <x v="26"/>
    <n v="6.99"/>
    <n v="1"/>
    <s v="www"/>
    <d v="2014-03-20T20:10:45"/>
    <d v="2014-03-20T00:00:00"/>
    <x v="2"/>
    <n v="6.99"/>
  </r>
  <r>
    <s v="0 Original"/>
    <s v="(1437)"/>
    <n v="1437"/>
    <s v="2014-03-20 Ivy Livingston(414)"/>
    <x v="59"/>
    <n v="6.99"/>
    <n v="2"/>
    <s v="www"/>
    <d v="2014-03-20T20:10:45"/>
    <d v="2014-03-20T00:00:00"/>
    <x v="2"/>
    <n v="13.98"/>
  </r>
  <r>
    <s v="0 Original"/>
    <s v="(1438)"/>
    <n v="1438"/>
    <s v="2014-03-20 Ivy Livingston(414)"/>
    <x v="25"/>
    <n v="9.99"/>
    <n v="1"/>
    <s v="www"/>
    <d v="2014-03-20T20:10:45"/>
    <d v="2014-03-20T00:00:00"/>
    <x v="2"/>
    <n v="9.99"/>
  </r>
  <r>
    <s v="0 Original"/>
    <s v="(1439)"/>
    <n v="1439"/>
    <s v="2014-03-20 Ivy Livingston(414)"/>
    <x v="47"/>
    <n v="6.99"/>
    <n v="1"/>
    <s v="www"/>
    <d v="2014-03-20T20:10:45"/>
    <d v="2014-03-20T00:00:00"/>
    <x v="2"/>
    <n v="6.99"/>
  </r>
  <r>
    <s v="0 Original"/>
    <s v="(1440)"/>
    <n v="1440"/>
    <s v="2014-03-20 Ivy Livingston(414)"/>
    <x v="59"/>
    <n v="6.99"/>
    <n v="2"/>
    <s v="www"/>
    <d v="2014-03-20T20:10:45"/>
    <d v="2014-03-20T00:00:00"/>
    <x v="2"/>
    <n v="13.98"/>
  </r>
  <r>
    <s v="0 Original"/>
    <s v="(1570)"/>
    <n v="1570"/>
    <s v="2014-03-21 Stuart Vega(451)"/>
    <x v="107"/>
    <n v="8.99"/>
    <n v="1"/>
    <s v="www"/>
    <d v="2014-03-21T05:07:47"/>
    <d v="2014-03-21T00:00:00"/>
    <x v="2"/>
    <n v="8.99"/>
  </r>
  <r>
    <s v="0 Original"/>
    <s v="(1571)"/>
    <n v="1571"/>
    <s v="2014-03-21 Stuart Vega(451)"/>
    <x v="37"/>
    <n v="8.99"/>
    <n v="2"/>
    <s v="www"/>
    <d v="2014-03-21T05:07:47"/>
    <d v="2014-03-21T00:00:00"/>
    <x v="2"/>
    <n v="17.98"/>
  </r>
  <r>
    <s v="0 Original"/>
    <s v="(1572)"/>
    <n v="1572"/>
    <s v="2014-03-21 Stuart Vega(451)"/>
    <x v="0"/>
    <n v="9.99"/>
    <n v="1"/>
    <s v="www"/>
    <d v="2014-03-21T05:07:47"/>
    <d v="2014-03-21T00:00:00"/>
    <x v="2"/>
    <n v="9.99"/>
  </r>
  <r>
    <s v="0 Original"/>
    <s v="(703)"/>
    <n v="703"/>
    <s v="2014-03-21 Abigail Shepard(199)"/>
    <x v="75"/>
    <n v="6.99"/>
    <n v="2"/>
    <s v="www"/>
    <d v="2014-03-21T06:56:33"/>
    <d v="2014-03-21T00:00:00"/>
    <x v="2"/>
    <n v="13.98"/>
  </r>
  <r>
    <s v="0 Original"/>
    <s v="(704)"/>
    <n v="704"/>
    <s v="2014-03-21 Abigail Shepard(199)"/>
    <x v="22"/>
    <n v="6.99"/>
    <n v="1"/>
    <s v="www"/>
    <d v="2014-03-21T06:56:33"/>
    <d v="2014-03-21T00:00:00"/>
    <x v="2"/>
    <n v="6.99"/>
  </r>
  <r>
    <s v="0 Original"/>
    <s v="(712)"/>
    <n v="712"/>
    <s v="2014-03-23 Alma Salas(201)"/>
    <x v="91"/>
    <n v="9.99"/>
    <n v="1"/>
    <s v="www"/>
    <d v="2014-03-23T01:57:18"/>
    <d v="2014-03-23T00:00:00"/>
    <x v="2"/>
    <n v="9.99"/>
  </r>
  <r>
    <s v="0 Original"/>
    <s v="(713)"/>
    <n v="713"/>
    <s v="2014-03-23 Alma Salas(201)"/>
    <x v="17"/>
    <n v="9.99"/>
    <n v="1"/>
    <s v="www"/>
    <d v="2014-03-23T01:57:18"/>
    <d v="2014-03-23T00:00:00"/>
    <x v="2"/>
    <n v="9.99"/>
  </r>
  <r>
    <s v="0 Original"/>
    <s v="(1067)"/>
    <n v="1067"/>
    <s v="2014-03-23 Anne Slater(306)"/>
    <x v="28"/>
    <n v="5.99"/>
    <n v="1"/>
    <s v="www"/>
    <d v="2014-03-23T11:50:08"/>
    <d v="2014-03-23T00:00:00"/>
    <x v="2"/>
    <n v="5.99"/>
  </r>
  <r>
    <s v="0 Original"/>
    <s v="(1068)"/>
    <n v="1068"/>
    <s v="2014-03-23 Anne Slater(306)"/>
    <x v="3"/>
    <n v="7.99"/>
    <n v="1"/>
    <s v="www"/>
    <d v="2014-03-23T11:50:08"/>
    <d v="2014-03-23T00:00:00"/>
    <x v="2"/>
    <n v="7.99"/>
  </r>
  <r>
    <s v="0 Original"/>
    <s v="(1069)"/>
    <n v="1069"/>
    <s v="2014-03-23 Anne Slater(306)"/>
    <x v="5"/>
    <n v="9.99"/>
    <n v="2"/>
    <s v="www"/>
    <d v="2014-03-23T11:50:08"/>
    <d v="2014-03-23T00:00:00"/>
    <x v="2"/>
    <n v="19.98"/>
  </r>
  <r>
    <s v="0 Original"/>
    <s v="(2762)"/>
    <n v="2762"/>
    <s v="2014-03-23 Christine Medina(833)"/>
    <x v="7"/>
    <n v="9.99"/>
    <n v="1"/>
    <s v="www"/>
    <d v="2014-03-23T14:39:17"/>
    <d v="2014-03-23T00:00:00"/>
    <x v="2"/>
    <n v="9.99"/>
  </r>
  <r>
    <s v="0 Original"/>
    <s v="(2763)"/>
    <n v="2763"/>
    <s v="2014-03-23 Christine Medina(833)"/>
    <x v="8"/>
    <n v="4.99"/>
    <n v="2"/>
    <s v="www"/>
    <d v="2014-03-23T14:39:17"/>
    <d v="2014-03-23T00:00:00"/>
    <x v="2"/>
    <n v="9.98"/>
  </r>
  <r>
    <s v="0 Original"/>
    <s v="(2764)"/>
    <n v="2764"/>
    <s v="2014-03-23 Christine Medina(833)"/>
    <x v="8"/>
    <n v="4.99"/>
    <n v="1"/>
    <s v="www"/>
    <d v="2014-03-23T14:39:17"/>
    <d v="2014-03-23T00:00:00"/>
    <x v="2"/>
    <n v="4.99"/>
  </r>
  <r>
    <s v="0 Original"/>
    <s v="(2765)"/>
    <n v="2765"/>
    <s v="2014-03-23 Christine Medina(833)"/>
    <x v="9"/>
    <n v="7.99"/>
    <n v="2"/>
    <s v="www"/>
    <d v="2014-03-23T14:39:17"/>
    <d v="2014-03-23T00:00:00"/>
    <x v="2"/>
    <n v="15.98"/>
  </r>
  <r>
    <s v="0 Original"/>
    <s v="(2766)"/>
    <n v="2766"/>
    <s v="2014-03-23 Christine Medina(833)"/>
    <x v="9"/>
    <n v="7.99"/>
    <n v="1"/>
    <s v="www"/>
    <d v="2014-03-23T14:39:17"/>
    <d v="2014-03-23T00:00:00"/>
    <x v="2"/>
    <n v="7.99"/>
  </r>
  <r>
    <s v="0 Original"/>
    <s v="(2767)"/>
    <n v="2767"/>
    <s v="2014-03-23 Christine Medina(833)"/>
    <x v="23"/>
    <n v="9.99"/>
    <n v="1"/>
    <s v="www"/>
    <d v="2014-03-23T14:39:17"/>
    <d v="2014-03-23T00:00:00"/>
    <x v="2"/>
    <n v="9.99"/>
  </r>
  <r>
    <s v="0 Original"/>
    <s v="(2497)"/>
    <n v="2497"/>
    <s v="2014-03-24 Belle Short(749)"/>
    <x v="7"/>
    <n v="9.99"/>
    <n v="1"/>
    <s v="www"/>
    <d v="2014-03-24T14:30:37"/>
    <d v="2014-03-24T00:00:00"/>
    <x v="2"/>
    <n v="9.99"/>
  </r>
  <r>
    <s v="0 Original"/>
    <s v="(2498)"/>
    <n v="2498"/>
    <s v="2014-03-24 Belle Short(749)"/>
    <x v="25"/>
    <n v="9.99"/>
    <n v="1"/>
    <s v="www"/>
    <d v="2014-03-24T14:30:37"/>
    <d v="2014-03-24T00:00:00"/>
    <x v="2"/>
    <n v="9.99"/>
  </r>
  <r>
    <s v="0 Original"/>
    <s v="(2499)"/>
    <n v="2499"/>
    <s v="2014-03-24 Belle Short(749)"/>
    <x v="25"/>
    <n v="9.99"/>
    <n v="1"/>
    <s v="www"/>
    <d v="2014-03-24T14:30:37"/>
    <d v="2014-03-24T00:00:00"/>
    <x v="2"/>
    <n v="9.99"/>
  </r>
  <r>
    <s v="0 Original"/>
    <s v="(2500)"/>
    <n v="2500"/>
    <s v="2014-03-24 Belle Short(749)"/>
    <x v="25"/>
    <n v="9.99"/>
    <n v="1"/>
    <s v="www"/>
    <d v="2014-03-24T14:30:37"/>
    <d v="2014-03-24T00:00:00"/>
    <x v="2"/>
    <n v="9.99"/>
  </r>
  <r>
    <s v="0 Original"/>
    <s v="(2501)"/>
    <n v="2501"/>
    <s v="2014-03-24 Belle Short(749)"/>
    <x v="7"/>
    <n v="9.99"/>
    <n v="1"/>
    <s v="www"/>
    <d v="2014-03-24T14:30:37"/>
    <d v="2014-03-24T00:00:00"/>
    <x v="2"/>
    <n v="9.99"/>
  </r>
  <r>
    <s v="0 Original"/>
    <s v="(1454)"/>
    <n v="1454"/>
    <s v="2014-03-24 Mariko Cameron(420)"/>
    <x v="58"/>
    <n v="4.99"/>
    <n v="2"/>
    <s v="www"/>
    <d v="2014-03-24T17:00:09"/>
    <d v="2014-03-24T00:00:00"/>
    <x v="2"/>
    <n v="9.98"/>
  </r>
  <r>
    <s v="0 Original"/>
    <s v="(1455)"/>
    <n v="1455"/>
    <s v="2014-03-24 Mariko Cameron(420)"/>
    <x v="42"/>
    <n v="5.99"/>
    <n v="1"/>
    <s v="www"/>
    <d v="2014-03-24T17:00:09"/>
    <d v="2014-03-24T00:00:00"/>
    <x v="2"/>
    <n v="5.99"/>
  </r>
  <r>
    <s v="0 Original"/>
    <s v="(1456)"/>
    <n v="1456"/>
    <s v="2014-03-24 Mariko Cameron(420)"/>
    <x v="16"/>
    <n v="6.99"/>
    <n v="1"/>
    <s v="www"/>
    <d v="2014-03-24T17:00:09"/>
    <d v="2014-03-24T00:00:00"/>
    <x v="2"/>
    <n v="6.99"/>
  </r>
  <r>
    <s v="0 Original"/>
    <s v="(1457)"/>
    <n v="1457"/>
    <s v="2014-03-24 Mariko Cameron(420)"/>
    <x v="13"/>
    <n v="8.99"/>
    <n v="2"/>
    <s v="www"/>
    <d v="2014-03-24T17:00:09"/>
    <d v="2014-03-24T00:00:00"/>
    <x v="2"/>
    <n v="17.98"/>
  </r>
  <r>
    <s v="0 Original"/>
    <s v="(1424)"/>
    <n v="1424"/>
    <s v="2014-03-24 Colby Clay(412)"/>
    <x v="58"/>
    <n v="4.99"/>
    <n v="1"/>
    <s v="www"/>
    <d v="2014-03-24T21:51:01"/>
    <d v="2014-03-24T00:00:00"/>
    <x v="2"/>
    <n v="4.99"/>
  </r>
  <r>
    <s v="0 Original"/>
    <s v="(1425)"/>
    <n v="1425"/>
    <s v="2014-03-24 Colby Clay(412)"/>
    <x v="4"/>
    <n v="6.99"/>
    <n v="1"/>
    <s v="www"/>
    <d v="2014-03-24T21:51:01"/>
    <d v="2014-03-24T00:00:00"/>
    <x v="2"/>
    <n v="6.99"/>
  </r>
  <r>
    <s v="0 Original"/>
    <s v="(1426)"/>
    <n v="1426"/>
    <s v="2014-03-24 Colby Clay(412)"/>
    <x v="42"/>
    <n v="5.99"/>
    <n v="1"/>
    <s v="www"/>
    <d v="2014-03-24T21:51:01"/>
    <d v="2014-03-24T00:00:00"/>
    <x v="2"/>
    <n v="5.99"/>
  </r>
  <r>
    <s v="0 Original"/>
    <s v="(1427)"/>
    <n v="1427"/>
    <s v="2014-03-24 Colby Clay(412)"/>
    <x v="4"/>
    <n v="6.99"/>
    <n v="1"/>
    <s v="www"/>
    <d v="2014-03-24T21:51:01"/>
    <d v="2014-03-24T00:00:00"/>
    <x v="2"/>
    <n v="6.99"/>
  </r>
  <r>
    <s v="0 Original"/>
    <s v="(1428)"/>
    <n v="1428"/>
    <s v="2014-03-24 Colby Clay(412)"/>
    <x v="82"/>
    <n v="5.99"/>
    <n v="1"/>
    <s v="www"/>
    <d v="2014-03-24T21:51:01"/>
    <d v="2014-03-24T00:00:00"/>
    <x v="2"/>
    <n v="5.99"/>
  </r>
  <r>
    <s v="0 Original"/>
    <s v="(1429)"/>
    <n v="1429"/>
    <s v="2014-03-24 Colby Clay(412)"/>
    <x v="12"/>
    <n v="8.99"/>
    <n v="1"/>
    <s v="www"/>
    <d v="2014-03-24T21:51:01"/>
    <d v="2014-03-24T00:00:00"/>
    <x v="2"/>
    <n v="8.99"/>
  </r>
  <r>
    <s v="0 Original"/>
    <s v="(1430)"/>
    <n v="1430"/>
    <s v="2014-03-24 Colby Clay(412)"/>
    <x v="20"/>
    <n v="7.99"/>
    <n v="2"/>
    <s v="www"/>
    <d v="2014-03-24T21:51:01"/>
    <d v="2014-03-24T00:00:00"/>
    <x v="2"/>
    <n v="15.98"/>
  </r>
  <r>
    <s v="0 Original"/>
    <s v="(3264)"/>
    <n v="3264"/>
    <s v="2014-03-24 Cameron Rivera(987)"/>
    <x v="23"/>
    <n v="9.99"/>
    <n v="2"/>
    <s v="www"/>
    <d v="2014-03-24T22:31:29"/>
    <d v="2014-03-24T00:00:00"/>
    <x v="2"/>
    <n v="19.98"/>
  </r>
  <r>
    <s v="0 Original"/>
    <s v="(3318)"/>
    <n v="3318"/>
    <s v="2014-03-25 Bernard Cash(1006)"/>
    <x v="9"/>
    <n v="7.99"/>
    <n v="2"/>
    <s v="www"/>
    <d v="2014-03-25T13:24:48"/>
    <d v="2014-03-25T00:00:00"/>
    <x v="2"/>
    <n v="15.98"/>
  </r>
  <r>
    <s v="0 Original"/>
    <s v="(3319)"/>
    <n v="3319"/>
    <s v="2014-03-25 Bernard Cash(1006)"/>
    <x v="41"/>
    <n v="4.99"/>
    <n v="1"/>
    <s v="www"/>
    <d v="2014-03-25T13:24:48"/>
    <d v="2014-03-25T00:00:00"/>
    <x v="2"/>
    <n v="4.99"/>
  </r>
  <r>
    <s v="0 Original"/>
    <s v="(3320)"/>
    <n v="3320"/>
    <s v="2014-03-25 Bernard Cash(1006)"/>
    <x v="6"/>
    <n v="5.99"/>
    <n v="1"/>
    <s v="www"/>
    <d v="2014-03-25T13:24:48"/>
    <d v="2014-03-25T00:00:00"/>
    <x v="2"/>
    <n v="5.99"/>
  </r>
  <r>
    <s v="0 Original"/>
    <s v="(3321)"/>
    <n v="3321"/>
    <s v="2014-03-25 Bernard Cash(1006)"/>
    <x v="23"/>
    <n v="9.99"/>
    <n v="2"/>
    <s v="www"/>
    <d v="2014-03-25T13:24:48"/>
    <d v="2014-03-25T00:00:00"/>
    <x v="2"/>
    <n v="19.98"/>
  </r>
  <r>
    <s v="0 Original"/>
    <s v="(3322)"/>
    <n v="3322"/>
    <s v="2014-03-25 Bernard Cash(1006)"/>
    <x v="25"/>
    <n v="9.99"/>
    <n v="1"/>
    <s v="www"/>
    <d v="2014-03-25T13:24:48"/>
    <d v="2014-03-25T00:00:00"/>
    <x v="2"/>
    <n v="9.99"/>
  </r>
  <r>
    <s v="0 Original"/>
    <s v="(3323)"/>
    <n v="3323"/>
    <s v="2014-03-25 Bernard Cash(1006)"/>
    <x v="41"/>
    <n v="4.99"/>
    <n v="1"/>
    <s v="www"/>
    <d v="2014-03-25T13:24:48"/>
    <d v="2014-03-25T00:00:00"/>
    <x v="2"/>
    <n v="4.99"/>
  </r>
  <r>
    <s v="0 Original"/>
    <s v="(1257)"/>
    <n v="1257"/>
    <s v="2014-03-26 Claudia Crane(365)"/>
    <x v="16"/>
    <n v="6.99"/>
    <n v="1"/>
    <s v="www"/>
    <d v="2014-03-26T15:23:12"/>
    <d v="2014-03-26T00:00:00"/>
    <x v="2"/>
    <n v="6.99"/>
  </r>
  <r>
    <s v="0 Original"/>
    <s v="(1258)"/>
    <n v="1258"/>
    <s v="2014-03-26 Claudia Crane(365)"/>
    <x v="33"/>
    <n v="4.99"/>
    <n v="1"/>
    <s v="www"/>
    <d v="2014-03-26T15:23:12"/>
    <d v="2014-03-26T00:00:00"/>
    <x v="2"/>
    <n v="4.99"/>
  </r>
  <r>
    <s v="0 Original"/>
    <s v="(1431)"/>
    <n v="1431"/>
    <s v="2014-03-26 Stuart Vega(413)"/>
    <x v="86"/>
    <n v="9.99"/>
    <n v="1"/>
    <s v="www"/>
    <d v="2014-03-26T15:31:57"/>
    <d v="2014-03-26T00:00:00"/>
    <x v="2"/>
    <n v="9.99"/>
  </r>
  <r>
    <s v="0 Original"/>
    <s v="(1432)"/>
    <n v="1432"/>
    <s v="2014-03-26 Stuart Vega(413)"/>
    <x v="38"/>
    <n v="6.99"/>
    <n v="1"/>
    <s v="www"/>
    <d v="2014-03-26T15:31:57"/>
    <d v="2014-03-26T00:00:00"/>
    <x v="2"/>
    <n v="6.99"/>
  </r>
  <r>
    <s v="0 Original"/>
    <s v="(1433)"/>
    <n v="1433"/>
    <s v="2014-03-26 Stuart Vega(413)"/>
    <x v="66"/>
    <n v="9.99"/>
    <n v="1"/>
    <s v="www"/>
    <d v="2014-03-26T15:31:57"/>
    <d v="2014-03-26T00:00:00"/>
    <x v="2"/>
    <n v="9.99"/>
  </r>
  <r>
    <s v="0 Original"/>
    <s v="(1434)"/>
    <n v="1434"/>
    <s v="2014-03-26 Stuart Vega(413)"/>
    <x v="43"/>
    <n v="4.99"/>
    <n v="2"/>
    <s v="www"/>
    <d v="2014-03-26T15:31:57"/>
    <d v="2014-03-26T00:00:00"/>
    <x v="2"/>
    <n v="9.98"/>
  </r>
  <r>
    <s v="0 Original"/>
    <s v="(2705)"/>
    <n v="2705"/>
    <s v="2014-03-26 Madeline Reynolds(815)"/>
    <x v="25"/>
    <n v="9.99"/>
    <n v="2"/>
    <s v="www"/>
    <d v="2014-03-26T18:36:28"/>
    <d v="2014-03-26T00:00:00"/>
    <x v="2"/>
    <n v="19.98"/>
  </r>
  <r>
    <s v="0 Original"/>
    <s v="(2706)"/>
    <n v="2706"/>
    <s v="2014-03-26 Madeline Reynolds(815)"/>
    <x v="16"/>
    <n v="6.99"/>
    <n v="1"/>
    <s v="www"/>
    <d v="2014-03-26T18:36:28"/>
    <d v="2014-03-26T00:00:00"/>
    <x v="2"/>
    <n v="6.99"/>
  </r>
  <r>
    <s v="0 Original"/>
    <s v="(2707)"/>
    <n v="2707"/>
    <s v="2014-03-26 Madeline Reynolds(815)"/>
    <x v="41"/>
    <n v="4.99"/>
    <n v="1"/>
    <s v="www"/>
    <d v="2014-03-26T18:36:28"/>
    <d v="2014-03-26T00:00:00"/>
    <x v="2"/>
    <n v="4.99"/>
  </r>
  <r>
    <s v="0 Original"/>
    <s v="(2708)"/>
    <n v="2708"/>
    <s v="2014-03-26 Madeline Reynolds(815)"/>
    <x v="24"/>
    <n v="7.99"/>
    <n v="1"/>
    <s v="www"/>
    <d v="2014-03-26T18:36:28"/>
    <d v="2014-03-26T00:00:00"/>
    <x v="2"/>
    <n v="7.99"/>
  </r>
  <r>
    <s v="0 Original"/>
    <s v="(2709)"/>
    <n v="2709"/>
    <s v="2014-03-26 Madeline Reynolds(815)"/>
    <x v="23"/>
    <n v="9.99"/>
    <n v="1"/>
    <s v="www"/>
    <d v="2014-03-26T18:36:28"/>
    <d v="2014-03-26T00:00:00"/>
    <x v="2"/>
    <n v="9.99"/>
  </r>
  <r>
    <s v="0 Original"/>
    <s v="(2710)"/>
    <n v="2710"/>
    <s v="2014-03-26 Madeline Reynolds(815)"/>
    <x v="6"/>
    <n v="5.99"/>
    <n v="1"/>
    <s v="www"/>
    <d v="2014-03-26T18:36:28"/>
    <d v="2014-03-26T00:00:00"/>
    <x v="2"/>
    <n v="5.99"/>
  </r>
  <r>
    <s v="0 Original"/>
    <s v="(2711)"/>
    <n v="2711"/>
    <s v="2014-03-26 Madeline Reynolds(815)"/>
    <x v="16"/>
    <n v="6.99"/>
    <n v="1"/>
    <s v="www"/>
    <d v="2014-03-26T18:36:28"/>
    <d v="2014-03-26T00:00:00"/>
    <x v="2"/>
    <n v="6.99"/>
  </r>
  <r>
    <s v="0 Original"/>
    <s v="(2712)"/>
    <n v="2712"/>
    <s v="2014-03-26 Madeline Reynolds(815)"/>
    <x v="7"/>
    <n v="9.99"/>
    <n v="2"/>
    <s v="www"/>
    <d v="2014-03-26T18:36:28"/>
    <d v="2014-03-26T00:00:00"/>
    <x v="2"/>
    <n v="19.98"/>
  </r>
  <r>
    <s v="0 Original"/>
    <s v="(2022)"/>
    <n v="2022"/>
    <s v="2014-03-27 Alma Salas(595)"/>
    <x v="38"/>
    <n v="6.99"/>
    <n v="1"/>
    <s v="www"/>
    <d v="2014-03-27T01:34:50"/>
    <d v="2014-03-27T00:00:00"/>
    <x v="2"/>
    <n v="6.99"/>
  </r>
  <r>
    <s v="0 Original"/>
    <s v="(2023)"/>
    <n v="2023"/>
    <s v="2014-03-27 Alma Salas(595)"/>
    <x v="35"/>
    <n v="9.99"/>
    <n v="1"/>
    <s v="www"/>
    <d v="2014-03-27T01:34:50"/>
    <d v="2014-03-27T00:00:00"/>
    <x v="2"/>
    <n v="9.99"/>
  </r>
  <r>
    <s v="0 Original"/>
    <s v="(1643)"/>
    <n v="1643"/>
    <s v="2014-03-28 Hanna Simpson(476)"/>
    <x v="20"/>
    <n v="7.99"/>
    <n v="1"/>
    <s v="www"/>
    <d v="2014-03-28T09:01:37"/>
    <d v="2014-03-28T00:00:00"/>
    <x v="2"/>
    <n v="7.99"/>
  </r>
  <r>
    <s v="0 Original"/>
    <s v="(1644)"/>
    <n v="1644"/>
    <s v="2014-03-28 Hanna Simpson(476)"/>
    <x v="66"/>
    <n v="9.99"/>
    <n v="1"/>
    <s v="www"/>
    <d v="2014-03-28T09:01:37"/>
    <d v="2014-03-28T00:00:00"/>
    <x v="2"/>
    <n v="9.99"/>
  </r>
  <r>
    <s v="0 Original"/>
    <s v="(944)"/>
    <n v="944"/>
    <s v="2014-03-28 Wade Coleman(269)"/>
    <x v="33"/>
    <n v="4.99"/>
    <n v="1"/>
    <s v="www"/>
    <d v="2014-03-28T12:32:36"/>
    <d v="2014-03-28T00:00:00"/>
    <x v="2"/>
    <n v="4.99"/>
  </r>
  <r>
    <s v="0 Original"/>
    <s v="(945)"/>
    <n v="945"/>
    <s v="2014-03-28 Wade Coleman(269)"/>
    <x v="46"/>
    <n v="5.99"/>
    <n v="1"/>
    <s v="www"/>
    <d v="2014-03-28T12:32:36"/>
    <d v="2014-03-28T00:00:00"/>
    <x v="2"/>
    <n v="5.99"/>
  </r>
  <r>
    <s v="0 Original"/>
    <s v="(946)"/>
    <n v="946"/>
    <s v="2014-03-28 Wade Coleman(269)"/>
    <x v="32"/>
    <n v="5.99"/>
    <n v="2"/>
    <s v="www"/>
    <d v="2014-03-28T12:32:36"/>
    <d v="2014-03-28T00:00:00"/>
    <x v="2"/>
    <n v="11.98"/>
  </r>
  <r>
    <s v="0 Original"/>
    <s v="(947)"/>
    <n v="947"/>
    <s v="2014-03-28 Wade Coleman(269)"/>
    <x v="21"/>
    <n v="4.99"/>
    <n v="1"/>
    <s v="www"/>
    <d v="2014-03-28T12:32:36"/>
    <d v="2014-03-28T00:00:00"/>
    <x v="2"/>
    <n v="4.99"/>
  </r>
  <r>
    <s v="0 Original"/>
    <s v="(3520)"/>
    <n v="3520"/>
    <s v="2014-03-31 Nayda Shields(1064)"/>
    <x v="9"/>
    <n v="7.99"/>
    <n v="1"/>
    <s v="www"/>
    <d v="2014-03-31T17:04:06"/>
    <d v="2014-03-31T00:00:00"/>
    <x v="2"/>
    <n v="7.99"/>
  </r>
  <r>
    <s v="0 Original"/>
    <s v="(3521)"/>
    <n v="3521"/>
    <s v="2014-03-31 Nayda Shields(1064)"/>
    <x v="41"/>
    <n v="4.99"/>
    <n v="1"/>
    <s v="www"/>
    <d v="2014-03-31T17:04:06"/>
    <d v="2014-03-31T00:00:00"/>
    <x v="2"/>
    <n v="4.99"/>
  </r>
  <r>
    <s v="0 Original"/>
    <s v="(3522)"/>
    <n v="3522"/>
    <s v="2014-03-31 Nayda Shields(1064)"/>
    <x v="7"/>
    <n v="9.99"/>
    <n v="1"/>
    <s v="www"/>
    <d v="2014-03-31T17:04:06"/>
    <d v="2014-03-31T00:00:00"/>
    <x v="2"/>
    <n v="9.99"/>
  </r>
  <r>
    <s v="0 Original"/>
    <s v="(127)"/>
    <n v="127"/>
    <s v="2014-04-01 Mary Moore(36)"/>
    <x v="27"/>
    <n v="9.99"/>
    <n v="1"/>
    <s v="www"/>
    <d v="2014-04-01T00:38:59"/>
    <d v="2014-04-01T00:00:00"/>
    <x v="3"/>
    <n v="9.99"/>
  </r>
  <r>
    <s v="0 Original"/>
    <s v="(128)"/>
    <n v="128"/>
    <s v="2014-04-01 Mary Moore(36)"/>
    <x v="101"/>
    <n v="9.99"/>
    <n v="1"/>
    <s v="www"/>
    <d v="2014-04-01T00:38:59"/>
    <d v="2014-04-01T00:00:00"/>
    <x v="3"/>
    <n v="9.99"/>
  </r>
  <r>
    <s v="0 Original"/>
    <s v="(129)"/>
    <n v="129"/>
    <s v="2014-04-01 Mary Moore(36)"/>
    <x v="78"/>
    <n v="5.99"/>
    <n v="2"/>
    <s v="www"/>
    <d v="2014-04-01T00:38:59"/>
    <d v="2014-04-01T00:00:00"/>
    <x v="3"/>
    <n v="11.98"/>
  </r>
  <r>
    <s v="0 Original"/>
    <s v="(130)"/>
    <n v="130"/>
    <s v="2014-04-01 Mary Moore(36)"/>
    <x v="67"/>
    <n v="8.99"/>
    <n v="1"/>
    <s v="www"/>
    <d v="2014-04-01T00:38:59"/>
    <d v="2014-04-01T00:00:00"/>
    <x v="3"/>
    <n v="8.99"/>
  </r>
  <r>
    <s v="0 Original"/>
    <s v="(997)"/>
    <n v="997"/>
    <s v="2014-04-01 Dane Stafford(284)"/>
    <x v="21"/>
    <n v="4.99"/>
    <n v="1"/>
    <s v="www"/>
    <d v="2014-04-01T10:17:25"/>
    <d v="2014-04-01T00:00:00"/>
    <x v="3"/>
    <n v="4.99"/>
  </r>
  <r>
    <s v="0 Original"/>
    <s v="(998)"/>
    <n v="998"/>
    <s v="2014-04-01 Dane Stafford(284)"/>
    <x v="4"/>
    <n v="6.99"/>
    <n v="1"/>
    <s v="www"/>
    <d v="2014-04-01T10:17:25"/>
    <d v="2014-04-01T00:00:00"/>
    <x v="3"/>
    <n v="6.99"/>
  </r>
  <r>
    <s v="0 Original"/>
    <s v="(999)"/>
    <n v="999"/>
    <s v="2014-04-01 Dane Stafford(284)"/>
    <x v="3"/>
    <n v="7.99"/>
    <n v="1"/>
    <s v="www"/>
    <d v="2014-04-01T10:17:25"/>
    <d v="2014-04-01T00:00:00"/>
    <x v="3"/>
    <n v="7.99"/>
  </r>
  <r>
    <s v="0 Original"/>
    <s v="(1000)"/>
    <n v="1000"/>
    <s v="2014-04-01 Dane Stafford(284)"/>
    <x v="26"/>
    <n v="6.99"/>
    <n v="1"/>
    <s v="www"/>
    <d v="2014-04-01T10:17:25"/>
    <d v="2014-04-01T00:00:00"/>
    <x v="3"/>
    <n v="6.99"/>
  </r>
  <r>
    <s v="0 Original"/>
    <s v="(1001)"/>
    <n v="1001"/>
    <s v="2014-04-01 Dane Stafford(284)"/>
    <x v="34"/>
    <n v="8.99"/>
    <n v="1"/>
    <s v="www"/>
    <d v="2014-04-01T10:17:25"/>
    <d v="2014-04-01T00:00:00"/>
    <x v="3"/>
    <n v="8.99"/>
  </r>
  <r>
    <s v="0 Original"/>
    <s v="(3051)"/>
    <n v="3051"/>
    <s v="2014-04-01 Nayda Shields(917)"/>
    <x v="41"/>
    <n v="4.99"/>
    <n v="1"/>
    <s v="www"/>
    <d v="2014-04-01T14:29:55"/>
    <d v="2014-04-01T00:00:00"/>
    <x v="3"/>
    <n v="4.99"/>
  </r>
  <r>
    <s v="0 Original"/>
    <s v="(3464)"/>
    <n v="3464"/>
    <s v="2014-04-01 Donovan Gomez(1045)"/>
    <x v="16"/>
    <n v="6.99"/>
    <n v="1"/>
    <s v="www"/>
    <d v="2014-04-01T18:31:00"/>
    <d v="2014-04-01T00:00:00"/>
    <x v="3"/>
    <n v="6.99"/>
  </r>
  <r>
    <s v="0 Original"/>
    <s v="(750)"/>
    <n v="750"/>
    <s v="2014-04-01 Alma Salas(213)"/>
    <x v="4"/>
    <n v="6.99"/>
    <n v="1"/>
    <s v="www"/>
    <d v="2014-04-01T19:16:40"/>
    <d v="2014-04-01T00:00:00"/>
    <x v="3"/>
    <n v="6.99"/>
  </r>
  <r>
    <s v="0 Original"/>
    <s v="(751)"/>
    <n v="751"/>
    <s v="2014-04-01 Alma Salas(213)"/>
    <x v="31"/>
    <n v="8.99"/>
    <n v="1"/>
    <s v="www"/>
    <d v="2014-04-01T19:16:40"/>
    <d v="2014-04-01T00:00:00"/>
    <x v="3"/>
    <n v="8.99"/>
  </r>
  <r>
    <s v="0 Original"/>
    <s v="(752)"/>
    <n v="752"/>
    <s v="2014-04-01 Alma Salas(213)"/>
    <x v="36"/>
    <n v="6.99"/>
    <n v="1"/>
    <s v="www"/>
    <d v="2014-04-01T19:16:40"/>
    <d v="2014-04-01T00:00:00"/>
    <x v="3"/>
    <n v="6.99"/>
  </r>
  <r>
    <s v="0 Original"/>
    <s v="(753)"/>
    <n v="753"/>
    <s v="2014-04-01 Alma Salas(213)"/>
    <x v="43"/>
    <n v="4.99"/>
    <n v="1"/>
    <s v="www"/>
    <d v="2014-04-01T19:16:40"/>
    <d v="2014-04-01T00:00:00"/>
    <x v="3"/>
    <n v="4.99"/>
  </r>
  <r>
    <s v="0 Original"/>
    <s v="(754)"/>
    <n v="754"/>
    <s v="2014-04-01 Alma Salas(213)"/>
    <x v="26"/>
    <n v="6.99"/>
    <n v="2"/>
    <s v="www"/>
    <d v="2014-04-01T19:16:40"/>
    <d v="2014-04-01T00:00:00"/>
    <x v="3"/>
    <n v="13.98"/>
  </r>
  <r>
    <s v="0 Original"/>
    <s v="(755)"/>
    <n v="755"/>
    <s v="2014-04-01 Alma Salas(213)"/>
    <x v="65"/>
    <n v="4.99"/>
    <n v="2"/>
    <s v="www"/>
    <d v="2014-04-01T19:16:40"/>
    <d v="2014-04-01T00:00:00"/>
    <x v="3"/>
    <n v="9.98"/>
  </r>
  <r>
    <s v="0 Original"/>
    <s v="(756)"/>
    <n v="756"/>
    <s v="2014-04-01 Alma Salas(213)"/>
    <x v="35"/>
    <n v="9.99"/>
    <n v="1"/>
    <s v="www"/>
    <d v="2014-04-01T19:16:40"/>
    <d v="2014-04-01T00:00:00"/>
    <x v="3"/>
    <n v="9.99"/>
  </r>
  <r>
    <s v="0 Original"/>
    <s v="(2880)"/>
    <n v="2880"/>
    <s v="2014-04-02 Cameron Rivera(866)"/>
    <x v="24"/>
    <n v="7.99"/>
    <n v="1"/>
    <s v="www"/>
    <d v="2014-04-02T13:35:17"/>
    <d v="2014-04-02T00:00:00"/>
    <x v="3"/>
    <n v="7.99"/>
  </r>
  <r>
    <s v="0 Original"/>
    <s v="(2881)"/>
    <n v="2881"/>
    <s v="2014-04-02 Cameron Rivera(866)"/>
    <x v="9"/>
    <n v="7.99"/>
    <n v="1"/>
    <s v="www"/>
    <d v="2014-04-02T13:35:17"/>
    <d v="2014-04-02T00:00:00"/>
    <x v="3"/>
    <n v="7.99"/>
  </r>
  <r>
    <s v="0 Original"/>
    <s v="(2972)"/>
    <n v="2972"/>
    <s v="2014-04-02 Prescott Nelson(894)"/>
    <x v="7"/>
    <n v="9.99"/>
    <n v="1"/>
    <s v="www"/>
    <d v="2014-04-02T18:35:31"/>
    <d v="2014-04-02T00:00:00"/>
    <x v="3"/>
    <n v="9.99"/>
  </r>
  <r>
    <s v="0 Original"/>
    <s v="(2973)"/>
    <n v="2973"/>
    <s v="2014-04-02 Prescott Nelson(894)"/>
    <x v="25"/>
    <n v="9.99"/>
    <n v="2"/>
    <s v="www"/>
    <d v="2014-04-02T18:35:31"/>
    <d v="2014-04-02T00:00:00"/>
    <x v="3"/>
    <n v="19.98"/>
  </r>
  <r>
    <s v="0 Original"/>
    <s v="(3848)"/>
    <n v="3848"/>
    <s v="2014-04-03 Christine Medina(1169)"/>
    <x v="41"/>
    <n v="4.99"/>
    <n v="1"/>
    <s v="www"/>
    <d v="2014-04-03T09:24:41"/>
    <d v="2014-04-03T00:00:00"/>
    <x v="3"/>
    <n v="4.99"/>
  </r>
  <r>
    <s v="0 Original"/>
    <s v="(3849)"/>
    <n v="3849"/>
    <s v="2014-04-03 Christine Medina(1169)"/>
    <x v="30"/>
    <n v="6.99"/>
    <n v="2"/>
    <s v="www"/>
    <d v="2014-04-03T09:24:41"/>
    <d v="2014-04-03T00:00:00"/>
    <x v="3"/>
    <n v="13.98"/>
  </r>
  <r>
    <s v="0 Original"/>
    <s v="(3850)"/>
    <n v="3850"/>
    <s v="2014-04-03 Christine Medina(1169)"/>
    <x v="8"/>
    <n v="4.99"/>
    <n v="2"/>
    <s v="www"/>
    <d v="2014-04-03T09:24:41"/>
    <d v="2014-04-03T00:00:00"/>
    <x v="3"/>
    <n v="9.98"/>
  </r>
  <r>
    <s v="0 Original"/>
    <s v="(3851)"/>
    <n v="3851"/>
    <s v="2014-04-03 Christine Medina(1169)"/>
    <x v="7"/>
    <n v="9.99"/>
    <n v="2"/>
    <s v="www"/>
    <d v="2014-04-03T09:24:41"/>
    <d v="2014-04-03T00:00:00"/>
    <x v="3"/>
    <n v="19.98"/>
  </r>
  <r>
    <s v="0 Original"/>
    <s v="(3852)"/>
    <n v="3852"/>
    <s v="2014-04-03 Christine Medina(1169)"/>
    <x v="6"/>
    <n v="5.99"/>
    <n v="1"/>
    <s v="www"/>
    <d v="2014-04-03T09:24:41"/>
    <d v="2014-04-03T00:00:00"/>
    <x v="3"/>
    <n v="5.99"/>
  </r>
  <r>
    <s v="0 Original"/>
    <s v="(3853)"/>
    <n v="3853"/>
    <s v="2014-04-03 Christine Medina(1169)"/>
    <x v="16"/>
    <n v="6.99"/>
    <n v="1"/>
    <s v="www"/>
    <d v="2014-04-03T09:24:41"/>
    <d v="2014-04-03T00:00:00"/>
    <x v="3"/>
    <n v="6.99"/>
  </r>
  <r>
    <s v="0 Original"/>
    <s v="(3854)"/>
    <n v="3854"/>
    <s v="2014-04-03 Christine Medina(1169)"/>
    <x v="23"/>
    <n v="9.99"/>
    <n v="1"/>
    <s v="www"/>
    <d v="2014-04-03T09:24:41"/>
    <d v="2014-04-03T00:00:00"/>
    <x v="3"/>
    <n v="9.99"/>
  </r>
  <r>
    <s v="0 Original"/>
    <s v="(2066)"/>
    <n v="2066"/>
    <s v="2014-04-03 Vivian Mendoza(609)"/>
    <x v="66"/>
    <n v="9.99"/>
    <n v="1"/>
    <s v="www"/>
    <d v="2014-04-03T21:42:25"/>
    <d v="2014-04-03T00:00:00"/>
    <x v="3"/>
    <n v="9.99"/>
  </r>
  <r>
    <s v="0 Original"/>
    <s v="(2248)"/>
    <n v="2248"/>
    <s v="2014-04-04 Gabriel Carlson(663)"/>
    <x v="43"/>
    <n v="4.99"/>
    <n v="1"/>
    <s v="www"/>
    <d v="2014-04-04T06:43:50"/>
    <d v="2014-04-04T00:00:00"/>
    <x v="3"/>
    <n v="4.99"/>
  </r>
  <r>
    <s v="0 Original"/>
    <s v="(2249)"/>
    <n v="2249"/>
    <s v="2014-04-04 Gabriel Carlson(663)"/>
    <x v="89"/>
    <n v="5.99"/>
    <n v="1"/>
    <s v="www"/>
    <d v="2014-04-04T06:43:50"/>
    <d v="2014-04-04T00:00:00"/>
    <x v="3"/>
    <n v="5.99"/>
  </r>
  <r>
    <s v="0 Original"/>
    <s v="(40)"/>
    <n v="40"/>
    <s v="2014-04-04 Ora Mann(13)"/>
    <x v="48"/>
    <n v="5.99"/>
    <n v="1"/>
    <s v="www"/>
    <d v="2014-04-04T19:44:52"/>
    <d v="2014-04-04T00:00:00"/>
    <x v="3"/>
    <n v="5.99"/>
  </r>
  <r>
    <s v="0 Original"/>
    <s v="(41)"/>
    <n v="41"/>
    <s v="2014-04-04 Ora Mann(13)"/>
    <x v="64"/>
    <n v="6.99"/>
    <n v="2"/>
    <s v="www"/>
    <d v="2014-04-04T19:44:52"/>
    <d v="2014-04-04T00:00:00"/>
    <x v="3"/>
    <n v="13.98"/>
  </r>
  <r>
    <s v="0 Original"/>
    <s v="(42)"/>
    <n v="42"/>
    <s v="2014-04-04 Ora Mann(13)"/>
    <x v="108"/>
    <n v="6.99"/>
    <n v="2"/>
    <s v="www"/>
    <d v="2014-04-04T19:44:52"/>
    <d v="2014-04-04T00:00:00"/>
    <x v="3"/>
    <n v="13.98"/>
  </r>
  <r>
    <s v="0 Original"/>
    <s v="(43)"/>
    <n v="43"/>
    <s v="2014-04-04 Ora Mann(13)"/>
    <x v="83"/>
    <n v="7.99"/>
    <n v="1"/>
    <s v="www"/>
    <d v="2014-04-04T19:44:52"/>
    <d v="2014-04-04T00:00:00"/>
    <x v="3"/>
    <n v="7.99"/>
  </r>
  <r>
    <s v="0 Original"/>
    <s v="(3940)"/>
    <n v="3940"/>
    <s v="2014-04-05 Christine Medina(1194)"/>
    <x v="6"/>
    <n v="5.99"/>
    <n v="2"/>
    <s v="www"/>
    <d v="2014-04-05T11:18:23"/>
    <d v="2014-04-05T00:00:00"/>
    <x v="3"/>
    <n v="11.98"/>
  </r>
  <r>
    <s v="0 Original"/>
    <s v="(3941)"/>
    <n v="3941"/>
    <s v="2014-04-05 Christine Medina(1194)"/>
    <x v="8"/>
    <n v="4.99"/>
    <n v="2"/>
    <s v="www"/>
    <d v="2014-04-05T11:18:23"/>
    <d v="2014-04-05T00:00:00"/>
    <x v="3"/>
    <n v="9.98"/>
  </r>
  <r>
    <s v="0 Original"/>
    <s v="(1074)"/>
    <n v="1074"/>
    <s v="2014-04-06 Zeus Trujillo(308)"/>
    <x v="43"/>
    <n v="4.99"/>
    <n v="1"/>
    <s v="www"/>
    <d v="2014-04-06T05:34:40"/>
    <d v="2014-04-06T00:00:00"/>
    <x v="3"/>
    <n v="4.99"/>
  </r>
  <r>
    <s v="0 Original"/>
    <s v="(1075)"/>
    <n v="1075"/>
    <s v="2014-04-06 Zeus Trujillo(308)"/>
    <x v="2"/>
    <n v="7.99"/>
    <n v="1"/>
    <s v="www"/>
    <d v="2014-04-06T05:34:40"/>
    <d v="2014-04-06T00:00:00"/>
    <x v="3"/>
    <n v="7.99"/>
  </r>
  <r>
    <s v="0 Original"/>
    <s v="(1076)"/>
    <n v="1076"/>
    <s v="2014-04-06 Zeus Trujillo(308)"/>
    <x v="20"/>
    <n v="7.99"/>
    <n v="2"/>
    <s v="www"/>
    <d v="2014-04-06T05:34:40"/>
    <d v="2014-04-06T00:00:00"/>
    <x v="3"/>
    <n v="15.98"/>
  </r>
  <r>
    <s v="0 Original"/>
    <s v="(1077)"/>
    <n v="1077"/>
    <s v="2014-04-06 Zeus Trujillo(308)"/>
    <x v="20"/>
    <n v="7.99"/>
    <n v="1"/>
    <s v="www"/>
    <d v="2014-04-06T05:34:40"/>
    <d v="2014-04-06T00:00:00"/>
    <x v="3"/>
    <n v="7.99"/>
  </r>
  <r>
    <s v="0 Original"/>
    <s v="(1078)"/>
    <n v="1078"/>
    <s v="2014-04-06 Zeus Trujillo(308)"/>
    <x v="14"/>
    <n v="7.99"/>
    <n v="2"/>
    <s v="www"/>
    <d v="2014-04-06T05:34:40"/>
    <d v="2014-04-06T00:00:00"/>
    <x v="3"/>
    <n v="15.98"/>
  </r>
  <r>
    <s v="0 Original"/>
    <s v="(2118)"/>
    <n v="2118"/>
    <s v="2014-04-06 Angelica Ortiz(623)"/>
    <x v="15"/>
    <n v="8.99"/>
    <n v="2"/>
    <s v="www"/>
    <d v="2014-04-06T05:57:53"/>
    <d v="2014-04-06T00:00:00"/>
    <x v="3"/>
    <n v="17.98"/>
  </r>
  <r>
    <s v="0 Original"/>
    <s v="(2119)"/>
    <n v="2119"/>
    <s v="2014-04-06 Angelica Ortiz(623)"/>
    <x v="2"/>
    <n v="7.99"/>
    <n v="2"/>
    <s v="www"/>
    <d v="2014-04-06T05:57:53"/>
    <d v="2014-04-06T00:00:00"/>
    <x v="3"/>
    <n v="15.98"/>
  </r>
  <r>
    <s v="0 Original"/>
    <s v="(2120)"/>
    <n v="2120"/>
    <s v="2014-04-06 Angelica Ortiz(623)"/>
    <x v="26"/>
    <n v="6.99"/>
    <n v="1"/>
    <s v="www"/>
    <d v="2014-04-06T05:57:53"/>
    <d v="2014-04-06T00:00:00"/>
    <x v="3"/>
    <n v="6.99"/>
  </r>
  <r>
    <s v="0 Original"/>
    <s v="(2382)"/>
    <n v="2382"/>
    <s v="2014-04-06 Christine Medina(711)"/>
    <x v="8"/>
    <n v="4.99"/>
    <n v="1"/>
    <s v="www"/>
    <d v="2014-04-06T13:03:11"/>
    <d v="2014-04-06T00:00:00"/>
    <x v="3"/>
    <n v="4.99"/>
  </r>
  <r>
    <s v="0 Original"/>
    <s v="(2383)"/>
    <n v="2383"/>
    <s v="2014-04-06 Christine Medina(711)"/>
    <x v="25"/>
    <n v="9.99"/>
    <n v="1"/>
    <s v="www"/>
    <d v="2014-04-06T13:03:11"/>
    <d v="2014-04-06T00:00:00"/>
    <x v="3"/>
    <n v="9.99"/>
  </r>
  <r>
    <s v="0 Original"/>
    <s v="(2384)"/>
    <n v="2384"/>
    <s v="2014-04-06 Christine Medina(711)"/>
    <x v="30"/>
    <n v="6.99"/>
    <n v="1"/>
    <s v="www"/>
    <d v="2014-04-06T13:03:11"/>
    <d v="2014-04-06T00:00:00"/>
    <x v="3"/>
    <n v="6.99"/>
  </r>
  <r>
    <s v="0 Original"/>
    <s v="(2385)"/>
    <n v="2385"/>
    <s v="2014-04-06 Christine Medina(711)"/>
    <x v="23"/>
    <n v="9.99"/>
    <n v="1"/>
    <s v="www"/>
    <d v="2014-04-06T13:03:11"/>
    <d v="2014-04-06T00:00:00"/>
    <x v="3"/>
    <n v="9.99"/>
  </r>
  <r>
    <s v="0 Original"/>
    <s v="(2386)"/>
    <n v="2386"/>
    <s v="2014-04-06 Christine Medina(711)"/>
    <x v="30"/>
    <n v="6.99"/>
    <n v="2"/>
    <s v="www"/>
    <d v="2014-04-06T13:03:11"/>
    <d v="2014-04-06T00:00:00"/>
    <x v="3"/>
    <n v="13.98"/>
  </r>
  <r>
    <s v="0 Original"/>
    <s v="(80)"/>
    <n v="80"/>
    <s v="2014-04-07 Dane Stafford(25)"/>
    <x v="109"/>
    <n v="4.99"/>
    <n v="2"/>
    <s v="www"/>
    <d v="2014-04-07T00:31:57"/>
    <d v="2014-04-07T00:00:00"/>
    <x v="3"/>
    <n v="9.98"/>
  </r>
  <r>
    <s v="0 Original"/>
    <s v="(81)"/>
    <n v="81"/>
    <s v="2014-04-07 Dane Stafford(25)"/>
    <x v="110"/>
    <n v="8.99"/>
    <n v="1"/>
    <s v="www"/>
    <d v="2014-04-07T00:31:57"/>
    <d v="2014-04-07T00:00:00"/>
    <x v="3"/>
    <n v="8.99"/>
  </r>
  <r>
    <s v="0 Original"/>
    <s v="(82)"/>
    <n v="82"/>
    <s v="2014-04-07 Dane Stafford(25)"/>
    <x v="110"/>
    <n v="8.99"/>
    <n v="2"/>
    <s v="www"/>
    <d v="2014-04-07T00:31:57"/>
    <d v="2014-04-07T00:00:00"/>
    <x v="3"/>
    <n v="17.98"/>
  </r>
  <r>
    <s v="0 Original"/>
    <s v="(83)"/>
    <n v="83"/>
    <s v="2014-04-07 Dane Stafford(25)"/>
    <x v="111"/>
    <n v="4.99"/>
    <n v="2"/>
    <s v="www"/>
    <d v="2014-04-07T00:31:57"/>
    <d v="2014-04-07T00:00:00"/>
    <x v="3"/>
    <n v="9.98"/>
  </r>
  <r>
    <s v="0 Original"/>
    <s v="(84)"/>
    <n v="84"/>
    <s v="2014-04-07 Dane Stafford(25)"/>
    <x v="112"/>
    <n v="8.99"/>
    <n v="1"/>
    <s v="www"/>
    <d v="2014-04-07T00:31:57"/>
    <d v="2014-04-07T00:00:00"/>
    <x v="3"/>
    <n v="8.99"/>
  </r>
  <r>
    <s v="0 Original"/>
    <s v="(978)"/>
    <n v="978"/>
    <s v="2014-04-08 Iona Simpson(278)"/>
    <x v="2"/>
    <n v="7.99"/>
    <n v="1"/>
    <s v="www"/>
    <d v="2014-04-08T02:00:30"/>
    <d v="2014-04-08T00:00:00"/>
    <x v="3"/>
    <n v="7.99"/>
  </r>
  <r>
    <s v="0 Original"/>
    <s v="(979)"/>
    <n v="979"/>
    <s v="2014-04-08 Iona Simpson(278)"/>
    <x v="43"/>
    <n v="4.99"/>
    <n v="1"/>
    <s v="www"/>
    <d v="2014-04-08T02:00:30"/>
    <d v="2014-04-08T00:00:00"/>
    <x v="3"/>
    <n v="4.99"/>
  </r>
  <r>
    <s v="0 Original"/>
    <s v="(980)"/>
    <n v="980"/>
    <s v="2014-04-08 Iona Simpson(278)"/>
    <x v="22"/>
    <n v="6.99"/>
    <n v="1"/>
    <s v="www"/>
    <d v="2014-04-08T02:00:30"/>
    <d v="2014-04-08T00:00:00"/>
    <x v="3"/>
    <n v="6.99"/>
  </r>
  <r>
    <s v="0 Original"/>
    <s v="(1035)"/>
    <n v="1035"/>
    <s v="2014-04-08 Clio Carter(294)"/>
    <x v="33"/>
    <n v="4.99"/>
    <n v="2"/>
    <s v="www"/>
    <d v="2014-04-08T19:53:59"/>
    <d v="2014-04-08T00:00:00"/>
    <x v="3"/>
    <n v="9.98"/>
  </r>
  <r>
    <s v="0 Original"/>
    <s v="(1036)"/>
    <n v="1036"/>
    <s v="2014-04-08 Clio Carter(294)"/>
    <x v="107"/>
    <n v="8.99"/>
    <n v="1"/>
    <s v="www"/>
    <d v="2014-04-08T19:53:59"/>
    <d v="2014-04-08T00:00:00"/>
    <x v="3"/>
    <n v="8.99"/>
  </r>
  <r>
    <s v="0 Original"/>
    <s v="(1037)"/>
    <n v="1037"/>
    <s v="2014-04-08 Clio Carter(294)"/>
    <x v="0"/>
    <n v="9.99"/>
    <n v="1"/>
    <s v="www"/>
    <d v="2014-04-08T19:53:59"/>
    <d v="2014-04-08T00:00:00"/>
    <x v="3"/>
    <n v="9.99"/>
  </r>
  <r>
    <s v="0 Original"/>
    <s v="(1038)"/>
    <n v="1038"/>
    <s v="2014-04-08 Clio Carter(294)"/>
    <x v="107"/>
    <n v="8.99"/>
    <n v="1"/>
    <s v="www"/>
    <d v="2014-04-08T19:53:59"/>
    <d v="2014-04-08T00:00:00"/>
    <x v="3"/>
    <n v="8.99"/>
  </r>
  <r>
    <s v="0 Original"/>
    <s v="(1708)"/>
    <n v="1708"/>
    <s v="2014-04-11 Mariko Cameron(502)"/>
    <x v="36"/>
    <n v="6.99"/>
    <n v="2"/>
    <s v="www"/>
    <d v="2014-04-11T21:58:05"/>
    <d v="2014-04-11T00:00:00"/>
    <x v="3"/>
    <n v="13.98"/>
  </r>
  <r>
    <s v="0 Original"/>
    <s v="(1709)"/>
    <n v="1709"/>
    <s v="2014-04-11 Mariko Cameron(502)"/>
    <x v="33"/>
    <n v="4.99"/>
    <n v="2"/>
    <s v="www"/>
    <d v="2014-04-11T21:58:05"/>
    <d v="2014-04-11T00:00:00"/>
    <x v="3"/>
    <n v="9.98"/>
  </r>
  <r>
    <s v="0 Original"/>
    <s v="(1710)"/>
    <n v="1710"/>
    <s v="2014-04-11 Mariko Cameron(502)"/>
    <x v="20"/>
    <n v="7.99"/>
    <n v="1"/>
    <s v="www"/>
    <d v="2014-04-11T21:58:05"/>
    <d v="2014-04-11T00:00:00"/>
    <x v="3"/>
    <n v="7.99"/>
  </r>
  <r>
    <s v="0 Original"/>
    <s v="(2089)"/>
    <n v="2089"/>
    <s v="2014-04-12 Blossom Mosley(616)"/>
    <x v="44"/>
    <n v="9.99"/>
    <n v="1"/>
    <s v="www"/>
    <d v="2014-04-12T04:06:35"/>
    <d v="2014-04-12T00:00:00"/>
    <x v="3"/>
    <n v="9.99"/>
  </r>
  <r>
    <s v="0 Original"/>
    <s v="(2090)"/>
    <n v="2090"/>
    <s v="2014-04-12 Blossom Mosley(616)"/>
    <x v="12"/>
    <n v="8.99"/>
    <n v="1"/>
    <s v="www"/>
    <d v="2014-04-12T04:06:35"/>
    <d v="2014-04-12T00:00:00"/>
    <x v="3"/>
    <n v="8.99"/>
  </r>
  <r>
    <s v="0 Original"/>
    <s v="(2091)"/>
    <n v="2091"/>
    <s v="2014-04-12 Blossom Mosley(616)"/>
    <x v="6"/>
    <n v="5.99"/>
    <n v="1"/>
    <s v="www"/>
    <d v="2014-04-12T04:06:35"/>
    <d v="2014-04-12T00:00:00"/>
    <x v="3"/>
    <n v="5.99"/>
  </r>
  <r>
    <s v="0 Original"/>
    <s v="(2092)"/>
    <n v="2092"/>
    <s v="2014-04-12 Blossom Mosley(616)"/>
    <x v="46"/>
    <n v="5.99"/>
    <n v="1"/>
    <s v="www"/>
    <d v="2014-04-12T04:06:35"/>
    <d v="2014-04-12T00:00:00"/>
    <x v="3"/>
    <n v="5.99"/>
  </r>
  <r>
    <s v="0 Original"/>
    <s v="(2093)"/>
    <n v="2093"/>
    <s v="2014-04-12 Blossom Mosley(616)"/>
    <x v="57"/>
    <n v="4.99"/>
    <n v="2"/>
    <s v="www"/>
    <d v="2014-04-12T04:06:35"/>
    <d v="2014-04-12T00:00:00"/>
    <x v="3"/>
    <n v="9.98"/>
  </r>
  <r>
    <s v="0 Original"/>
    <s v="(2094)"/>
    <n v="2094"/>
    <s v="2014-04-12 Blossom Mosley(616)"/>
    <x v="28"/>
    <n v="5.99"/>
    <n v="1"/>
    <s v="www"/>
    <d v="2014-04-12T04:06:35"/>
    <d v="2014-04-12T00:00:00"/>
    <x v="3"/>
    <n v="5.99"/>
  </r>
  <r>
    <s v="0 Original"/>
    <s v="(2060)"/>
    <n v="2060"/>
    <s v="2014-04-12 Kendall Rocha(608)"/>
    <x v="89"/>
    <n v="5.99"/>
    <n v="1"/>
    <s v="www"/>
    <d v="2014-04-12T07:55:38"/>
    <d v="2014-04-12T00:00:00"/>
    <x v="3"/>
    <n v="5.99"/>
  </r>
  <r>
    <s v="0 Original"/>
    <s v="(2061)"/>
    <n v="2061"/>
    <s v="2014-04-12 Kendall Rocha(608)"/>
    <x v="42"/>
    <n v="5.99"/>
    <n v="1"/>
    <s v="www"/>
    <d v="2014-04-12T07:55:38"/>
    <d v="2014-04-12T00:00:00"/>
    <x v="3"/>
    <n v="5.99"/>
  </r>
  <r>
    <s v="0 Original"/>
    <s v="(2062)"/>
    <n v="2062"/>
    <s v="2014-04-12 Kendall Rocha(608)"/>
    <x v="27"/>
    <n v="9.99"/>
    <n v="1"/>
    <s v="www"/>
    <d v="2014-04-12T07:55:38"/>
    <d v="2014-04-12T00:00:00"/>
    <x v="3"/>
    <n v="9.99"/>
  </r>
  <r>
    <s v="0 Original"/>
    <s v="(2063)"/>
    <n v="2063"/>
    <s v="2014-04-12 Kendall Rocha(608)"/>
    <x v="49"/>
    <n v="8.99"/>
    <n v="2"/>
    <s v="www"/>
    <d v="2014-04-12T07:55:38"/>
    <d v="2014-04-12T00:00:00"/>
    <x v="3"/>
    <n v="17.98"/>
  </r>
  <r>
    <s v="0 Original"/>
    <s v="(2064)"/>
    <n v="2064"/>
    <s v="2014-04-12 Kendall Rocha(608)"/>
    <x v="17"/>
    <n v="9.99"/>
    <n v="2"/>
    <s v="www"/>
    <d v="2014-04-12T07:55:38"/>
    <d v="2014-04-12T00:00:00"/>
    <x v="3"/>
    <n v="19.98"/>
  </r>
  <r>
    <s v="0 Original"/>
    <s v="(2065)"/>
    <n v="2065"/>
    <s v="2014-04-12 Kendall Rocha(608)"/>
    <x v="7"/>
    <n v="9.99"/>
    <n v="2"/>
    <s v="www"/>
    <d v="2014-04-12T07:55:38"/>
    <d v="2014-04-12T00:00:00"/>
    <x v="3"/>
    <n v="19.98"/>
  </r>
  <r>
    <s v="0 Original"/>
    <s v="(1217)"/>
    <n v="1217"/>
    <s v="2014-04-12 Tate Lowery(356)"/>
    <x v="0"/>
    <n v="9.99"/>
    <n v="2"/>
    <s v="www"/>
    <d v="2014-04-12T11:19:10"/>
    <d v="2014-04-12T00:00:00"/>
    <x v="3"/>
    <n v="19.98"/>
  </r>
  <r>
    <s v="0 Original"/>
    <s v="(1218)"/>
    <n v="1218"/>
    <s v="2014-04-12 Tate Lowery(356)"/>
    <x v="59"/>
    <n v="6.99"/>
    <n v="2"/>
    <s v="www"/>
    <d v="2014-04-12T11:19:10"/>
    <d v="2014-04-12T00:00:00"/>
    <x v="3"/>
    <n v="13.98"/>
  </r>
  <r>
    <s v="0 Original"/>
    <s v="(1219)"/>
    <n v="1219"/>
    <s v="2014-04-12 Tate Lowery(356)"/>
    <x v="65"/>
    <n v="4.99"/>
    <n v="1"/>
    <s v="www"/>
    <d v="2014-04-12T11:19:10"/>
    <d v="2014-04-12T00:00:00"/>
    <x v="3"/>
    <n v="4.99"/>
  </r>
  <r>
    <s v="0 Original"/>
    <s v="(1220)"/>
    <n v="1220"/>
    <s v="2014-04-12 Tate Lowery(356)"/>
    <x v="43"/>
    <n v="4.99"/>
    <n v="1"/>
    <s v="www"/>
    <d v="2014-04-12T11:19:10"/>
    <d v="2014-04-12T00:00:00"/>
    <x v="3"/>
    <n v="4.99"/>
  </r>
  <r>
    <s v="0 Original"/>
    <s v="(1221)"/>
    <n v="1221"/>
    <s v="2014-04-12 Tate Lowery(356)"/>
    <x v="86"/>
    <n v="9.99"/>
    <n v="1"/>
    <s v="www"/>
    <d v="2014-04-12T11:19:10"/>
    <d v="2014-04-12T00:00:00"/>
    <x v="3"/>
    <n v="9.99"/>
  </r>
  <r>
    <s v="0 Original"/>
    <s v="(895)"/>
    <n v="895"/>
    <s v="2014-04-13 Iona Simpson(255)"/>
    <x v="86"/>
    <n v="9.99"/>
    <n v="2"/>
    <s v="www"/>
    <d v="2014-04-13T09:10:18"/>
    <d v="2014-04-13T00:00:00"/>
    <x v="3"/>
    <n v="19.98"/>
  </r>
  <r>
    <s v="0 Original"/>
    <s v="(100)"/>
    <n v="100"/>
    <s v="2014-04-14 Irene Carver(30)"/>
    <x v="113"/>
    <n v="9.99"/>
    <n v="2"/>
    <s v="www"/>
    <d v="2014-04-14T01:42:10"/>
    <d v="2014-04-14T00:00:00"/>
    <x v="3"/>
    <n v="19.98"/>
  </r>
  <r>
    <s v="0 Original"/>
    <s v="(101)"/>
    <n v="101"/>
    <s v="2014-04-14 Irene Carver(30)"/>
    <x v="105"/>
    <n v="4.99"/>
    <n v="1"/>
    <s v="www"/>
    <d v="2014-04-14T01:42:10"/>
    <d v="2014-04-14T00:00:00"/>
    <x v="3"/>
    <n v="4.99"/>
  </r>
  <r>
    <s v="0 Original"/>
    <s v="(2727)"/>
    <n v="2727"/>
    <s v="2014-04-14 Bernard Cash(821)"/>
    <x v="30"/>
    <n v="6.99"/>
    <n v="2"/>
    <s v="www"/>
    <d v="2014-04-14T22:29:50"/>
    <d v="2014-04-14T00:00:00"/>
    <x v="3"/>
    <n v="13.98"/>
  </r>
  <r>
    <s v="0 Original"/>
    <s v="(2728)"/>
    <n v="2728"/>
    <s v="2014-04-14 Bernard Cash(821)"/>
    <x v="24"/>
    <n v="7.99"/>
    <n v="1"/>
    <s v="www"/>
    <d v="2014-04-14T22:29:50"/>
    <d v="2014-04-14T00:00:00"/>
    <x v="3"/>
    <n v="7.99"/>
  </r>
  <r>
    <s v="0 Original"/>
    <s v="(2729)"/>
    <n v="2729"/>
    <s v="2014-04-14 Bernard Cash(821)"/>
    <x v="7"/>
    <n v="9.99"/>
    <n v="1"/>
    <s v="www"/>
    <d v="2014-04-14T22:29:50"/>
    <d v="2014-04-14T00:00:00"/>
    <x v="3"/>
    <n v="9.99"/>
  </r>
  <r>
    <s v="0 Original"/>
    <s v="(2730)"/>
    <n v="2730"/>
    <s v="2014-04-14 Bernard Cash(821)"/>
    <x v="30"/>
    <n v="6.99"/>
    <n v="1"/>
    <s v="www"/>
    <d v="2014-04-14T22:29:50"/>
    <d v="2014-04-14T00:00:00"/>
    <x v="3"/>
    <n v="6.99"/>
  </r>
  <r>
    <s v="0 Original"/>
    <s v="(62)"/>
    <n v="62"/>
    <s v="2014-04-15 Claudia Crane(20)"/>
    <x v="7"/>
    <n v="9.99"/>
    <n v="1"/>
    <s v="www"/>
    <d v="2014-04-15T01:35:11"/>
    <d v="2014-04-15T00:00:00"/>
    <x v="3"/>
    <n v="9.99"/>
  </r>
  <r>
    <s v="0 Original"/>
    <s v="(63)"/>
    <n v="63"/>
    <s v="2014-04-15 Claudia Crane(20)"/>
    <x v="114"/>
    <n v="8.99"/>
    <n v="1"/>
    <s v="www"/>
    <d v="2014-04-15T01:35:11"/>
    <d v="2014-04-15T00:00:00"/>
    <x v="3"/>
    <n v="8.99"/>
  </r>
  <r>
    <s v="0 Original"/>
    <s v="(64)"/>
    <n v="64"/>
    <s v="2014-04-15 Claudia Crane(20)"/>
    <x v="115"/>
    <n v="8.99"/>
    <n v="2"/>
    <s v="www"/>
    <d v="2014-04-15T01:35:11"/>
    <d v="2014-04-15T00:00:00"/>
    <x v="3"/>
    <n v="17.98"/>
  </r>
  <r>
    <s v="0 Original"/>
    <s v="(65)"/>
    <n v="65"/>
    <s v="2014-04-15 Claudia Crane(20)"/>
    <x v="116"/>
    <n v="6.99"/>
    <n v="1"/>
    <s v="www"/>
    <d v="2014-04-15T01:35:11"/>
    <d v="2014-04-15T00:00:00"/>
    <x v="3"/>
    <n v="6.99"/>
  </r>
  <r>
    <s v="0 Original"/>
    <s v="(66)"/>
    <n v="66"/>
    <s v="2014-04-15 Claudia Crane(20)"/>
    <x v="117"/>
    <n v="5.99"/>
    <n v="1"/>
    <s v="www"/>
    <d v="2014-04-15T01:35:11"/>
    <d v="2014-04-15T00:00:00"/>
    <x v="3"/>
    <n v="5.99"/>
  </r>
  <r>
    <s v="0 Original"/>
    <s v="(67)"/>
    <n v="67"/>
    <s v="2014-04-15 Claudia Crane(20)"/>
    <x v="17"/>
    <n v="9.99"/>
    <n v="1"/>
    <s v="www"/>
    <d v="2014-04-15T01:35:11"/>
    <d v="2014-04-15T00:00:00"/>
    <x v="3"/>
    <n v="9.99"/>
  </r>
  <r>
    <s v="0 Original"/>
    <s v="(68)"/>
    <n v="68"/>
    <s v="2014-04-15 Claudia Crane(20)"/>
    <x v="118"/>
    <n v="5.99"/>
    <n v="1"/>
    <s v="www"/>
    <d v="2014-04-15T01:35:11"/>
    <d v="2014-04-15T00:00:00"/>
    <x v="3"/>
    <n v="5.99"/>
  </r>
  <r>
    <s v="0 Original"/>
    <s v="(69)"/>
    <n v="69"/>
    <s v="2014-04-15 Claudia Crane(20)"/>
    <x v="79"/>
    <n v="8.99"/>
    <n v="2"/>
    <s v="www"/>
    <d v="2014-04-15T01:35:11"/>
    <d v="2014-04-15T00:00:00"/>
    <x v="3"/>
    <n v="17.98"/>
  </r>
  <r>
    <s v="0 Original"/>
    <s v="(595)"/>
    <n v="595"/>
    <s v="2014-04-15 Adrienne Sandoval(170)"/>
    <x v="119"/>
    <n v="4.99"/>
    <n v="2"/>
    <s v="www"/>
    <d v="2014-04-15T03:24:48"/>
    <d v="2014-04-15T00:00:00"/>
    <x v="3"/>
    <n v="9.98"/>
  </r>
  <r>
    <s v="0 Original"/>
    <s v="(596)"/>
    <n v="596"/>
    <s v="2014-04-15 Adrienne Sandoval(170)"/>
    <x v="120"/>
    <n v="5.99"/>
    <n v="2"/>
    <s v="www"/>
    <d v="2014-04-15T03:24:48"/>
    <d v="2014-04-15T00:00:00"/>
    <x v="3"/>
    <n v="11.98"/>
  </r>
  <r>
    <s v="0 Original"/>
    <s v="(597)"/>
    <n v="597"/>
    <s v="2014-04-15 Adrienne Sandoval(170)"/>
    <x v="94"/>
    <n v="7.99"/>
    <n v="1"/>
    <s v="www"/>
    <d v="2014-04-15T03:24:48"/>
    <d v="2014-04-15T00:00:00"/>
    <x v="3"/>
    <n v="7.99"/>
  </r>
  <r>
    <s v="0 Original"/>
    <s v="(598)"/>
    <n v="598"/>
    <s v="2014-04-15 Adrienne Sandoval(170)"/>
    <x v="88"/>
    <n v="5.99"/>
    <n v="1"/>
    <s v="www"/>
    <d v="2014-04-15T03:24:48"/>
    <d v="2014-04-15T00:00:00"/>
    <x v="3"/>
    <n v="5.99"/>
  </r>
  <r>
    <s v="0 Original"/>
    <s v="(3138)"/>
    <n v="3138"/>
    <s v="2014-04-16 Ora Mann(946)"/>
    <x v="23"/>
    <n v="9.99"/>
    <n v="1"/>
    <s v="www"/>
    <d v="2014-04-16T11:57:24"/>
    <d v="2014-04-16T00:00:00"/>
    <x v="3"/>
    <n v="9.99"/>
  </r>
  <r>
    <s v="0 Original"/>
    <s v="(3139)"/>
    <n v="3139"/>
    <s v="2014-04-16 Ora Mann(946)"/>
    <x v="9"/>
    <n v="7.99"/>
    <n v="1"/>
    <s v="www"/>
    <d v="2014-04-16T11:57:24"/>
    <d v="2014-04-16T00:00:00"/>
    <x v="3"/>
    <n v="7.99"/>
  </r>
  <r>
    <s v="0 Original"/>
    <s v="(3140)"/>
    <n v="3140"/>
    <s v="2014-04-16 Ora Mann(946)"/>
    <x v="7"/>
    <n v="9.99"/>
    <n v="1"/>
    <s v="www"/>
    <d v="2014-04-16T11:57:24"/>
    <d v="2014-04-16T00:00:00"/>
    <x v="3"/>
    <n v="9.99"/>
  </r>
  <r>
    <s v="0 Original"/>
    <s v="(2687)"/>
    <n v="2687"/>
    <s v="2014-04-16 Donovan Gomez(811)"/>
    <x v="9"/>
    <n v="7.99"/>
    <n v="1"/>
    <s v="www"/>
    <d v="2014-04-16T14:10:34"/>
    <d v="2014-04-16T00:00:00"/>
    <x v="3"/>
    <n v="7.99"/>
  </r>
  <r>
    <s v="0 Original"/>
    <s v="(2688)"/>
    <n v="2688"/>
    <s v="2014-04-16 Donovan Gomez(811)"/>
    <x v="8"/>
    <n v="4.99"/>
    <n v="2"/>
    <s v="www"/>
    <d v="2014-04-16T14:10:34"/>
    <d v="2014-04-16T00:00:00"/>
    <x v="3"/>
    <n v="9.98"/>
  </r>
  <r>
    <s v="0 Original"/>
    <s v="(2980)"/>
    <n v="2980"/>
    <s v="2014-04-17 John Drake(897)"/>
    <x v="41"/>
    <n v="4.99"/>
    <n v="1"/>
    <s v="www"/>
    <d v="2014-04-17T06:00:22"/>
    <d v="2014-04-17T00:00:00"/>
    <x v="3"/>
    <n v="4.99"/>
  </r>
  <r>
    <s v="0 Original"/>
    <s v="(2981)"/>
    <n v="2981"/>
    <s v="2014-04-17 John Drake(897)"/>
    <x v="16"/>
    <n v="6.99"/>
    <n v="1"/>
    <s v="www"/>
    <d v="2014-04-17T06:00:22"/>
    <d v="2014-04-17T00:00:00"/>
    <x v="3"/>
    <n v="6.99"/>
  </r>
  <r>
    <s v="0 Original"/>
    <s v="(2586)"/>
    <n v="2586"/>
    <s v="2014-04-17 Ora Mann(779)"/>
    <x v="16"/>
    <n v="6.99"/>
    <n v="1"/>
    <s v="www"/>
    <d v="2014-04-17T08:22:35"/>
    <d v="2014-04-17T00:00:00"/>
    <x v="3"/>
    <n v="6.99"/>
  </r>
  <r>
    <s v="0 Original"/>
    <s v="(2587)"/>
    <n v="2587"/>
    <s v="2014-04-17 Ora Mann(779)"/>
    <x v="7"/>
    <n v="9.99"/>
    <n v="1"/>
    <s v="www"/>
    <d v="2014-04-17T08:22:35"/>
    <d v="2014-04-17T00:00:00"/>
    <x v="3"/>
    <n v="9.99"/>
  </r>
  <r>
    <s v="0 Original"/>
    <s v="(371)"/>
    <n v="371"/>
    <s v="2014-04-17 Iona Simpson(101)"/>
    <x v="121"/>
    <n v="8.99"/>
    <n v="2"/>
    <s v="www"/>
    <d v="2014-04-17T12:29:15"/>
    <d v="2014-04-17T00:00:00"/>
    <x v="3"/>
    <n v="17.98"/>
  </r>
  <r>
    <s v="0 Original"/>
    <s v="(352)"/>
    <n v="352"/>
    <s v="2014-04-18 Cadman Huffman(95)"/>
    <x v="122"/>
    <n v="6.99"/>
    <n v="2"/>
    <s v="www"/>
    <d v="2014-04-18T11:21:27"/>
    <d v="2014-04-18T00:00:00"/>
    <x v="3"/>
    <n v="13.98"/>
  </r>
  <r>
    <s v="0 Original"/>
    <s v="(353)"/>
    <n v="353"/>
    <s v="2014-04-18 Cadman Huffman(95)"/>
    <x v="49"/>
    <n v="8.99"/>
    <n v="1"/>
    <s v="www"/>
    <d v="2014-04-18T11:21:27"/>
    <d v="2014-04-18T00:00:00"/>
    <x v="3"/>
    <n v="8.99"/>
  </r>
  <r>
    <s v="0 Original"/>
    <s v="(652)"/>
    <n v="652"/>
    <s v="2014-04-18 Stuart Vega(183)"/>
    <x v="6"/>
    <n v="5.99"/>
    <n v="1"/>
    <s v="www"/>
    <d v="2014-04-18T13:08:16"/>
    <d v="2014-04-18T00:00:00"/>
    <x v="3"/>
    <n v="5.99"/>
  </r>
  <r>
    <s v="0 Original"/>
    <s v="(653)"/>
    <n v="653"/>
    <s v="2014-04-18 Stuart Vega(183)"/>
    <x v="123"/>
    <n v="5.99"/>
    <n v="1"/>
    <s v="www"/>
    <d v="2014-04-18T13:08:16"/>
    <d v="2014-04-18T00:00:00"/>
    <x v="3"/>
    <n v="5.99"/>
  </r>
  <r>
    <s v="0 Original"/>
    <s v="(654)"/>
    <n v="654"/>
    <s v="2014-04-18 Stuart Vega(183)"/>
    <x v="104"/>
    <n v="4.99"/>
    <n v="1"/>
    <s v="www"/>
    <d v="2014-04-18T13:08:16"/>
    <d v="2014-04-18T00:00:00"/>
    <x v="3"/>
    <n v="4.99"/>
  </r>
  <r>
    <s v="0 Original"/>
    <s v="(655)"/>
    <n v="655"/>
    <s v="2014-04-18 Stuart Vega(183)"/>
    <x v="124"/>
    <n v="6.99"/>
    <n v="2"/>
    <s v="www"/>
    <d v="2014-04-18T13:08:16"/>
    <d v="2014-04-18T00:00:00"/>
    <x v="3"/>
    <n v="13.98"/>
  </r>
  <r>
    <s v="0 Original"/>
    <s v="(1839)"/>
    <n v="1839"/>
    <s v="2014-04-18 Ulysses Hudson(538)"/>
    <x v="5"/>
    <n v="9.99"/>
    <n v="1"/>
    <s v="www"/>
    <d v="2014-04-18T20:25:01"/>
    <d v="2014-04-18T00:00:00"/>
    <x v="3"/>
    <n v="9.99"/>
  </r>
  <r>
    <s v="0 Original"/>
    <s v="(1840)"/>
    <n v="1840"/>
    <s v="2014-04-18 Ulysses Hudson(538)"/>
    <x v="28"/>
    <n v="5.99"/>
    <n v="1"/>
    <s v="www"/>
    <d v="2014-04-18T20:25:01"/>
    <d v="2014-04-18T00:00:00"/>
    <x v="3"/>
    <n v="5.99"/>
  </r>
  <r>
    <s v="0 Original"/>
    <s v="(1841)"/>
    <n v="1841"/>
    <s v="2014-04-18 Ulysses Hudson(538)"/>
    <x v="10"/>
    <n v="8.99"/>
    <n v="1"/>
    <s v="www"/>
    <d v="2014-04-18T20:25:01"/>
    <d v="2014-04-18T00:00:00"/>
    <x v="3"/>
    <n v="8.99"/>
  </r>
  <r>
    <s v="0 Original"/>
    <s v="(1842)"/>
    <n v="1842"/>
    <s v="2014-04-18 Ulysses Hudson(538)"/>
    <x v="29"/>
    <n v="4.99"/>
    <n v="2"/>
    <s v="www"/>
    <d v="2014-04-18T20:25:01"/>
    <d v="2014-04-18T00:00:00"/>
    <x v="3"/>
    <n v="9.98"/>
  </r>
  <r>
    <s v="0 Original"/>
    <s v="(1843)"/>
    <n v="1843"/>
    <s v="2014-04-18 Ulysses Hudson(538)"/>
    <x v="38"/>
    <n v="6.99"/>
    <n v="2"/>
    <s v="www"/>
    <d v="2014-04-18T20:25:01"/>
    <d v="2014-04-18T00:00:00"/>
    <x v="3"/>
    <n v="13.98"/>
  </r>
  <r>
    <s v="0 Original"/>
    <s v="(1844)"/>
    <n v="1844"/>
    <s v="2014-04-18 Ulysses Hudson(538)"/>
    <x v="42"/>
    <n v="5.99"/>
    <n v="2"/>
    <s v="www"/>
    <d v="2014-04-18T20:25:01"/>
    <d v="2014-04-18T00:00:00"/>
    <x v="3"/>
    <n v="11.98"/>
  </r>
  <r>
    <s v="0 Original"/>
    <s v="(2269)"/>
    <n v="2269"/>
    <s v="2014-04-19 Tanek Santos(669)"/>
    <x v="13"/>
    <n v="8.99"/>
    <n v="1"/>
    <s v="www"/>
    <d v="2014-04-19T07:35:37"/>
    <d v="2014-04-19T00:00:00"/>
    <x v="3"/>
    <n v="8.99"/>
  </r>
  <r>
    <s v="0 Original"/>
    <s v="(3584)"/>
    <n v="3584"/>
    <s v="2014-04-21 Prescott Nelson(1082)"/>
    <x v="23"/>
    <n v="9.99"/>
    <n v="1"/>
    <s v="www"/>
    <d v="2014-04-21T21:10:15"/>
    <d v="2014-04-21T00:00:00"/>
    <x v="3"/>
    <n v="9.99"/>
  </r>
  <r>
    <s v="0 Original"/>
    <s v="(3585)"/>
    <n v="3585"/>
    <s v="2014-04-21 Prescott Nelson(1082)"/>
    <x v="8"/>
    <n v="4.99"/>
    <n v="1"/>
    <s v="www"/>
    <d v="2014-04-21T21:10:15"/>
    <d v="2014-04-21T00:00:00"/>
    <x v="3"/>
    <n v="4.99"/>
  </r>
  <r>
    <s v="0 Original"/>
    <s v="(2903)"/>
    <n v="2903"/>
    <s v="2014-04-22 Donovan Gomez(875)"/>
    <x v="6"/>
    <n v="5.99"/>
    <n v="2"/>
    <s v="www"/>
    <d v="2014-04-22T01:21:14"/>
    <d v="2014-04-22T00:00:00"/>
    <x v="3"/>
    <n v="11.98"/>
  </r>
  <r>
    <s v="0 Original"/>
    <s v="(1142)"/>
    <n v="1142"/>
    <s v="2014-04-23 Mariko Cameron(332)"/>
    <x v="16"/>
    <n v="6.99"/>
    <n v="2"/>
    <s v="www"/>
    <d v="2014-04-23T00:19:16"/>
    <d v="2014-04-23T00:00:00"/>
    <x v="3"/>
    <n v="13.98"/>
  </r>
  <r>
    <s v="0 Original"/>
    <s v="(1143)"/>
    <n v="1143"/>
    <s v="2014-04-23 Mariko Cameron(332)"/>
    <x v="59"/>
    <n v="6.99"/>
    <n v="1"/>
    <s v="www"/>
    <d v="2014-04-23T00:19:16"/>
    <d v="2014-04-23T00:00:00"/>
    <x v="3"/>
    <n v="6.99"/>
  </r>
  <r>
    <s v="0 Original"/>
    <s v="(1361)"/>
    <n v="1361"/>
    <s v="2014-04-23 Ivy Livingston(396)"/>
    <x v="82"/>
    <n v="5.99"/>
    <n v="1"/>
    <s v="www"/>
    <d v="2014-04-23T06:52:09"/>
    <d v="2014-04-23T00:00:00"/>
    <x v="3"/>
    <n v="5.99"/>
  </r>
  <r>
    <s v="0 Original"/>
    <s v="(1362)"/>
    <n v="1362"/>
    <s v="2014-04-23 Ivy Livingston(396)"/>
    <x v="12"/>
    <n v="8.99"/>
    <n v="1"/>
    <s v="www"/>
    <d v="2014-04-23T06:52:09"/>
    <d v="2014-04-23T00:00:00"/>
    <x v="3"/>
    <n v="8.99"/>
  </r>
  <r>
    <s v="0 Original"/>
    <s v="(1363)"/>
    <n v="1363"/>
    <s v="2014-04-23 Ivy Livingston(396)"/>
    <x v="0"/>
    <n v="9.99"/>
    <n v="1"/>
    <s v="www"/>
    <d v="2014-04-23T06:52:09"/>
    <d v="2014-04-23T00:00:00"/>
    <x v="3"/>
    <n v="9.99"/>
  </r>
  <r>
    <s v="0 Original"/>
    <s v="(1364)"/>
    <n v="1364"/>
    <s v="2014-04-23 Ivy Livingston(396)"/>
    <x v="37"/>
    <n v="8.99"/>
    <n v="1"/>
    <s v="www"/>
    <d v="2014-04-23T06:52:09"/>
    <d v="2014-04-23T00:00:00"/>
    <x v="3"/>
    <n v="8.99"/>
  </r>
  <r>
    <s v="0 Original"/>
    <s v="(1365)"/>
    <n v="1365"/>
    <s v="2014-04-23 Ivy Livingston(396)"/>
    <x v="5"/>
    <n v="9.99"/>
    <n v="1"/>
    <s v="www"/>
    <d v="2014-04-23T06:52:09"/>
    <d v="2014-04-23T00:00:00"/>
    <x v="3"/>
    <n v="9.99"/>
  </r>
  <r>
    <s v="0 Original"/>
    <s v="(3684)"/>
    <n v="3684"/>
    <s v="2014-04-24 Donovan Gomez(1116)"/>
    <x v="9"/>
    <n v="7.99"/>
    <n v="1"/>
    <s v="www"/>
    <d v="2014-04-24T06:32:13"/>
    <d v="2014-04-24T00:00:00"/>
    <x v="3"/>
    <n v="7.99"/>
  </r>
  <r>
    <s v="0 Original"/>
    <s v="(3685)"/>
    <n v="3685"/>
    <s v="2014-04-24 Donovan Gomez(1116)"/>
    <x v="25"/>
    <n v="9.99"/>
    <n v="2"/>
    <s v="www"/>
    <d v="2014-04-24T06:32:13"/>
    <d v="2014-04-24T00:00:00"/>
    <x v="3"/>
    <n v="19.98"/>
  </r>
  <r>
    <s v="0 Original"/>
    <s v="(3686)"/>
    <n v="3686"/>
    <s v="2014-04-24 Donovan Gomez(1116)"/>
    <x v="7"/>
    <n v="9.99"/>
    <n v="1"/>
    <s v="www"/>
    <d v="2014-04-24T06:32:13"/>
    <d v="2014-04-24T00:00:00"/>
    <x v="3"/>
    <n v="9.99"/>
  </r>
  <r>
    <s v="0 Original"/>
    <s v="(3030)"/>
    <n v="3030"/>
    <s v="2014-04-26 Prescott Nelson(911)"/>
    <x v="6"/>
    <n v="5.99"/>
    <n v="1"/>
    <s v="www"/>
    <d v="2014-04-26T09:14:03"/>
    <d v="2014-04-26T00:00:00"/>
    <x v="3"/>
    <n v="5.99"/>
  </r>
  <r>
    <s v="0 Original"/>
    <s v="(3031)"/>
    <n v="3031"/>
    <s v="2014-04-26 Prescott Nelson(911)"/>
    <x v="8"/>
    <n v="4.99"/>
    <n v="1"/>
    <s v="www"/>
    <d v="2014-04-26T09:14:03"/>
    <d v="2014-04-26T00:00:00"/>
    <x v="3"/>
    <n v="4.99"/>
  </r>
  <r>
    <s v="0 Original"/>
    <s v="(3032)"/>
    <n v="3032"/>
    <s v="2014-04-26 Prescott Nelson(911)"/>
    <x v="23"/>
    <n v="9.99"/>
    <n v="1"/>
    <s v="www"/>
    <d v="2014-04-26T09:14:03"/>
    <d v="2014-04-26T00:00:00"/>
    <x v="3"/>
    <n v="9.99"/>
  </r>
  <r>
    <s v="0 Original"/>
    <s v="(2279)"/>
    <n v="2279"/>
    <s v="2014-04-26 Ivy Livingston(673)"/>
    <x v="11"/>
    <n v="8.99"/>
    <n v="2"/>
    <s v="www"/>
    <d v="2014-04-26T17:37:55"/>
    <d v="2014-04-26T00:00:00"/>
    <x v="3"/>
    <n v="17.98"/>
  </r>
  <r>
    <s v="0 Original"/>
    <s v="(2280)"/>
    <n v="2280"/>
    <s v="2014-04-26 Ivy Livingston(673)"/>
    <x v="28"/>
    <n v="5.99"/>
    <n v="2"/>
    <s v="www"/>
    <d v="2014-04-26T17:37:55"/>
    <d v="2014-04-26T00:00:00"/>
    <x v="3"/>
    <n v="11.98"/>
  </r>
  <r>
    <s v="0 Original"/>
    <s v="(278)"/>
    <n v="278"/>
    <s v="2014-04-26 Adrian Dodson(76)"/>
    <x v="125"/>
    <n v="8.99"/>
    <n v="1"/>
    <s v="www"/>
    <d v="2014-04-26T17:53:43"/>
    <d v="2014-04-26T00:00:00"/>
    <x v="3"/>
    <n v="8.99"/>
  </r>
  <r>
    <s v="0 Original"/>
    <s v="(279)"/>
    <n v="279"/>
    <s v="2014-04-26 Adrian Dodson(76)"/>
    <x v="116"/>
    <n v="6.99"/>
    <n v="2"/>
    <s v="www"/>
    <d v="2014-04-26T17:53:43"/>
    <d v="2014-04-26T00:00:00"/>
    <x v="3"/>
    <n v="13.98"/>
  </r>
  <r>
    <s v="0 Original"/>
    <s v="(280)"/>
    <n v="280"/>
    <s v="2014-04-26 Adrian Dodson(76)"/>
    <x v="117"/>
    <n v="5.99"/>
    <n v="2"/>
    <s v="www"/>
    <d v="2014-04-26T17:53:43"/>
    <d v="2014-04-26T00:00:00"/>
    <x v="3"/>
    <n v="11.98"/>
  </r>
  <r>
    <s v="0 Original"/>
    <s v="(281)"/>
    <n v="281"/>
    <s v="2014-04-26 Adrian Dodson(76)"/>
    <x v="123"/>
    <n v="5.99"/>
    <n v="1"/>
    <s v="www"/>
    <d v="2014-04-26T17:53:43"/>
    <d v="2014-04-26T00:00:00"/>
    <x v="3"/>
    <n v="5.99"/>
  </r>
  <r>
    <s v="0 Original"/>
    <s v="(282)"/>
    <n v="282"/>
    <s v="2014-04-26 Adrian Dodson(76)"/>
    <x v="126"/>
    <n v="8.99"/>
    <n v="1"/>
    <s v="www"/>
    <d v="2014-04-26T17:53:43"/>
    <d v="2014-04-26T00:00:00"/>
    <x v="3"/>
    <n v="8.99"/>
  </r>
  <r>
    <s v="0 Original"/>
    <s v="(283)"/>
    <n v="283"/>
    <s v="2014-04-26 Adrian Dodson(76)"/>
    <x v="106"/>
    <n v="7.99"/>
    <n v="1"/>
    <s v="www"/>
    <d v="2014-04-26T17:53:43"/>
    <d v="2014-04-26T00:00:00"/>
    <x v="3"/>
    <n v="7.99"/>
  </r>
  <r>
    <s v="0 Original"/>
    <s v="(1669)"/>
    <n v="1669"/>
    <s v="2014-04-26 Ivy Livingston(487)"/>
    <x v="58"/>
    <n v="4.99"/>
    <n v="1"/>
    <s v="www"/>
    <d v="2014-04-26T21:30:16"/>
    <d v="2014-04-26T00:00:00"/>
    <x v="3"/>
    <n v="4.99"/>
  </r>
  <r>
    <s v="0 Original"/>
    <s v="(1670)"/>
    <n v="1670"/>
    <s v="2014-04-26 Ivy Livingston(487)"/>
    <x v="91"/>
    <n v="9.99"/>
    <n v="1"/>
    <s v="www"/>
    <d v="2014-04-26T21:30:16"/>
    <d v="2014-04-26T00:00:00"/>
    <x v="3"/>
    <n v="9.99"/>
  </r>
  <r>
    <s v="0 Original"/>
    <s v="(1671)"/>
    <n v="1671"/>
    <s v="2014-04-26 Ivy Livingston(487)"/>
    <x v="107"/>
    <n v="8.99"/>
    <n v="1"/>
    <s v="www"/>
    <d v="2014-04-26T21:30:16"/>
    <d v="2014-04-26T00:00:00"/>
    <x v="3"/>
    <n v="8.99"/>
  </r>
  <r>
    <s v="0 Original"/>
    <s v="(1672)"/>
    <n v="1672"/>
    <s v="2014-04-26 Ivy Livingston(487)"/>
    <x v="49"/>
    <n v="8.99"/>
    <n v="1"/>
    <s v="www"/>
    <d v="2014-04-26T21:30:16"/>
    <d v="2014-04-26T00:00:00"/>
    <x v="3"/>
    <n v="8.99"/>
  </r>
  <r>
    <s v="0 Original"/>
    <s v="(1673)"/>
    <n v="1673"/>
    <s v="2014-04-26 Ivy Livingston(487)"/>
    <x v="91"/>
    <n v="9.99"/>
    <n v="1"/>
    <s v="www"/>
    <d v="2014-04-26T21:30:16"/>
    <d v="2014-04-26T00:00:00"/>
    <x v="3"/>
    <n v="9.99"/>
  </r>
  <r>
    <s v="0 Original"/>
    <s v="(3773)"/>
    <n v="3773"/>
    <s v="2014-04-27 John Drake(1144)"/>
    <x v="41"/>
    <n v="4.99"/>
    <n v="1"/>
    <s v="www"/>
    <d v="2014-04-27T10:25:10"/>
    <d v="2014-04-27T00:00:00"/>
    <x v="3"/>
    <n v="4.99"/>
  </r>
  <r>
    <s v="0 Original"/>
    <s v="(3774)"/>
    <n v="3774"/>
    <s v="2014-04-27 John Drake(1144)"/>
    <x v="24"/>
    <n v="7.99"/>
    <n v="1"/>
    <s v="www"/>
    <d v="2014-04-27T10:25:10"/>
    <d v="2014-04-27T00:00:00"/>
    <x v="3"/>
    <n v="7.99"/>
  </r>
  <r>
    <s v="0 Original"/>
    <s v="(3775)"/>
    <n v="3775"/>
    <s v="2014-04-27 John Drake(1144)"/>
    <x v="7"/>
    <n v="9.99"/>
    <n v="1"/>
    <s v="www"/>
    <d v="2014-04-27T10:25:10"/>
    <d v="2014-04-27T00:00:00"/>
    <x v="3"/>
    <n v="9.99"/>
  </r>
  <r>
    <s v="0 Original"/>
    <s v="(3793)"/>
    <n v="3793"/>
    <s v="2014-04-27 Belle Short(1150)"/>
    <x v="7"/>
    <n v="9.99"/>
    <n v="1"/>
    <s v="www"/>
    <d v="2014-04-27T23:19:56"/>
    <d v="2014-04-27T00:00:00"/>
    <x v="3"/>
    <n v="9.99"/>
  </r>
  <r>
    <s v="0 Original"/>
    <s v="(3794)"/>
    <n v="3794"/>
    <s v="2014-04-27 Belle Short(1150)"/>
    <x v="24"/>
    <n v="7.99"/>
    <n v="1"/>
    <s v="www"/>
    <d v="2014-04-27T23:19:56"/>
    <d v="2014-04-27T00:00:00"/>
    <x v="3"/>
    <n v="7.99"/>
  </r>
  <r>
    <s v="0 Original"/>
    <s v="(3795)"/>
    <n v="3795"/>
    <s v="2014-04-27 Belle Short(1150)"/>
    <x v="9"/>
    <n v="7.99"/>
    <n v="1"/>
    <s v="www"/>
    <d v="2014-04-27T23:19:56"/>
    <d v="2014-04-27T00:00:00"/>
    <x v="3"/>
    <n v="7.99"/>
  </r>
  <r>
    <s v="0 Original"/>
    <s v="(3796)"/>
    <n v="3796"/>
    <s v="2014-04-27 Belle Short(1150)"/>
    <x v="23"/>
    <n v="9.99"/>
    <n v="1"/>
    <s v="www"/>
    <d v="2014-04-27T23:19:56"/>
    <d v="2014-04-27T00:00:00"/>
    <x v="3"/>
    <n v="9.99"/>
  </r>
  <r>
    <s v="0 Original"/>
    <s v="(3797)"/>
    <n v="3797"/>
    <s v="2014-04-27 Belle Short(1150)"/>
    <x v="16"/>
    <n v="6.99"/>
    <n v="2"/>
    <s v="www"/>
    <d v="2014-04-27T23:19:56"/>
    <d v="2014-04-27T00:00:00"/>
    <x v="3"/>
    <n v="13.98"/>
  </r>
  <r>
    <s v="0 Original"/>
    <s v="(3798)"/>
    <n v="3798"/>
    <s v="2014-04-29 Ora Mann(1151)"/>
    <x v="41"/>
    <n v="4.99"/>
    <n v="1"/>
    <s v="www"/>
    <d v="2014-04-29T02:14:25"/>
    <d v="2014-04-29T00:00:00"/>
    <x v="3"/>
    <n v="4.99"/>
  </r>
  <r>
    <s v="0 Original"/>
    <s v="(3799)"/>
    <n v="3799"/>
    <s v="2014-04-29 Ora Mann(1151)"/>
    <x v="6"/>
    <n v="5.99"/>
    <n v="1"/>
    <s v="www"/>
    <d v="2014-04-29T02:14:25"/>
    <d v="2014-04-29T00:00:00"/>
    <x v="3"/>
    <n v="5.99"/>
  </r>
  <r>
    <s v="0 Original"/>
    <s v="(2700)"/>
    <n v="2700"/>
    <s v="2014-04-29 Christine Medina(814)"/>
    <x v="30"/>
    <n v="6.99"/>
    <n v="1"/>
    <s v="www"/>
    <d v="2014-04-29T21:53:40"/>
    <d v="2014-04-29T00:00:00"/>
    <x v="3"/>
    <n v="6.99"/>
  </r>
  <r>
    <s v="0 Original"/>
    <s v="(2701)"/>
    <n v="2701"/>
    <s v="2014-04-29 Christine Medina(814)"/>
    <x v="16"/>
    <n v="6.99"/>
    <n v="1"/>
    <s v="www"/>
    <d v="2014-04-29T21:53:40"/>
    <d v="2014-04-29T00:00:00"/>
    <x v="3"/>
    <n v="6.99"/>
  </r>
  <r>
    <s v="0 Original"/>
    <s v="(2702)"/>
    <n v="2702"/>
    <s v="2014-04-29 Christine Medina(814)"/>
    <x v="23"/>
    <n v="9.99"/>
    <n v="1"/>
    <s v="www"/>
    <d v="2014-04-29T21:53:40"/>
    <d v="2014-04-29T00:00:00"/>
    <x v="3"/>
    <n v="9.99"/>
  </r>
  <r>
    <s v="0 Original"/>
    <s v="(2703)"/>
    <n v="2703"/>
    <s v="2014-04-29 Christine Medina(814)"/>
    <x v="6"/>
    <n v="5.99"/>
    <n v="2"/>
    <s v="www"/>
    <d v="2014-04-29T21:53:40"/>
    <d v="2014-04-29T00:00:00"/>
    <x v="3"/>
    <n v="11.98"/>
  </r>
  <r>
    <s v="0 Original"/>
    <s v="(2704)"/>
    <n v="2704"/>
    <s v="2014-04-29 Christine Medina(814)"/>
    <x v="9"/>
    <n v="7.99"/>
    <n v="1"/>
    <s v="www"/>
    <d v="2014-04-29T21:53:40"/>
    <d v="2014-04-29T00:00:00"/>
    <x v="3"/>
    <n v="7.99"/>
  </r>
  <r>
    <s v="0 Original"/>
    <s v="(2182)"/>
    <n v="2182"/>
    <s v="2014-05-01 Lois Valdez(643)"/>
    <x v="6"/>
    <n v="5.99"/>
    <n v="1"/>
    <s v="www"/>
    <d v="2014-05-01T04:06:48"/>
    <d v="2014-05-01T00:00:00"/>
    <x v="4"/>
    <n v="5.99"/>
  </r>
  <r>
    <s v="0 Original"/>
    <s v="(2183)"/>
    <n v="2183"/>
    <s v="2014-05-01 Lois Valdez(643)"/>
    <x v="65"/>
    <n v="4.99"/>
    <n v="2"/>
    <s v="www"/>
    <d v="2014-05-01T04:06:48"/>
    <d v="2014-05-01T00:00:00"/>
    <x v="4"/>
    <n v="9.98"/>
  </r>
  <r>
    <s v="0 Original"/>
    <s v="(2184)"/>
    <n v="2184"/>
    <s v="2014-05-01 Lois Valdez(643)"/>
    <x v="38"/>
    <n v="6.99"/>
    <n v="1"/>
    <s v="www"/>
    <d v="2014-05-01T04:06:48"/>
    <d v="2014-05-01T00:00:00"/>
    <x v="4"/>
    <n v="6.99"/>
  </r>
  <r>
    <s v="0 Original"/>
    <s v="(3615)"/>
    <n v="3615"/>
    <s v="2014-05-02 Cameron Rivera(1093)"/>
    <x v="7"/>
    <n v="9.99"/>
    <n v="1"/>
    <s v="www"/>
    <d v="2014-05-02T09:52:04"/>
    <d v="2014-05-02T00:00:00"/>
    <x v="4"/>
    <n v="9.99"/>
  </r>
  <r>
    <s v="0 Original"/>
    <s v="(3616)"/>
    <n v="3616"/>
    <s v="2014-05-02 Cameron Rivera(1093)"/>
    <x v="25"/>
    <n v="9.99"/>
    <n v="2"/>
    <s v="www"/>
    <d v="2014-05-02T09:52:04"/>
    <d v="2014-05-02T00:00:00"/>
    <x v="4"/>
    <n v="19.98"/>
  </r>
  <r>
    <s v="0 Original"/>
    <s v="(3617)"/>
    <n v="3617"/>
    <s v="2014-05-02 Cameron Rivera(1093)"/>
    <x v="8"/>
    <n v="4.99"/>
    <n v="2"/>
    <s v="www"/>
    <d v="2014-05-02T09:52:04"/>
    <d v="2014-05-02T00:00:00"/>
    <x v="4"/>
    <n v="9.98"/>
  </r>
  <r>
    <s v="0 Original"/>
    <s v="(900)"/>
    <n v="900"/>
    <s v="2014-05-02 Tate Lowery(257)"/>
    <x v="34"/>
    <n v="8.99"/>
    <n v="1"/>
    <s v="www"/>
    <d v="2014-05-02T11:07:14"/>
    <d v="2014-05-02T00:00:00"/>
    <x v="4"/>
    <n v="8.99"/>
  </r>
  <r>
    <s v="0 Original"/>
    <s v="(901)"/>
    <n v="901"/>
    <s v="2014-05-02 Tate Lowery(257)"/>
    <x v="14"/>
    <n v="7.99"/>
    <n v="1"/>
    <s v="www"/>
    <d v="2014-05-02T11:07:14"/>
    <d v="2014-05-02T00:00:00"/>
    <x v="4"/>
    <n v="7.99"/>
  </r>
  <r>
    <s v="0 Original"/>
    <s v="(1681)"/>
    <n v="1681"/>
    <s v="2014-05-02 Lionel Vargas(490)"/>
    <x v="26"/>
    <n v="6.99"/>
    <n v="1"/>
    <s v="www"/>
    <d v="2014-05-02T14:21:36"/>
    <d v="2014-05-02T00:00:00"/>
    <x v="4"/>
    <n v="6.99"/>
  </r>
  <r>
    <s v="0 Original"/>
    <s v="(1682)"/>
    <n v="1682"/>
    <s v="2014-05-02 Lionel Vargas(490)"/>
    <x v="65"/>
    <n v="4.99"/>
    <n v="2"/>
    <s v="www"/>
    <d v="2014-05-02T14:21:36"/>
    <d v="2014-05-02T00:00:00"/>
    <x v="4"/>
    <n v="9.98"/>
  </r>
  <r>
    <s v="0 Original"/>
    <s v="(3695)"/>
    <n v="3695"/>
    <s v="2014-05-03 Belle Short(1119)"/>
    <x v="9"/>
    <n v="7.99"/>
    <n v="1"/>
    <s v="www"/>
    <d v="2014-05-03T18:35:12"/>
    <d v="2014-05-03T00:00:00"/>
    <x v="4"/>
    <n v="7.99"/>
  </r>
  <r>
    <s v="0 Original"/>
    <s v="(1773)"/>
    <n v="1773"/>
    <s v="2014-05-04 Vivian Mendoza(521)"/>
    <x v="17"/>
    <n v="9.99"/>
    <n v="1"/>
    <s v="www"/>
    <d v="2014-05-04T18:28:27"/>
    <d v="2014-05-04T00:00:00"/>
    <x v="4"/>
    <n v="9.99"/>
  </r>
  <r>
    <s v="0 Original"/>
    <s v="(1774)"/>
    <n v="1774"/>
    <s v="2014-05-04 Vivian Mendoza(521)"/>
    <x v="4"/>
    <n v="6.99"/>
    <n v="1"/>
    <s v="www"/>
    <d v="2014-05-04T18:28:27"/>
    <d v="2014-05-04T00:00:00"/>
    <x v="4"/>
    <n v="6.99"/>
  </r>
  <r>
    <s v="0 Original"/>
    <s v="(1775)"/>
    <n v="1775"/>
    <s v="2014-05-04 Vivian Mendoza(521)"/>
    <x v="14"/>
    <n v="7.99"/>
    <n v="1"/>
    <s v="www"/>
    <d v="2014-05-04T18:28:27"/>
    <d v="2014-05-04T00:00:00"/>
    <x v="4"/>
    <n v="7.99"/>
  </r>
  <r>
    <s v="0 Original"/>
    <s v="(584)"/>
    <n v="584"/>
    <s v="2014-05-04 Tate Lowery(166)"/>
    <x v="127"/>
    <n v="6.99"/>
    <n v="1"/>
    <s v="www"/>
    <d v="2014-05-04T20:01:40"/>
    <d v="2014-05-04T00:00:00"/>
    <x v="4"/>
    <n v="6.99"/>
  </r>
  <r>
    <s v="0 Original"/>
    <s v="(585)"/>
    <n v="585"/>
    <s v="2014-05-04 Tate Lowery(166)"/>
    <x v="87"/>
    <n v="8.99"/>
    <n v="1"/>
    <s v="www"/>
    <d v="2014-05-04T20:01:40"/>
    <d v="2014-05-04T00:00:00"/>
    <x v="4"/>
    <n v="8.99"/>
  </r>
  <r>
    <s v="0 Original"/>
    <s v="(586)"/>
    <n v="586"/>
    <s v="2014-05-04 Tate Lowery(166)"/>
    <x v="128"/>
    <n v="8.99"/>
    <n v="1"/>
    <s v="www"/>
    <d v="2014-05-04T20:01:40"/>
    <d v="2014-05-04T00:00:00"/>
    <x v="4"/>
    <n v="8.99"/>
  </r>
  <r>
    <s v="0 Original"/>
    <s v="(587)"/>
    <n v="587"/>
    <s v="2014-05-04 Tate Lowery(166)"/>
    <x v="20"/>
    <n v="7.99"/>
    <n v="2"/>
    <s v="www"/>
    <d v="2014-05-04T20:01:40"/>
    <d v="2014-05-04T00:00:00"/>
    <x v="4"/>
    <n v="15.98"/>
  </r>
  <r>
    <s v="0 Original"/>
    <s v="(1764)"/>
    <n v="1764"/>
    <s v="2014-05-05 Kendall Rocha(519)"/>
    <x v="2"/>
    <n v="7.99"/>
    <n v="1"/>
    <s v="www"/>
    <d v="2014-05-05T10:46:35"/>
    <d v="2014-05-05T00:00:00"/>
    <x v="4"/>
    <n v="7.99"/>
  </r>
  <r>
    <s v="0 Original"/>
    <s v="(1765)"/>
    <n v="1765"/>
    <s v="2014-05-05 Kendall Rocha(519)"/>
    <x v="7"/>
    <n v="9.99"/>
    <n v="1"/>
    <s v="www"/>
    <d v="2014-05-05T10:46:35"/>
    <d v="2014-05-05T00:00:00"/>
    <x v="4"/>
    <n v="9.99"/>
  </r>
  <r>
    <s v="0 Original"/>
    <s v="(1766)"/>
    <n v="1766"/>
    <s v="2014-05-05 Kendall Rocha(519)"/>
    <x v="57"/>
    <n v="4.99"/>
    <n v="2"/>
    <s v="www"/>
    <d v="2014-05-05T10:46:35"/>
    <d v="2014-05-05T00:00:00"/>
    <x v="4"/>
    <n v="9.98"/>
  </r>
  <r>
    <s v="0 Original"/>
    <s v="(2305)"/>
    <n v="2305"/>
    <s v="2014-05-06 Claudia Crane(682)"/>
    <x v="11"/>
    <n v="8.99"/>
    <n v="1"/>
    <s v="www"/>
    <d v="2014-05-06T07:40:26"/>
    <d v="2014-05-06T00:00:00"/>
    <x v="4"/>
    <n v="8.99"/>
  </r>
  <r>
    <s v="0 Original"/>
    <s v="(2306)"/>
    <n v="2306"/>
    <s v="2014-05-06 Claudia Crane(682)"/>
    <x v="36"/>
    <n v="6.99"/>
    <n v="2"/>
    <s v="www"/>
    <d v="2014-05-06T07:40:26"/>
    <d v="2014-05-06T00:00:00"/>
    <x v="4"/>
    <n v="13.98"/>
  </r>
  <r>
    <s v="0 Original"/>
    <s v="(2745)"/>
    <n v="2745"/>
    <s v="2014-05-06 Belle Short(827)"/>
    <x v="24"/>
    <n v="7.99"/>
    <n v="1"/>
    <s v="www"/>
    <d v="2014-05-06T13:04:13"/>
    <d v="2014-05-06T00:00:00"/>
    <x v="4"/>
    <n v="7.99"/>
  </r>
  <r>
    <s v="0 Original"/>
    <s v="(2746)"/>
    <n v="2746"/>
    <s v="2014-05-06 Belle Short(827)"/>
    <x v="8"/>
    <n v="4.99"/>
    <n v="1"/>
    <s v="www"/>
    <d v="2014-05-06T13:04:13"/>
    <d v="2014-05-06T00:00:00"/>
    <x v="4"/>
    <n v="4.99"/>
  </r>
  <r>
    <s v="0 Original"/>
    <s v="(2747)"/>
    <n v="2747"/>
    <s v="2014-05-06 Belle Short(827)"/>
    <x v="8"/>
    <n v="4.99"/>
    <n v="1"/>
    <s v="www"/>
    <d v="2014-05-06T13:04:13"/>
    <d v="2014-05-06T00:00:00"/>
    <x v="4"/>
    <n v="4.99"/>
  </r>
  <r>
    <s v="0 Original"/>
    <s v="(2748)"/>
    <n v="2748"/>
    <s v="2014-05-06 Belle Short(827)"/>
    <x v="7"/>
    <n v="9.99"/>
    <n v="2"/>
    <s v="www"/>
    <d v="2014-05-06T13:04:13"/>
    <d v="2014-05-06T00:00:00"/>
    <x v="4"/>
    <n v="19.98"/>
  </r>
  <r>
    <s v="0 Original"/>
    <s v="(2754)"/>
    <n v="2754"/>
    <s v="2014-05-07 Madeline Reynolds(830)"/>
    <x v="25"/>
    <n v="9.99"/>
    <n v="1"/>
    <s v="www"/>
    <d v="2014-05-07T09:21:01"/>
    <d v="2014-05-07T00:00:00"/>
    <x v="4"/>
    <n v="9.99"/>
  </r>
  <r>
    <s v="0 Original"/>
    <s v="(2755)"/>
    <n v="2755"/>
    <s v="2014-05-07 Madeline Reynolds(830)"/>
    <x v="16"/>
    <n v="6.99"/>
    <n v="1"/>
    <s v="www"/>
    <d v="2014-05-07T09:21:01"/>
    <d v="2014-05-07T00:00:00"/>
    <x v="4"/>
    <n v="6.99"/>
  </r>
  <r>
    <s v="0 Original"/>
    <s v="(2756)"/>
    <n v="2756"/>
    <s v="2014-05-07 Madeline Reynolds(830)"/>
    <x v="7"/>
    <n v="9.99"/>
    <n v="2"/>
    <s v="www"/>
    <d v="2014-05-07T09:21:01"/>
    <d v="2014-05-07T00:00:00"/>
    <x v="4"/>
    <n v="19.98"/>
  </r>
  <r>
    <s v="0 Original"/>
    <s v="(2757)"/>
    <n v="2757"/>
    <s v="2014-05-07 Madeline Reynolds(830)"/>
    <x v="9"/>
    <n v="7.99"/>
    <n v="1"/>
    <s v="www"/>
    <d v="2014-05-07T09:21:01"/>
    <d v="2014-05-07T00:00:00"/>
    <x v="4"/>
    <n v="7.99"/>
  </r>
  <r>
    <s v="0 Original"/>
    <s v="(2277)"/>
    <n v="2277"/>
    <s v="2014-05-09 Ulysses Hudson(672)"/>
    <x v="42"/>
    <n v="5.99"/>
    <n v="1"/>
    <s v="www"/>
    <d v="2014-05-09T00:15:21"/>
    <d v="2014-05-09T00:00:00"/>
    <x v="4"/>
    <n v="5.99"/>
  </r>
  <r>
    <s v="0 Original"/>
    <s v="(2278)"/>
    <n v="2278"/>
    <s v="2014-05-09 Ulysses Hudson(672)"/>
    <x v="28"/>
    <n v="5.99"/>
    <n v="1"/>
    <s v="www"/>
    <d v="2014-05-09T00:15:21"/>
    <d v="2014-05-09T00:00:00"/>
    <x v="4"/>
    <n v="5.99"/>
  </r>
  <r>
    <s v="0 Original"/>
    <s v="(576)"/>
    <n v="576"/>
    <s v="2014-05-09 Serina Booker(164)"/>
    <x v="10"/>
    <n v="8.99"/>
    <n v="1"/>
    <s v="www"/>
    <d v="2014-05-09T07:01:25"/>
    <d v="2014-05-09T00:00:00"/>
    <x v="4"/>
    <n v="8.99"/>
  </r>
  <r>
    <s v="0 Original"/>
    <s v="(577)"/>
    <n v="577"/>
    <s v="2014-05-09 Serina Booker(164)"/>
    <x v="129"/>
    <n v="7.99"/>
    <n v="1"/>
    <s v="www"/>
    <d v="2014-05-09T07:01:25"/>
    <d v="2014-05-09T00:00:00"/>
    <x v="4"/>
    <n v="7.99"/>
  </r>
  <r>
    <s v="0 Original"/>
    <s v="(578)"/>
    <n v="578"/>
    <s v="2014-05-09 Serina Booker(164)"/>
    <x v="130"/>
    <n v="8.99"/>
    <n v="2"/>
    <s v="www"/>
    <d v="2014-05-09T07:01:25"/>
    <d v="2014-05-09T00:00:00"/>
    <x v="4"/>
    <n v="17.98"/>
  </r>
  <r>
    <s v="0 Original"/>
    <s v="(579)"/>
    <n v="579"/>
    <s v="2014-05-09 Serina Booker(164)"/>
    <x v="70"/>
    <n v="8.99"/>
    <n v="2"/>
    <s v="www"/>
    <d v="2014-05-09T07:01:25"/>
    <d v="2014-05-09T00:00:00"/>
    <x v="4"/>
    <n v="17.98"/>
  </r>
  <r>
    <s v="0 Original"/>
    <s v="(580)"/>
    <n v="580"/>
    <s v="2014-05-09 Serina Booker(164)"/>
    <x v="123"/>
    <n v="5.99"/>
    <n v="2"/>
    <s v="www"/>
    <d v="2014-05-09T07:01:25"/>
    <d v="2014-05-09T00:00:00"/>
    <x v="4"/>
    <n v="11.98"/>
  </r>
  <r>
    <s v="0 Original"/>
    <s v="(581)"/>
    <n v="581"/>
    <s v="2014-05-09 Serina Booker(164)"/>
    <x v="37"/>
    <n v="8.99"/>
    <n v="1"/>
    <s v="www"/>
    <d v="2014-05-09T07:01:25"/>
    <d v="2014-05-09T00:00:00"/>
    <x v="4"/>
    <n v="8.99"/>
  </r>
  <r>
    <s v="0 Original"/>
    <s v="(1545)"/>
    <n v="1545"/>
    <s v="2014-05-10 Dane Stafford(445)"/>
    <x v="12"/>
    <n v="8.99"/>
    <n v="2"/>
    <s v="www"/>
    <d v="2014-05-10T12:19:41"/>
    <d v="2014-05-10T00:00:00"/>
    <x v="4"/>
    <n v="17.98"/>
  </r>
  <r>
    <s v="0 Original"/>
    <s v="(1546)"/>
    <n v="1546"/>
    <s v="2014-05-10 Dane Stafford(445)"/>
    <x v="58"/>
    <n v="4.99"/>
    <n v="1"/>
    <s v="www"/>
    <d v="2014-05-10T12:19:41"/>
    <d v="2014-05-10T00:00:00"/>
    <x v="4"/>
    <n v="4.99"/>
  </r>
  <r>
    <s v="0 Original"/>
    <s v="(1547)"/>
    <n v="1547"/>
    <s v="2014-05-10 Dane Stafford(445)"/>
    <x v="34"/>
    <n v="8.99"/>
    <n v="1"/>
    <s v="www"/>
    <d v="2014-05-10T12:19:41"/>
    <d v="2014-05-10T00:00:00"/>
    <x v="4"/>
    <n v="8.99"/>
  </r>
  <r>
    <s v="0 Original"/>
    <s v="(3635)"/>
    <n v="3635"/>
    <s v="2014-05-11 Bernard Cash(1101)"/>
    <x v="16"/>
    <n v="6.99"/>
    <n v="1"/>
    <s v="www"/>
    <d v="2014-05-11T05:01:34"/>
    <d v="2014-05-11T00:00:00"/>
    <x v="4"/>
    <n v="6.99"/>
  </r>
  <r>
    <s v="0 Original"/>
    <s v="(3636)"/>
    <n v="3636"/>
    <s v="2014-05-11 Bernard Cash(1101)"/>
    <x v="16"/>
    <n v="6.99"/>
    <n v="2"/>
    <s v="www"/>
    <d v="2014-05-11T05:01:34"/>
    <d v="2014-05-11T00:00:00"/>
    <x v="4"/>
    <n v="13.98"/>
  </r>
  <r>
    <s v="0 Original"/>
    <s v="(3637)"/>
    <n v="3637"/>
    <s v="2014-05-11 Bernard Cash(1101)"/>
    <x v="8"/>
    <n v="4.99"/>
    <n v="2"/>
    <s v="www"/>
    <d v="2014-05-11T05:01:34"/>
    <d v="2014-05-11T00:00:00"/>
    <x v="4"/>
    <n v="9.98"/>
  </r>
  <r>
    <s v="0 Original"/>
    <s v="(3638)"/>
    <n v="3638"/>
    <s v="2014-05-11 Bernard Cash(1101)"/>
    <x v="41"/>
    <n v="4.99"/>
    <n v="1"/>
    <s v="www"/>
    <d v="2014-05-11T05:01:34"/>
    <d v="2014-05-11T00:00:00"/>
    <x v="4"/>
    <n v="4.99"/>
  </r>
  <r>
    <s v="0 Original"/>
    <s v="(3639)"/>
    <n v="3639"/>
    <s v="2014-05-11 Bernard Cash(1101)"/>
    <x v="16"/>
    <n v="6.99"/>
    <n v="2"/>
    <s v="www"/>
    <d v="2014-05-11T05:01:34"/>
    <d v="2014-05-11T00:00:00"/>
    <x v="4"/>
    <n v="13.98"/>
  </r>
  <r>
    <s v="0 Original"/>
    <s v="(2478)"/>
    <n v="2478"/>
    <s v="2014-05-11 Belle Short(744)"/>
    <x v="25"/>
    <n v="9.99"/>
    <n v="1"/>
    <s v="www"/>
    <d v="2014-05-11T11:28:48"/>
    <d v="2014-05-11T00:00:00"/>
    <x v="4"/>
    <n v="9.99"/>
  </r>
  <r>
    <s v="0 Original"/>
    <s v="(2479)"/>
    <n v="2479"/>
    <s v="2014-05-11 Belle Short(744)"/>
    <x v="8"/>
    <n v="4.99"/>
    <n v="2"/>
    <s v="www"/>
    <d v="2014-05-11T11:28:48"/>
    <d v="2014-05-11T00:00:00"/>
    <x v="4"/>
    <n v="9.98"/>
  </r>
  <r>
    <s v="0 Original"/>
    <s v="(2480)"/>
    <n v="2480"/>
    <s v="2014-05-11 Belle Short(744)"/>
    <x v="7"/>
    <n v="9.99"/>
    <n v="1"/>
    <s v="www"/>
    <d v="2014-05-11T11:28:48"/>
    <d v="2014-05-11T00:00:00"/>
    <x v="4"/>
    <n v="9.99"/>
  </r>
  <r>
    <s v="0 Original"/>
    <s v="(2481)"/>
    <n v="2481"/>
    <s v="2014-05-11 Belle Short(744)"/>
    <x v="6"/>
    <n v="5.99"/>
    <n v="1"/>
    <s v="www"/>
    <d v="2014-05-11T11:28:48"/>
    <d v="2014-05-11T00:00:00"/>
    <x v="4"/>
    <n v="5.99"/>
  </r>
  <r>
    <s v="0 Original"/>
    <s v="(2482)"/>
    <n v="2482"/>
    <s v="2014-05-11 Belle Short(744)"/>
    <x v="6"/>
    <n v="5.99"/>
    <n v="1"/>
    <s v="www"/>
    <d v="2014-05-11T11:28:48"/>
    <d v="2014-05-11T00:00:00"/>
    <x v="4"/>
    <n v="5.99"/>
  </r>
  <r>
    <s v="0 Original"/>
    <s v="(2483)"/>
    <n v="2483"/>
    <s v="2014-05-11 Belle Short(744)"/>
    <x v="24"/>
    <n v="7.99"/>
    <n v="1"/>
    <s v="www"/>
    <d v="2014-05-11T11:28:48"/>
    <d v="2014-05-11T00:00:00"/>
    <x v="4"/>
    <n v="7.99"/>
  </r>
  <r>
    <s v="0 Original"/>
    <s v="(1487)"/>
    <n v="1487"/>
    <s v="2014-05-12 Dane Stafford(429)"/>
    <x v="58"/>
    <n v="4.99"/>
    <n v="1"/>
    <s v="www"/>
    <d v="2014-05-12T23:15:51"/>
    <d v="2014-05-12T00:00:00"/>
    <x v="4"/>
    <n v="4.99"/>
  </r>
  <r>
    <s v="0 Original"/>
    <s v="(1488)"/>
    <n v="1488"/>
    <s v="2014-05-12 Dane Stafford(429)"/>
    <x v="9"/>
    <n v="7.99"/>
    <n v="1"/>
    <s v="www"/>
    <d v="2014-05-12T23:15:51"/>
    <d v="2014-05-12T00:00:00"/>
    <x v="4"/>
    <n v="7.99"/>
  </r>
  <r>
    <s v="0 Original"/>
    <s v="(1489)"/>
    <n v="1489"/>
    <s v="2014-05-12 Dane Stafford(429)"/>
    <x v="9"/>
    <n v="7.99"/>
    <n v="1"/>
    <s v="www"/>
    <d v="2014-05-12T23:15:51"/>
    <d v="2014-05-12T00:00:00"/>
    <x v="4"/>
    <n v="7.99"/>
  </r>
  <r>
    <s v="0 Original"/>
    <s v="(1490)"/>
    <n v="1490"/>
    <s v="2014-05-12 Dane Stafford(429)"/>
    <x v="47"/>
    <n v="6.99"/>
    <n v="1"/>
    <s v="www"/>
    <d v="2014-05-12T23:15:51"/>
    <d v="2014-05-12T00:00:00"/>
    <x v="4"/>
    <n v="6.99"/>
  </r>
  <r>
    <s v="0 Original"/>
    <s v="(498)"/>
    <n v="498"/>
    <s v="2014-05-13 Armando Le(140)"/>
    <x v="22"/>
    <n v="6.99"/>
    <n v="1"/>
    <s v="www"/>
    <d v="2014-05-13T23:00:36"/>
    <d v="2014-05-13T00:00:00"/>
    <x v="4"/>
    <n v="6.99"/>
  </r>
  <r>
    <s v="0 Original"/>
    <s v="(499)"/>
    <n v="499"/>
    <s v="2014-05-13 Armando Le(140)"/>
    <x v="46"/>
    <n v="5.99"/>
    <n v="1"/>
    <s v="www"/>
    <d v="2014-05-13T23:00:36"/>
    <d v="2014-05-13T00:00:00"/>
    <x v="4"/>
    <n v="5.99"/>
  </r>
  <r>
    <s v="0 Original"/>
    <s v="(500)"/>
    <n v="500"/>
    <s v="2014-05-13 Armando Le(140)"/>
    <x v="131"/>
    <n v="9.99"/>
    <n v="2"/>
    <s v="www"/>
    <d v="2014-05-13T23:00:36"/>
    <d v="2014-05-13T00:00:00"/>
    <x v="4"/>
    <n v="19.98"/>
  </r>
  <r>
    <s v="0 Original"/>
    <s v="(2219)"/>
    <n v="2219"/>
    <s v="2014-05-14 Yoshi Bennett(654)"/>
    <x v="82"/>
    <n v="5.99"/>
    <n v="1"/>
    <s v="www"/>
    <d v="2014-05-14T06:48:01"/>
    <d v="2014-05-14T00:00:00"/>
    <x v="4"/>
    <n v="5.99"/>
  </r>
  <r>
    <s v="0 Original"/>
    <s v="(2220)"/>
    <n v="2220"/>
    <s v="2014-05-14 Yoshi Bennett(654)"/>
    <x v="42"/>
    <n v="5.99"/>
    <n v="1"/>
    <s v="www"/>
    <d v="2014-05-14T06:48:01"/>
    <d v="2014-05-14T00:00:00"/>
    <x v="4"/>
    <n v="5.99"/>
  </r>
  <r>
    <s v="0 Original"/>
    <s v="(2221)"/>
    <n v="2221"/>
    <s v="2014-05-14 Yoshi Bennett(654)"/>
    <x v="31"/>
    <n v="8.99"/>
    <n v="1"/>
    <s v="www"/>
    <d v="2014-05-14T06:48:01"/>
    <d v="2014-05-14T00:00:00"/>
    <x v="4"/>
    <n v="8.99"/>
  </r>
  <r>
    <s v="0 Original"/>
    <s v="(2039)"/>
    <n v="2039"/>
    <s v="2014-05-14 Colby Clay(600)"/>
    <x v="4"/>
    <n v="6.99"/>
    <n v="2"/>
    <s v="www"/>
    <d v="2014-05-14T11:28:42"/>
    <d v="2014-05-14T00:00:00"/>
    <x v="4"/>
    <n v="13.98"/>
  </r>
  <r>
    <s v="0 Original"/>
    <s v="(2040)"/>
    <n v="2040"/>
    <s v="2014-05-14 Colby Clay(600)"/>
    <x v="33"/>
    <n v="4.99"/>
    <n v="1"/>
    <s v="www"/>
    <d v="2014-05-14T11:28:42"/>
    <d v="2014-05-14T00:00:00"/>
    <x v="4"/>
    <n v="4.99"/>
  </r>
  <r>
    <s v="0 Original"/>
    <s v="(2604)"/>
    <n v="2604"/>
    <s v="2014-05-14 John Drake(785)"/>
    <x v="16"/>
    <n v="6.99"/>
    <n v="1"/>
    <s v="www"/>
    <d v="2014-05-14T13:12:43"/>
    <d v="2014-05-14T00:00:00"/>
    <x v="4"/>
    <n v="6.99"/>
  </r>
  <r>
    <s v="0 Original"/>
    <s v="(2605)"/>
    <n v="2605"/>
    <s v="2014-05-14 John Drake(785)"/>
    <x v="8"/>
    <n v="4.99"/>
    <n v="1"/>
    <s v="www"/>
    <d v="2014-05-14T13:12:43"/>
    <d v="2014-05-14T00:00:00"/>
    <x v="4"/>
    <n v="4.99"/>
  </r>
  <r>
    <s v="0 Original"/>
    <s v="(2606)"/>
    <n v="2606"/>
    <s v="2014-05-14 John Drake(785)"/>
    <x v="41"/>
    <n v="4.99"/>
    <n v="2"/>
    <s v="www"/>
    <d v="2014-05-14T13:12:43"/>
    <d v="2014-05-14T00:00:00"/>
    <x v="4"/>
    <n v="9.98"/>
  </r>
  <r>
    <s v="0 Original"/>
    <s v="(1698)"/>
    <n v="1698"/>
    <s v="2014-05-15 Lois Valdez(497)"/>
    <x v="107"/>
    <n v="8.99"/>
    <n v="1"/>
    <s v="www"/>
    <d v="2014-05-15T13:10:00"/>
    <d v="2014-05-15T00:00:00"/>
    <x v="4"/>
    <n v="8.99"/>
  </r>
  <r>
    <s v="0 Original"/>
    <s v="(1699)"/>
    <n v="1699"/>
    <s v="2014-05-15 Lois Valdez(497)"/>
    <x v="32"/>
    <n v="5.99"/>
    <n v="2"/>
    <s v="www"/>
    <d v="2014-05-15T13:10:00"/>
    <d v="2014-05-15T00:00:00"/>
    <x v="4"/>
    <n v="11.98"/>
  </r>
  <r>
    <s v="0 Original"/>
    <s v="(1700)"/>
    <n v="1700"/>
    <s v="2014-05-15 Lois Valdez(497)"/>
    <x v="38"/>
    <n v="6.99"/>
    <n v="1"/>
    <s v="www"/>
    <d v="2014-05-15T13:10:00"/>
    <d v="2014-05-15T00:00:00"/>
    <x v="4"/>
    <n v="6.99"/>
  </r>
  <r>
    <s v="0 Original"/>
    <s v="(2897)"/>
    <n v="2897"/>
    <s v="2014-05-15 Madeline Reynolds(872)"/>
    <x v="9"/>
    <n v="7.99"/>
    <n v="1"/>
    <s v="www"/>
    <d v="2014-05-15T19:38:39"/>
    <d v="2014-05-15T00:00:00"/>
    <x v="4"/>
    <n v="7.99"/>
  </r>
  <r>
    <s v="0 Original"/>
    <s v="(2451)"/>
    <n v="2451"/>
    <s v="2014-05-15 Bernard Cash(733)"/>
    <x v="41"/>
    <n v="4.99"/>
    <n v="1"/>
    <s v="www"/>
    <d v="2014-05-15T22:08:27"/>
    <d v="2014-05-15T00:00:00"/>
    <x v="4"/>
    <n v="4.99"/>
  </r>
  <r>
    <s v="0 Original"/>
    <s v="(2227)"/>
    <n v="2227"/>
    <s v="2014-05-17 Galvin Becker(657)"/>
    <x v="89"/>
    <n v="5.99"/>
    <n v="2"/>
    <s v="www"/>
    <d v="2014-05-17T15:18:51"/>
    <d v="2014-05-17T00:00:00"/>
    <x v="4"/>
    <n v="11.98"/>
  </r>
  <r>
    <s v="0 Original"/>
    <s v="(2228)"/>
    <n v="2228"/>
    <s v="2014-05-17 Galvin Becker(657)"/>
    <x v="17"/>
    <n v="9.99"/>
    <n v="1"/>
    <s v="www"/>
    <d v="2014-05-17T15:18:51"/>
    <d v="2014-05-17T00:00:00"/>
    <x v="4"/>
    <n v="9.99"/>
  </r>
  <r>
    <s v="0 Original"/>
    <s v="(2229)"/>
    <n v="2229"/>
    <s v="2014-05-17 Galvin Becker(657)"/>
    <x v="3"/>
    <n v="7.99"/>
    <n v="1"/>
    <s v="www"/>
    <d v="2014-05-17T15:18:51"/>
    <d v="2014-05-17T00:00:00"/>
    <x v="4"/>
    <n v="7.99"/>
  </r>
  <r>
    <s v="0 Original"/>
    <s v="(2230)"/>
    <n v="2230"/>
    <s v="2014-05-17 Galvin Becker(657)"/>
    <x v="17"/>
    <n v="9.99"/>
    <n v="2"/>
    <s v="www"/>
    <d v="2014-05-17T15:18:51"/>
    <d v="2014-05-17T00:00:00"/>
    <x v="4"/>
    <n v="19.98"/>
  </r>
  <r>
    <s v="0 Original"/>
    <s v="(862)"/>
    <n v="862"/>
    <s v="2014-05-19 Indira Suarez(245)"/>
    <x v="4"/>
    <n v="6.99"/>
    <n v="1"/>
    <s v="www"/>
    <d v="2014-05-19T22:51:22"/>
    <d v="2014-05-19T00:00:00"/>
    <x v="4"/>
    <n v="6.99"/>
  </r>
  <r>
    <s v="0 Original"/>
    <s v="(863)"/>
    <n v="863"/>
    <s v="2014-05-19 Indira Suarez(245)"/>
    <x v="14"/>
    <n v="7.99"/>
    <n v="1"/>
    <s v="www"/>
    <d v="2014-05-19T22:51:22"/>
    <d v="2014-05-19T00:00:00"/>
    <x v="4"/>
    <n v="7.99"/>
  </r>
  <r>
    <s v="0 Original"/>
    <s v="(864)"/>
    <n v="864"/>
    <s v="2014-05-19 Indira Suarez(245)"/>
    <x v="89"/>
    <n v="5.99"/>
    <n v="1"/>
    <s v="www"/>
    <d v="2014-05-19T22:51:22"/>
    <d v="2014-05-19T00:00:00"/>
    <x v="4"/>
    <n v="5.99"/>
  </r>
  <r>
    <s v="0 Original"/>
    <s v="(1378)"/>
    <n v="1378"/>
    <s v="2014-05-20 Stacey Kirk(400)"/>
    <x v="7"/>
    <n v="9.99"/>
    <n v="2"/>
    <s v="www"/>
    <d v="2014-05-20T04:53:05"/>
    <d v="2014-05-20T00:00:00"/>
    <x v="4"/>
    <n v="19.98"/>
  </r>
  <r>
    <s v="0 Original"/>
    <s v="(1379)"/>
    <n v="1379"/>
    <s v="2014-05-20 Stacey Kirk(400)"/>
    <x v="44"/>
    <n v="9.99"/>
    <n v="2"/>
    <s v="www"/>
    <d v="2014-05-20T04:53:05"/>
    <d v="2014-05-20T00:00:00"/>
    <x v="4"/>
    <n v="19.98"/>
  </r>
  <r>
    <s v="0 Original"/>
    <s v="(1380)"/>
    <n v="1380"/>
    <s v="2014-05-20 Stacey Kirk(400)"/>
    <x v="5"/>
    <n v="9.99"/>
    <n v="1"/>
    <s v="www"/>
    <d v="2014-05-20T04:53:05"/>
    <d v="2014-05-20T00:00:00"/>
    <x v="4"/>
    <n v="9.99"/>
  </r>
  <r>
    <s v="0 Original"/>
    <s v="(1110)"/>
    <n v="1110"/>
    <s v="2014-05-20 Uta Workman(321)"/>
    <x v="29"/>
    <n v="4.99"/>
    <n v="1"/>
    <s v="www"/>
    <d v="2014-05-20T05:16:49"/>
    <d v="2014-05-20T00:00:00"/>
    <x v="4"/>
    <n v="4.99"/>
  </r>
  <r>
    <s v="0 Original"/>
    <s v="(692)"/>
    <n v="692"/>
    <s v="2014-05-20 Alexa Herring(197)"/>
    <x v="54"/>
    <n v="5.99"/>
    <n v="1"/>
    <s v="www"/>
    <d v="2014-05-20T19:43:46"/>
    <d v="2014-05-20T00:00:00"/>
    <x v="4"/>
    <n v="5.99"/>
  </r>
  <r>
    <s v="0 Original"/>
    <s v="(693)"/>
    <n v="693"/>
    <s v="2014-05-20 Alexa Herring(197)"/>
    <x v="93"/>
    <n v="6.99"/>
    <n v="2"/>
    <s v="www"/>
    <d v="2014-05-20T19:43:46"/>
    <d v="2014-05-20T00:00:00"/>
    <x v="4"/>
    <n v="13.98"/>
  </r>
  <r>
    <s v="0 Original"/>
    <s v="(694)"/>
    <n v="694"/>
    <s v="2014-05-20 Alexa Herring(197)"/>
    <x v="119"/>
    <n v="4.99"/>
    <n v="1"/>
    <s v="www"/>
    <d v="2014-05-20T19:43:46"/>
    <d v="2014-05-20T00:00:00"/>
    <x v="4"/>
    <n v="4.99"/>
  </r>
  <r>
    <s v="0 Original"/>
    <s v="(695)"/>
    <n v="695"/>
    <s v="2014-05-20 Alexa Herring(197)"/>
    <x v="113"/>
    <n v="9.99"/>
    <n v="1"/>
    <s v="www"/>
    <d v="2014-05-20T19:43:46"/>
    <d v="2014-05-20T00:00:00"/>
    <x v="4"/>
    <n v="9.99"/>
  </r>
  <r>
    <s v="0 Original"/>
    <s v="(696)"/>
    <n v="696"/>
    <s v="2014-05-20 Alexa Herring(197)"/>
    <x v="78"/>
    <n v="5.99"/>
    <n v="1"/>
    <s v="www"/>
    <d v="2014-05-20T19:43:46"/>
    <d v="2014-05-20T00:00:00"/>
    <x v="4"/>
    <n v="5.99"/>
  </r>
  <r>
    <s v="0 Original"/>
    <s v="(445)"/>
    <n v="445"/>
    <s v="2014-05-21 Alexa Herring(124)"/>
    <x v="132"/>
    <n v="7.99"/>
    <n v="2"/>
    <s v="www"/>
    <d v="2014-05-21T08:59:03"/>
    <d v="2014-05-21T00:00:00"/>
    <x v="4"/>
    <n v="15.98"/>
  </r>
  <r>
    <s v="0 Original"/>
    <s v="(446)"/>
    <n v="446"/>
    <s v="2014-05-21 Alexa Herring(124)"/>
    <x v="133"/>
    <n v="7.99"/>
    <n v="1"/>
    <s v="www"/>
    <d v="2014-05-21T08:59:03"/>
    <d v="2014-05-21T00:00:00"/>
    <x v="4"/>
    <n v="7.99"/>
  </r>
  <r>
    <s v="0 Original"/>
    <s v="(447)"/>
    <n v="447"/>
    <s v="2014-05-21 Alexa Herring(124)"/>
    <x v="134"/>
    <n v="9.99"/>
    <n v="1"/>
    <s v="www"/>
    <d v="2014-05-21T08:59:03"/>
    <d v="2014-05-21T00:00:00"/>
    <x v="4"/>
    <n v="9.99"/>
  </r>
  <r>
    <s v="0 Original"/>
    <s v="(448)"/>
    <n v="448"/>
    <s v="2014-05-21 Alexa Herring(124)"/>
    <x v="35"/>
    <n v="9.99"/>
    <n v="2"/>
    <s v="www"/>
    <d v="2014-05-21T08:59:03"/>
    <d v="2014-05-21T00:00:00"/>
    <x v="4"/>
    <n v="19.98"/>
  </r>
  <r>
    <s v="0 Original"/>
    <s v="(763)"/>
    <n v="763"/>
    <s v="2014-05-22 Alma Salas(217)"/>
    <x v="4"/>
    <n v="6.99"/>
    <n v="1"/>
    <s v="www"/>
    <d v="2014-05-22T04:33:48"/>
    <d v="2014-05-22T00:00:00"/>
    <x v="4"/>
    <n v="6.99"/>
  </r>
  <r>
    <s v="0 Original"/>
    <s v="(764)"/>
    <n v="764"/>
    <s v="2014-05-22 Alma Salas(217)"/>
    <x v="66"/>
    <n v="9.99"/>
    <n v="2"/>
    <s v="www"/>
    <d v="2014-05-22T04:33:48"/>
    <d v="2014-05-22T00:00:00"/>
    <x v="4"/>
    <n v="19.98"/>
  </r>
  <r>
    <s v="0 Original"/>
    <s v="(765)"/>
    <n v="765"/>
    <s v="2014-05-22 Alma Salas(217)"/>
    <x v="14"/>
    <n v="7.99"/>
    <n v="2"/>
    <s v="www"/>
    <d v="2014-05-22T04:33:48"/>
    <d v="2014-05-22T00:00:00"/>
    <x v="4"/>
    <n v="15.98"/>
  </r>
  <r>
    <s v="0 Original"/>
    <s v="(766)"/>
    <n v="766"/>
    <s v="2014-05-22 Alma Salas(217)"/>
    <x v="1"/>
    <n v="7.99"/>
    <n v="1"/>
    <s v="www"/>
    <d v="2014-05-22T04:33:48"/>
    <d v="2014-05-22T00:00:00"/>
    <x v="4"/>
    <n v="7.99"/>
  </r>
  <r>
    <s v="0 Original"/>
    <s v="(767)"/>
    <n v="767"/>
    <s v="2014-05-22 Alma Salas(217)"/>
    <x v="107"/>
    <n v="8.99"/>
    <n v="2"/>
    <s v="www"/>
    <d v="2014-05-22T04:33:48"/>
    <d v="2014-05-22T00:00:00"/>
    <x v="4"/>
    <n v="17.98"/>
  </r>
  <r>
    <s v="0 Original"/>
    <s v="(2610)"/>
    <n v="2610"/>
    <s v="2014-05-23 Nayda Shields(787)"/>
    <x v="7"/>
    <n v="9.99"/>
    <n v="1"/>
    <s v="www"/>
    <d v="2014-05-23T04:58:54"/>
    <d v="2014-05-23T00:00:00"/>
    <x v="4"/>
    <n v="9.99"/>
  </r>
  <r>
    <s v="0 Original"/>
    <s v="(2611)"/>
    <n v="2611"/>
    <s v="2014-05-23 Nayda Shields(787)"/>
    <x v="23"/>
    <n v="9.99"/>
    <n v="1"/>
    <s v="www"/>
    <d v="2014-05-23T04:58:54"/>
    <d v="2014-05-23T00:00:00"/>
    <x v="4"/>
    <n v="9.99"/>
  </r>
  <r>
    <s v="0 Original"/>
    <s v="(2612)"/>
    <n v="2612"/>
    <s v="2014-05-23 Nayda Shields(787)"/>
    <x v="9"/>
    <n v="7.99"/>
    <n v="1"/>
    <s v="www"/>
    <d v="2014-05-23T04:58:54"/>
    <d v="2014-05-23T00:00:00"/>
    <x v="4"/>
    <n v="7.99"/>
  </r>
  <r>
    <s v="0 Original"/>
    <s v="(3926)"/>
    <n v="3926"/>
    <s v="2014-05-23 Madeline Reynolds(1189)"/>
    <x v="30"/>
    <n v="6.99"/>
    <n v="2"/>
    <s v="www"/>
    <d v="2014-05-23T15:58:35"/>
    <d v="2014-05-23T00:00:00"/>
    <x v="4"/>
    <n v="13.98"/>
  </r>
  <r>
    <s v="0 Original"/>
    <s v="(3927)"/>
    <n v="3927"/>
    <s v="2014-05-23 Madeline Reynolds(1189)"/>
    <x v="9"/>
    <n v="7.99"/>
    <n v="1"/>
    <s v="www"/>
    <d v="2014-05-23T15:58:35"/>
    <d v="2014-05-23T00:00:00"/>
    <x v="4"/>
    <n v="7.99"/>
  </r>
  <r>
    <s v="0 Original"/>
    <s v="(1794)"/>
    <n v="1794"/>
    <s v="2014-05-23 Lionel Vargas(527)"/>
    <x v="59"/>
    <n v="6.99"/>
    <n v="1"/>
    <s v="www"/>
    <d v="2014-05-23T20:21:45"/>
    <d v="2014-05-23T00:00:00"/>
    <x v="4"/>
    <n v="6.99"/>
  </r>
  <r>
    <s v="0 Original"/>
    <s v="(1795)"/>
    <n v="1795"/>
    <s v="2014-05-23 Lionel Vargas(527)"/>
    <x v="47"/>
    <n v="6.99"/>
    <n v="1"/>
    <s v="www"/>
    <d v="2014-05-23T20:21:45"/>
    <d v="2014-05-23T00:00:00"/>
    <x v="4"/>
    <n v="6.99"/>
  </r>
  <r>
    <s v="0 Original"/>
    <s v="(1796)"/>
    <n v="1796"/>
    <s v="2014-05-23 Lionel Vargas(527)"/>
    <x v="6"/>
    <n v="5.99"/>
    <n v="2"/>
    <s v="www"/>
    <d v="2014-05-23T20:21:45"/>
    <d v="2014-05-23T00:00:00"/>
    <x v="4"/>
    <n v="11.98"/>
  </r>
  <r>
    <s v="0 Original"/>
    <s v="(1797)"/>
    <n v="1797"/>
    <s v="2014-05-23 Lionel Vargas(527)"/>
    <x v="28"/>
    <n v="5.99"/>
    <n v="1"/>
    <s v="www"/>
    <d v="2014-05-23T20:21:45"/>
    <d v="2014-05-23T00:00:00"/>
    <x v="4"/>
    <n v="5.99"/>
  </r>
  <r>
    <s v="0 Original"/>
    <s v="(1998)"/>
    <n v="1998"/>
    <s v="2014-05-23 Kendall Rocha(585)"/>
    <x v="22"/>
    <n v="6.99"/>
    <n v="1"/>
    <s v="www"/>
    <d v="2014-05-23T22:13:11"/>
    <d v="2014-05-23T00:00:00"/>
    <x v="4"/>
    <n v="6.99"/>
  </r>
  <r>
    <s v="0 Original"/>
    <s v="(1999)"/>
    <n v="1999"/>
    <s v="2014-05-23 Kendall Rocha(585)"/>
    <x v="13"/>
    <n v="8.99"/>
    <n v="1"/>
    <s v="www"/>
    <d v="2014-05-23T22:13:11"/>
    <d v="2014-05-23T00:00:00"/>
    <x v="4"/>
    <n v="8.99"/>
  </r>
  <r>
    <s v="0 Original"/>
    <s v="(3496)"/>
    <n v="3496"/>
    <s v="2014-05-24 Madeline Reynolds(1056)"/>
    <x v="6"/>
    <n v="5.99"/>
    <n v="1"/>
    <s v="www"/>
    <d v="2014-05-24T07:45:33"/>
    <d v="2014-05-24T00:00:00"/>
    <x v="4"/>
    <n v="5.99"/>
  </r>
  <r>
    <s v="0 Original"/>
    <s v="(3497)"/>
    <n v="3497"/>
    <s v="2014-05-24 Madeline Reynolds(1056)"/>
    <x v="24"/>
    <n v="7.99"/>
    <n v="1"/>
    <s v="www"/>
    <d v="2014-05-24T07:45:33"/>
    <d v="2014-05-24T00:00:00"/>
    <x v="4"/>
    <n v="7.99"/>
  </r>
  <r>
    <s v="0 Original"/>
    <s v="(3498)"/>
    <n v="3498"/>
    <s v="2014-05-24 Madeline Reynolds(1056)"/>
    <x v="24"/>
    <n v="7.99"/>
    <n v="1"/>
    <s v="www"/>
    <d v="2014-05-24T07:45:33"/>
    <d v="2014-05-24T00:00:00"/>
    <x v="4"/>
    <n v="7.99"/>
  </r>
  <r>
    <s v="0 Original"/>
    <s v="(3499)"/>
    <n v="3499"/>
    <s v="2014-05-24 Madeline Reynolds(1056)"/>
    <x v="30"/>
    <n v="6.99"/>
    <n v="2"/>
    <s v="www"/>
    <d v="2014-05-24T07:45:33"/>
    <d v="2014-05-24T00:00:00"/>
    <x v="4"/>
    <n v="13.98"/>
  </r>
  <r>
    <s v="0 Original"/>
    <s v="(3103)"/>
    <n v="3103"/>
    <s v="2014-05-24 Cameron Rivera(934)"/>
    <x v="24"/>
    <n v="7.99"/>
    <n v="2"/>
    <s v="www"/>
    <d v="2014-05-24T15:49:38"/>
    <d v="2014-05-24T00:00:00"/>
    <x v="4"/>
    <n v="15.98"/>
  </r>
  <r>
    <s v="0 Original"/>
    <s v="(3104)"/>
    <n v="3104"/>
    <s v="2014-05-24 Cameron Rivera(934)"/>
    <x v="16"/>
    <n v="6.99"/>
    <n v="1"/>
    <s v="www"/>
    <d v="2014-05-24T15:49:38"/>
    <d v="2014-05-24T00:00:00"/>
    <x v="4"/>
    <n v="6.99"/>
  </r>
  <r>
    <s v="0 Original"/>
    <s v="(3105)"/>
    <n v="3105"/>
    <s v="2014-05-24 Cameron Rivera(934)"/>
    <x v="24"/>
    <n v="7.99"/>
    <n v="1"/>
    <s v="www"/>
    <d v="2014-05-24T15:49:38"/>
    <d v="2014-05-24T00:00:00"/>
    <x v="4"/>
    <n v="7.99"/>
  </r>
  <r>
    <s v="0 Original"/>
    <s v="(3106)"/>
    <n v="3106"/>
    <s v="2014-05-24 Cameron Rivera(934)"/>
    <x v="6"/>
    <n v="5.99"/>
    <n v="2"/>
    <s v="www"/>
    <d v="2014-05-24T15:49:38"/>
    <d v="2014-05-24T00:00:00"/>
    <x v="4"/>
    <n v="11.98"/>
  </r>
  <r>
    <s v="0 Original"/>
    <s v="(3107)"/>
    <n v="3107"/>
    <s v="2014-05-24 Cameron Rivera(934)"/>
    <x v="25"/>
    <n v="9.99"/>
    <n v="1"/>
    <s v="www"/>
    <d v="2014-05-24T15:49:38"/>
    <d v="2014-05-24T00:00:00"/>
    <x v="4"/>
    <n v="9.99"/>
  </r>
  <r>
    <s v="0 Original"/>
    <s v="(3108)"/>
    <n v="3108"/>
    <s v="2014-05-24 Cameron Rivera(934)"/>
    <x v="16"/>
    <n v="6.99"/>
    <n v="1"/>
    <s v="www"/>
    <d v="2014-05-24T15:49:38"/>
    <d v="2014-05-24T00:00:00"/>
    <x v="4"/>
    <n v="6.99"/>
  </r>
  <r>
    <s v="0 Original"/>
    <s v="(3109)"/>
    <n v="3109"/>
    <s v="2014-05-24 Cameron Rivera(934)"/>
    <x v="23"/>
    <n v="9.99"/>
    <n v="1"/>
    <s v="www"/>
    <d v="2014-05-24T15:49:38"/>
    <d v="2014-05-24T00:00:00"/>
    <x v="4"/>
    <n v="9.99"/>
  </r>
  <r>
    <s v="0 Original"/>
    <s v="(3110)"/>
    <n v="3110"/>
    <s v="2014-05-24 Cameron Rivera(934)"/>
    <x v="23"/>
    <n v="9.99"/>
    <n v="1"/>
    <s v="www"/>
    <d v="2014-05-24T15:49:38"/>
    <d v="2014-05-24T00:00:00"/>
    <x v="4"/>
    <n v="9.99"/>
  </r>
  <r>
    <s v="0 Original"/>
    <s v="(3259)"/>
    <n v="3259"/>
    <s v="2014-05-24 Christine Medina(984)"/>
    <x v="30"/>
    <n v="6.99"/>
    <n v="1"/>
    <s v="www"/>
    <d v="2014-05-24T21:46:00"/>
    <d v="2014-05-24T00:00:00"/>
    <x v="4"/>
    <n v="6.99"/>
  </r>
  <r>
    <s v="0 Original"/>
    <s v="(3260)"/>
    <n v="3260"/>
    <s v="2014-05-24 Christine Medina(984)"/>
    <x v="7"/>
    <n v="9.99"/>
    <n v="1"/>
    <s v="www"/>
    <d v="2014-05-24T21:46:00"/>
    <d v="2014-05-24T00:00:00"/>
    <x v="4"/>
    <n v="9.99"/>
  </r>
  <r>
    <s v="0 Original"/>
    <s v="(1701)"/>
    <n v="1701"/>
    <s v="2014-05-25 Ora Mann(498)"/>
    <x v="16"/>
    <n v="6.99"/>
    <n v="1"/>
    <s v="www"/>
    <d v="2014-05-25T04:50:20"/>
    <d v="2014-05-25T00:00:00"/>
    <x v="4"/>
    <n v="6.99"/>
  </r>
  <r>
    <s v="0 Original"/>
    <s v="(3481)"/>
    <n v="3481"/>
    <s v="2014-05-25 Donovan Gomez(1051)"/>
    <x v="24"/>
    <n v="7.99"/>
    <n v="2"/>
    <s v="www"/>
    <d v="2014-05-25T19:00:02"/>
    <d v="2014-05-25T00:00:00"/>
    <x v="4"/>
    <n v="15.98"/>
  </r>
  <r>
    <s v="0 Original"/>
    <s v="(3482)"/>
    <n v="3482"/>
    <s v="2014-05-25 Donovan Gomez(1051)"/>
    <x v="16"/>
    <n v="6.99"/>
    <n v="1"/>
    <s v="www"/>
    <d v="2014-05-25T19:00:02"/>
    <d v="2014-05-25T00:00:00"/>
    <x v="4"/>
    <n v="6.99"/>
  </r>
  <r>
    <s v="0 Original"/>
    <s v="(3483)"/>
    <n v="3483"/>
    <s v="2014-05-25 Donovan Gomez(1051)"/>
    <x v="8"/>
    <n v="4.99"/>
    <n v="1"/>
    <s v="www"/>
    <d v="2014-05-25T19:00:02"/>
    <d v="2014-05-25T00:00:00"/>
    <x v="4"/>
    <n v="4.99"/>
  </r>
  <r>
    <s v="0 Original"/>
    <s v="(3484)"/>
    <n v="3484"/>
    <s v="2014-05-25 Donovan Gomez(1051)"/>
    <x v="6"/>
    <n v="5.99"/>
    <n v="2"/>
    <s v="www"/>
    <d v="2014-05-25T19:00:02"/>
    <d v="2014-05-25T00:00:00"/>
    <x v="4"/>
    <n v="11.98"/>
  </r>
  <r>
    <s v="0 Original"/>
    <s v="(3298)"/>
    <n v="3298"/>
    <s v="2014-05-26 Christine Medina(999)"/>
    <x v="23"/>
    <n v="9.99"/>
    <n v="1"/>
    <s v="www"/>
    <d v="2014-05-26T02:33:19"/>
    <d v="2014-05-26T00:00:00"/>
    <x v="4"/>
    <n v="9.99"/>
  </r>
  <r>
    <s v="0 Original"/>
    <s v="(1702)"/>
    <n v="1702"/>
    <s v="2014-05-26 Zane Parrish(499)"/>
    <x v="31"/>
    <n v="8.99"/>
    <n v="2"/>
    <s v="www"/>
    <d v="2014-05-26T12:15:44"/>
    <d v="2014-05-26T00:00:00"/>
    <x v="4"/>
    <n v="17.98"/>
  </r>
  <r>
    <s v="0 Original"/>
    <s v="(1703)"/>
    <n v="1703"/>
    <s v="2014-05-26 Zane Parrish(499)"/>
    <x v="86"/>
    <n v="9.99"/>
    <n v="1"/>
    <s v="www"/>
    <d v="2014-05-26T12:15:44"/>
    <d v="2014-05-26T00:00:00"/>
    <x v="4"/>
    <n v="9.99"/>
  </r>
  <r>
    <s v="0 Original"/>
    <s v="(1704)"/>
    <n v="1704"/>
    <s v="2014-05-26 Zane Parrish(499)"/>
    <x v="46"/>
    <n v="5.99"/>
    <n v="1"/>
    <s v="www"/>
    <d v="2014-05-26T12:15:44"/>
    <d v="2014-05-26T00:00:00"/>
    <x v="4"/>
    <n v="5.99"/>
  </r>
  <r>
    <s v="0 Original"/>
    <s v="(456)"/>
    <n v="456"/>
    <s v="2014-05-26 Colt Hart(127)"/>
    <x v="80"/>
    <n v="4.99"/>
    <n v="1"/>
    <s v="www"/>
    <d v="2014-05-26T19:11:32"/>
    <d v="2014-05-26T00:00:00"/>
    <x v="4"/>
    <n v="4.99"/>
  </r>
  <r>
    <s v="0 Original"/>
    <s v="(2121)"/>
    <n v="2121"/>
    <s v="2014-05-27 Galvin Becker(624)"/>
    <x v="37"/>
    <n v="8.99"/>
    <n v="1"/>
    <s v="www"/>
    <d v="2014-05-27T22:35:40"/>
    <d v="2014-05-27T00:00:00"/>
    <x v="4"/>
    <n v="8.99"/>
  </r>
  <r>
    <s v="0 Original"/>
    <s v="(2122)"/>
    <n v="2122"/>
    <s v="2014-05-27 Galvin Becker(624)"/>
    <x v="27"/>
    <n v="9.99"/>
    <n v="1"/>
    <s v="www"/>
    <d v="2014-05-27T22:35:40"/>
    <d v="2014-05-27T00:00:00"/>
    <x v="4"/>
    <n v="9.99"/>
  </r>
  <r>
    <s v="0 Original"/>
    <s v="(2123)"/>
    <n v="2123"/>
    <s v="2014-05-27 Galvin Becker(624)"/>
    <x v="2"/>
    <n v="7.99"/>
    <n v="1"/>
    <s v="www"/>
    <d v="2014-05-27T22:35:40"/>
    <d v="2014-05-27T00:00:00"/>
    <x v="4"/>
    <n v="7.99"/>
  </r>
  <r>
    <s v="0 Original"/>
    <s v="(2713)"/>
    <n v="2713"/>
    <s v="2014-05-28 Cameron Rivera(816)"/>
    <x v="24"/>
    <n v="7.99"/>
    <n v="1"/>
    <s v="www"/>
    <d v="2014-05-28T03:02:32"/>
    <d v="2014-05-28T00:00:00"/>
    <x v="4"/>
    <n v="7.99"/>
  </r>
  <r>
    <s v="0 Original"/>
    <s v="(2714)"/>
    <n v="2714"/>
    <s v="2014-05-28 Cameron Rivera(816)"/>
    <x v="30"/>
    <n v="6.99"/>
    <n v="1"/>
    <s v="www"/>
    <d v="2014-05-28T03:02:32"/>
    <d v="2014-05-28T00:00:00"/>
    <x v="4"/>
    <n v="6.99"/>
  </r>
  <r>
    <s v="0 Original"/>
    <s v="(3865)"/>
    <n v="3865"/>
    <s v="2014-05-28 Madeline Reynolds(1172)"/>
    <x v="25"/>
    <n v="9.99"/>
    <n v="1"/>
    <s v="www"/>
    <d v="2014-05-28T12:15:43"/>
    <d v="2014-05-28T00:00:00"/>
    <x v="4"/>
    <n v="9.99"/>
  </r>
  <r>
    <s v="0 Original"/>
    <s v="(3866)"/>
    <n v="3866"/>
    <s v="2014-05-28 Madeline Reynolds(1172)"/>
    <x v="6"/>
    <n v="5.99"/>
    <n v="1"/>
    <s v="www"/>
    <d v="2014-05-28T12:15:43"/>
    <d v="2014-05-28T00:00:00"/>
    <x v="4"/>
    <n v="5.99"/>
  </r>
  <r>
    <s v="0 Original"/>
    <s v="(3867)"/>
    <n v="3867"/>
    <s v="2014-05-28 Madeline Reynolds(1172)"/>
    <x v="25"/>
    <n v="9.99"/>
    <n v="2"/>
    <s v="www"/>
    <d v="2014-05-28T12:15:43"/>
    <d v="2014-05-28T00:00:00"/>
    <x v="4"/>
    <n v="19.98"/>
  </r>
  <r>
    <s v="0 Original"/>
    <s v="(3868)"/>
    <n v="3868"/>
    <s v="2014-05-28 Madeline Reynolds(1172)"/>
    <x v="24"/>
    <n v="7.99"/>
    <n v="2"/>
    <s v="www"/>
    <d v="2014-05-28T12:15:43"/>
    <d v="2014-05-28T00:00:00"/>
    <x v="4"/>
    <n v="15.98"/>
  </r>
  <r>
    <s v="0 Original"/>
    <s v="(3869)"/>
    <n v="3869"/>
    <s v="2014-05-28 Madeline Reynolds(1172)"/>
    <x v="8"/>
    <n v="4.99"/>
    <n v="1"/>
    <s v="www"/>
    <d v="2014-05-28T12:15:43"/>
    <d v="2014-05-28T00:00:00"/>
    <x v="4"/>
    <n v="4.99"/>
  </r>
  <r>
    <s v="0 Original"/>
    <s v="(2107)"/>
    <n v="2107"/>
    <s v="2014-05-28 Stacey Kirk(620)"/>
    <x v="82"/>
    <n v="5.99"/>
    <n v="1"/>
    <s v="www"/>
    <d v="2014-05-28T17:44:01"/>
    <d v="2014-05-28T00:00:00"/>
    <x v="4"/>
    <n v="5.99"/>
  </r>
  <r>
    <s v="0 Original"/>
    <s v="(2108)"/>
    <n v="2108"/>
    <s v="2014-05-28 Stacey Kirk(620)"/>
    <x v="29"/>
    <n v="4.99"/>
    <n v="1"/>
    <s v="www"/>
    <d v="2014-05-28T17:44:01"/>
    <d v="2014-05-28T00:00:00"/>
    <x v="4"/>
    <n v="4.99"/>
  </r>
  <r>
    <s v="0 Original"/>
    <s v="(2109)"/>
    <n v="2109"/>
    <s v="2014-05-28 Stacey Kirk(620)"/>
    <x v="37"/>
    <n v="8.99"/>
    <n v="1"/>
    <s v="www"/>
    <d v="2014-05-28T17:44:01"/>
    <d v="2014-05-28T00:00:00"/>
    <x v="4"/>
    <n v="8.99"/>
  </r>
  <r>
    <s v="0 Original"/>
    <s v="(1663)"/>
    <n v="1663"/>
    <s v="2014-05-30 Angelica Ortiz(484)"/>
    <x v="35"/>
    <n v="9.99"/>
    <n v="1"/>
    <s v="www"/>
    <d v="2014-05-30T08:36:45"/>
    <d v="2014-05-30T00:00:00"/>
    <x v="4"/>
    <n v="9.99"/>
  </r>
  <r>
    <s v="0 Original"/>
    <s v="(1664)"/>
    <n v="1664"/>
    <s v="2014-05-30 Angelica Ortiz(484)"/>
    <x v="82"/>
    <n v="5.99"/>
    <n v="1"/>
    <s v="www"/>
    <d v="2014-05-30T08:36:45"/>
    <d v="2014-05-30T00:00:00"/>
    <x v="4"/>
    <n v="5.99"/>
  </r>
  <r>
    <s v="0 Original"/>
    <s v="(2504)"/>
    <n v="2504"/>
    <s v="2014-05-30 Nayda Shields(751)"/>
    <x v="7"/>
    <n v="9.99"/>
    <n v="2"/>
    <s v="www"/>
    <d v="2014-05-30T21:21:34"/>
    <d v="2014-05-30T00:00:00"/>
    <x v="4"/>
    <n v="19.98"/>
  </r>
  <r>
    <s v="0 Original"/>
    <s v="(2505)"/>
    <n v="2505"/>
    <s v="2014-05-30 Nayda Shields(751)"/>
    <x v="8"/>
    <n v="4.99"/>
    <n v="1"/>
    <s v="www"/>
    <d v="2014-05-30T21:21:34"/>
    <d v="2014-05-30T00:00:00"/>
    <x v="4"/>
    <n v="4.99"/>
  </r>
  <r>
    <s v="0 Original"/>
    <s v="(2786)"/>
    <n v="2786"/>
    <s v="2014-05-31 Nayda Shields(839)"/>
    <x v="41"/>
    <n v="4.99"/>
    <n v="1"/>
    <s v="www"/>
    <d v="2014-05-31T14:06:27"/>
    <d v="2014-05-31T00:00:00"/>
    <x v="4"/>
    <n v="4.99"/>
  </r>
  <r>
    <s v="0 Original"/>
    <s v="(3430)"/>
    <n v="3430"/>
    <s v="2014-06-01 John Drake(1036)"/>
    <x v="23"/>
    <n v="9.99"/>
    <n v="2"/>
    <s v="www"/>
    <d v="2014-06-01T02:59:31"/>
    <d v="2014-06-01T00:00:00"/>
    <x v="5"/>
    <n v="19.98"/>
  </r>
  <r>
    <s v="0 Original"/>
    <s v="(3431)"/>
    <n v="3431"/>
    <s v="2014-06-01 John Drake(1036)"/>
    <x v="24"/>
    <n v="7.99"/>
    <n v="2"/>
    <s v="www"/>
    <d v="2014-06-01T02:59:31"/>
    <d v="2014-06-01T00:00:00"/>
    <x v="5"/>
    <n v="15.98"/>
  </r>
  <r>
    <s v="0 Original"/>
    <s v="(3432)"/>
    <n v="3432"/>
    <s v="2014-06-01 John Drake(1036)"/>
    <x v="6"/>
    <n v="5.99"/>
    <n v="1"/>
    <s v="www"/>
    <d v="2014-06-01T02:59:31"/>
    <d v="2014-06-01T00:00:00"/>
    <x v="5"/>
    <n v="5.99"/>
  </r>
  <r>
    <s v="0 Original"/>
    <s v="(3433)"/>
    <n v="3433"/>
    <s v="2014-06-01 John Drake(1036)"/>
    <x v="9"/>
    <n v="7.99"/>
    <n v="1"/>
    <s v="www"/>
    <d v="2014-06-01T02:59:31"/>
    <d v="2014-06-01T00:00:00"/>
    <x v="5"/>
    <n v="7.99"/>
  </r>
  <r>
    <s v="0 Original"/>
    <s v="(1931)"/>
    <n v="1931"/>
    <s v="2014-06-01 Martin Dunlap(565)"/>
    <x v="31"/>
    <n v="8.99"/>
    <n v="2"/>
    <s v="www"/>
    <d v="2014-06-01T09:14:16"/>
    <d v="2014-06-01T00:00:00"/>
    <x v="5"/>
    <n v="17.98"/>
  </r>
  <r>
    <s v="0 Original"/>
    <s v="(1932)"/>
    <n v="1932"/>
    <s v="2014-06-01 Martin Dunlap(565)"/>
    <x v="82"/>
    <n v="5.99"/>
    <n v="1"/>
    <s v="www"/>
    <d v="2014-06-01T09:14:16"/>
    <d v="2014-06-01T00:00:00"/>
    <x v="5"/>
    <n v="5.99"/>
  </r>
  <r>
    <s v="0 Original"/>
    <s v="(1933)"/>
    <n v="1933"/>
    <s v="2014-06-01 Martin Dunlap(565)"/>
    <x v="17"/>
    <n v="9.99"/>
    <n v="2"/>
    <s v="www"/>
    <d v="2014-06-01T09:14:16"/>
    <d v="2014-06-01T00:00:00"/>
    <x v="5"/>
    <n v="19.98"/>
  </r>
  <r>
    <s v="0 Original"/>
    <s v="(1389)"/>
    <n v="1389"/>
    <s v="2014-06-02 Adrian Dodson(404)"/>
    <x v="35"/>
    <n v="9.99"/>
    <n v="1"/>
    <s v="www"/>
    <d v="2014-06-02T08:32:16"/>
    <d v="2014-06-02T00:00:00"/>
    <x v="5"/>
    <n v="9.99"/>
  </r>
  <r>
    <s v="0 Original"/>
    <s v="(1390)"/>
    <n v="1390"/>
    <s v="2014-06-02 Adrian Dodson(404)"/>
    <x v="1"/>
    <n v="7.99"/>
    <n v="1"/>
    <s v="www"/>
    <d v="2014-06-02T08:32:16"/>
    <d v="2014-06-02T00:00:00"/>
    <x v="5"/>
    <n v="7.99"/>
  </r>
  <r>
    <s v="0 Original"/>
    <s v="(1391)"/>
    <n v="1391"/>
    <s v="2014-06-02 Adrian Dodson(404)"/>
    <x v="91"/>
    <n v="9.99"/>
    <n v="2"/>
    <s v="www"/>
    <d v="2014-06-02T08:32:16"/>
    <d v="2014-06-02T00:00:00"/>
    <x v="5"/>
    <n v="19.98"/>
  </r>
  <r>
    <s v="0 Original"/>
    <s v="(3490)"/>
    <n v="3490"/>
    <s v="2014-06-03 Donovan Gomez(1054)"/>
    <x v="24"/>
    <n v="7.99"/>
    <n v="1"/>
    <s v="www"/>
    <d v="2014-06-03T02:46:28"/>
    <d v="2014-06-03T00:00:00"/>
    <x v="5"/>
    <n v="7.99"/>
  </r>
  <r>
    <s v="0 Original"/>
    <s v="(1104)"/>
    <n v="1104"/>
    <s v="2014-06-03 Theodore Mills(318)"/>
    <x v="35"/>
    <n v="9.99"/>
    <n v="2"/>
    <s v="www"/>
    <d v="2014-06-03T16:58:55"/>
    <d v="2014-06-03T00:00:00"/>
    <x v="5"/>
    <n v="19.98"/>
  </r>
  <r>
    <s v="0 Original"/>
    <s v="(1105)"/>
    <n v="1105"/>
    <s v="2014-06-03 Theodore Mills(318)"/>
    <x v="12"/>
    <n v="8.99"/>
    <n v="1"/>
    <s v="www"/>
    <d v="2014-06-03T16:58:55"/>
    <d v="2014-06-03T00:00:00"/>
    <x v="5"/>
    <n v="8.99"/>
  </r>
  <r>
    <s v="0 Original"/>
    <s v="(1567)"/>
    <n v="1567"/>
    <s v="2014-06-03 Harrison Klein(450)"/>
    <x v="36"/>
    <n v="6.99"/>
    <n v="1"/>
    <s v="www"/>
    <d v="2014-06-03T23:09:02"/>
    <d v="2014-06-03T00:00:00"/>
    <x v="5"/>
    <n v="6.99"/>
  </r>
  <r>
    <s v="0 Original"/>
    <s v="(1568)"/>
    <n v="1568"/>
    <s v="2014-06-03 Harrison Klein(450)"/>
    <x v="58"/>
    <n v="4.99"/>
    <n v="1"/>
    <s v="www"/>
    <d v="2014-06-03T23:09:02"/>
    <d v="2014-06-03T00:00:00"/>
    <x v="5"/>
    <n v="4.99"/>
  </r>
  <r>
    <s v="0 Original"/>
    <s v="(1569)"/>
    <n v="1569"/>
    <s v="2014-06-03 Harrison Klein(450)"/>
    <x v="9"/>
    <n v="7.99"/>
    <n v="1"/>
    <s v="www"/>
    <d v="2014-06-03T23:09:02"/>
    <d v="2014-06-03T00:00:00"/>
    <x v="5"/>
    <n v="7.99"/>
  </r>
  <r>
    <s v="0 Original"/>
    <s v="(681)"/>
    <n v="681"/>
    <s v="2014-06-04 Indira Suarez(194)"/>
    <x v="30"/>
    <n v="6.99"/>
    <n v="1"/>
    <s v="www"/>
    <d v="2014-06-04T04:59:57"/>
    <d v="2014-06-04T00:00:00"/>
    <x v="5"/>
    <n v="6.99"/>
  </r>
  <r>
    <s v="0 Original"/>
    <s v="(682)"/>
    <n v="682"/>
    <s v="2014-06-04 Indira Suarez(194)"/>
    <x v="135"/>
    <n v="5.99"/>
    <n v="2"/>
    <s v="www"/>
    <d v="2014-06-04T04:59:57"/>
    <d v="2014-06-04T00:00:00"/>
    <x v="5"/>
    <n v="11.98"/>
  </r>
  <r>
    <s v="0 Original"/>
    <s v="(1213)"/>
    <n v="1213"/>
    <s v="2014-06-06 Yoshi Bennett(354)"/>
    <x v="22"/>
    <n v="6.99"/>
    <n v="1"/>
    <s v="www"/>
    <d v="2014-06-06T22:12:42"/>
    <d v="2014-06-06T00:00:00"/>
    <x v="5"/>
    <n v="6.99"/>
  </r>
  <r>
    <s v="0 Original"/>
    <s v="(1214)"/>
    <n v="1214"/>
    <s v="2014-06-06 Yoshi Bennett(354)"/>
    <x v="12"/>
    <n v="8.99"/>
    <n v="1"/>
    <s v="www"/>
    <d v="2014-06-06T22:12:42"/>
    <d v="2014-06-06T00:00:00"/>
    <x v="5"/>
    <n v="8.99"/>
  </r>
  <r>
    <s v="0 Original"/>
    <s v="(837)"/>
    <n v="837"/>
    <s v="2014-06-07 Zane Parrish(239)"/>
    <x v="59"/>
    <n v="6.99"/>
    <n v="1"/>
    <s v="www"/>
    <d v="2014-06-07T17:10:01"/>
    <d v="2014-06-07T00:00:00"/>
    <x v="5"/>
    <n v="6.99"/>
  </r>
  <r>
    <s v="0 Original"/>
    <s v="(838)"/>
    <n v="838"/>
    <s v="2014-06-07 Zane Parrish(239)"/>
    <x v="20"/>
    <n v="7.99"/>
    <n v="1"/>
    <s v="www"/>
    <d v="2014-06-07T17:10:01"/>
    <d v="2014-06-07T00:00:00"/>
    <x v="5"/>
    <n v="7.99"/>
  </r>
  <r>
    <s v="0 Original"/>
    <s v="(839)"/>
    <n v="839"/>
    <s v="2014-06-07 Zane Parrish(239)"/>
    <x v="15"/>
    <n v="8.99"/>
    <n v="1"/>
    <s v="www"/>
    <d v="2014-06-07T17:10:01"/>
    <d v="2014-06-07T00:00:00"/>
    <x v="5"/>
    <n v="8.99"/>
  </r>
  <r>
    <s v="0 Original"/>
    <s v="(840)"/>
    <n v="840"/>
    <s v="2014-06-07 Zane Parrish(239)"/>
    <x v="33"/>
    <n v="4.99"/>
    <n v="1"/>
    <s v="www"/>
    <d v="2014-06-07T17:10:01"/>
    <d v="2014-06-07T00:00:00"/>
    <x v="5"/>
    <n v="4.99"/>
  </r>
  <r>
    <s v="0 Original"/>
    <s v="(3758)"/>
    <n v="3758"/>
    <s v="2014-06-08 Belle Short(1138)"/>
    <x v="30"/>
    <n v="6.99"/>
    <n v="1"/>
    <s v="www"/>
    <d v="2014-06-08T21:22:26"/>
    <d v="2014-06-08T00:00:00"/>
    <x v="5"/>
    <n v="6.99"/>
  </r>
  <r>
    <s v="0 Original"/>
    <s v="(3759)"/>
    <n v="3759"/>
    <s v="2014-06-08 Belle Short(1138)"/>
    <x v="23"/>
    <n v="9.99"/>
    <n v="1"/>
    <s v="www"/>
    <d v="2014-06-08T21:22:26"/>
    <d v="2014-06-08T00:00:00"/>
    <x v="5"/>
    <n v="9.99"/>
  </r>
  <r>
    <s v="0 Original"/>
    <s v="(219)"/>
    <n v="219"/>
    <s v="2014-06-08 Zeus Trujillo(60)"/>
    <x v="92"/>
    <n v="7.99"/>
    <n v="1"/>
    <s v="www"/>
    <d v="2014-06-08T21:53:59"/>
    <d v="2014-06-08T00:00:00"/>
    <x v="5"/>
    <n v="7.99"/>
  </r>
  <r>
    <s v="0 Original"/>
    <s v="(220)"/>
    <n v="220"/>
    <s v="2014-06-08 Zeus Trujillo(60)"/>
    <x v="62"/>
    <n v="8.99"/>
    <n v="1"/>
    <s v="www"/>
    <d v="2014-06-08T21:53:59"/>
    <d v="2014-06-08T00:00:00"/>
    <x v="5"/>
    <n v="8.99"/>
  </r>
  <r>
    <s v="0 Original"/>
    <s v="(1025)"/>
    <n v="1025"/>
    <s v="2014-06-09 Madeson Silva(291)"/>
    <x v="43"/>
    <n v="4.99"/>
    <n v="2"/>
    <s v="www"/>
    <d v="2014-06-09T07:00:25"/>
    <d v="2014-06-09T00:00:00"/>
    <x v="5"/>
    <n v="9.98"/>
  </r>
  <r>
    <s v="0 Original"/>
    <s v="(1026)"/>
    <n v="1026"/>
    <s v="2014-06-09 Madeson Silva(291)"/>
    <x v="47"/>
    <n v="6.99"/>
    <n v="1"/>
    <s v="www"/>
    <d v="2014-06-09T07:00:25"/>
    <d v="2014-06-09T00:00:00"/>
    <x v="5"/>
    <n v="6.99"/>
  </r>
  <r>
    <s v="0 Original"/>
    <s v="(1027)"/>
    <n v="1027"/>
    <s v="2014-06-09 Madeson Silva(291)"/>
    <x v="43"/>
    <n v="4.99"/>
    <n v="1"/>
    <s v="www"/>
    <d v="2014-06-09T07:00:25"/>
    <d v="2014-06-09T00:00:00"/>
    <x v="5"/>
    <n v="4.99"/>
  </r>
  <r>
    <s v="0 Original"/>
    <s v="(2006)"/>
    <n v="2006"/>
    <s v="2014-06-09 Stuart Vega(589)"/>
    <x v="89"/>
    <n v="5.99"/>
    <n v="1"/>
    <s v="www"/>
    <d v="2014-06-09T13:21:43"/>
    <d v="2014-06-09T00:00:00"/>
    <x v="5"/>
    <n v="5.99"/>
  </r>
  <r>
    <s v="0 Original"/>
    <s v="(2007)"/>
    <n v="2007"/>
    <s v="2014-06-09 Stuart Vega(589)"/>
    <x v="37"/>
    <n v="8.99"/>
    <n v="1"/>
    <s v="www"/>
    <d v="2014-06-09T13:21:43"/>
    <d v="2014-06-09T00:00:00"/>
    <x v="5"/>
    <n v="8.99"/>
  </r>
  <r>
    <s v="0 Original"/>
    <s v="(3710)"/>
    <n v="3710"/>
    <s v="2014-06-09 John Drake(1125)"/>
    <x v="24"/>
    <n v="7.99"/>
    <n v="1"/>
    <s v="www"/>
    <d v="2014-06-09T22:11:32"/>
    <d v="2014-06-09T00:00:00"/>
    <x v="5"/>
    <n v="7.99"/>
  </r>
  <r>
    <s v="0 Original"/>
    <s v="(3711)"/>
    <n v="3711"/>
    <s v="2014-06-09 John Drake(1125)"/>
    <x v="30"/>
    <n v="6.99"/>
    <n v="1"/>
    <s v="www"/>
    <d v="2014-06-09T22:11:32"/>
    <d v="2014-06-09T00:00:00"/>
    <x v="5"/>
    <n v="6.99"/>
  </r>
  <r>
    <s v="0 Original"/>
    <s v="(3712)"/>
    <n v="3712"/>
    <s v="2014-06-09 John Drake(1125)"/>
    <x v="8"/>
    <n v="4.99"/>
    <n v="1"/>
    <s v="www"/>
    <d v="2014-06-09T22:11:32"/>
    <d v="2014-06-09T00:00:00"/>
    <x v="5"/>
    <n v="4.99"/>
  </r>
  <r>
    <s v="0 Original"/>
    <s v="(3713)"/>
    <n v="3713"/>
    <s v="2014-06-09 John Drake(1125)"/>
    <x v="8"/>
    <n v="4.99"/>
    <n v="2"/>
    <s v="www"/>
    <d v="2014-06-09T22:11:32"/>
    <d v="2014-06-09T00:00:00"/>
    <x v="5"/>
    <n v="9.98"/>
  </r>
  <r>
    <s v="0 Original"/>
    <s v="(3714)"/>
    <n v="3714"/>
    <s v="2014-06-09 John Drake(1125)"/>
    <x v="25"/>
    <n v="9.99"/>
    <n v="1"/>
    <s v="www"/>
    <d v="2014-06-09T22:11:32"/>
    <d v="2014-06-09T00:00:00"/>
    <x v="5"/>
    <n v="9.99"/>
  </r>
  <r>
    <s v="0 Original"/>
    <s v="(3715)"/>
    <n v="3715"/>
    <s v="2014-06-09 John Drake(1125)"/>
    <x v="30"/>
    <n v="6.99"/>
    <n v="1"/>
    <s v="www"/>
    <d v="2014-06-09T22:11:32"/>
    <d v="2014-06-09T00:00:00"/>
    <x v="5"/>
    <n v="6.99"/>
  </r>
  <r>
    <s v="0 Original"/>
    <s v="(3217)"/>
    <n v="3217"/>
    <s v="2014-06-10 Prescott Nelson(971)"/>
    <x v="6"/>
    <n v="5.99"/>
    <n v="2"/>
    <s v="www"/>
    <d v="2014-06-10T04:22:49"/>
    <d v="2014-06-10T00:00:00"/>
    <x v="5"/>
    <n v="11.98"/>
  </r>
  <r>
    <s v="0 Original"/>
    <s v="(3218)"/>
    <n v="3218"/>
    <s v="2014-06-10 Prescott Nelson(971)"/>
    <x v="41"/>
    <n v="4.99"/>
    <n v="2"/>
    <s v="www"/>
    <d v="2014-06-10T04:22:49"/>
    <d v="2014-06-10T00:00:00"/>
    <x v="5"/>
    <n v="9.98"/>
  </r>
  <r>
    <s v="0 Original"/>
    <s v="(3219)"/>
    <n v="3219"/>
    <s v="2014-06-10 Prescott Nelson(971)"/>
    <x v="9"/>
    <n v="7.99"/>
    <n v="2"/>
    <s v="www"/>
    <d v="2014-06-10T04:22:49"/>
    <d v="2014-06-10T00:00:00"/>
    <x v="5"/>
    <n v="15.98"/>
  </r>
  <r>
    <s v="0 Original"/>
    <s v="(742)"/>
    <n v="742"/>
    <s v="2014-06-10 Blossom Mosley(211)"/>
    <x v="11"/>
    <n v="8.99"/>
    <n v="2"/>
    <s v="www"/>
    <d v="2014-06-10T09:52:09"/>
    <d v="2014-06-10T00:00:00"/>
    <x v="5"/>
    <n v="17.98"/>
  </r>
  <r>
    <s v="0 Original"/>
    <s v="(743)"/>
    <n v="743"/>
    <s v="2014-06-10 Blossom Mosley(211)"/>
    <x v="58"/>
    <n v="4.99"/>
    <n v="2"/>
    <s v="www"/>
    <d v="2014-06-10T09:52:09"/>
    <d v="2014-06-10T00:00:00"/>
    <x v="5"/>
    <n v="9.98"/>
  </r>
  <r>
    <s v="0 Original"/>
    <s v="(744)"/>
    <n v="744"/>
    <s v="2014-06-10 Blossom Mosley(211)"/>
    <x v="3"/>
    <n v="7.99"/>
    <n v="1"/>
    <s v="www"/>
    <d v="2014-06-10T09:52:09"/>
    <d v="2014-06-10T00:00:00"/>
    <x v="5"/>
    <n v="7.99"/>
  </r>
  <r>
    <s v="0 Original"/>
    <s v="(3354)"/>
    <n v="3354"/>
    <s v="2014-06-10 Christine Medina(1013)"/>
    <x v="23"/>
    <n v="9.99"/>
    <n v="2"/>
    <s v="www"/>
    <d v="2014-06-10T23:55:21"/>
    <d v="2014-06-10T00:00:00"/>
    <x v="5"/>
    <n v="19.98"/>
  </r>
  <r>
    <s v="0 Original"/>
    <s v="(3355)"/>
    <n v="3355"/>
    <s v="2014-06-10 Christine Medina(1013)"/>
    <x v="6"/>
    <n v="5.99"/>
    <n v="2"/>
    <s v="www"/>
    <d v="2014-06-10T23:55:21"/>
    <d v="2014-06-10T00:00:00"/>
    <x v="5"/>
    <n v="11.98"/>
  </r>
  <r>
    <s v="0 Original"/>
    <s v="(3356)"/>
    <n v="3356"/>
    <s v="2014-06-10 Christine Medina(1013)"/>
    <x v="7"/>
    <n v="9.99"/>
    <n v="1"/>
    <s v="www"/>
    <d v="2014-06-10T23:55:21"/>
    <d v="2014-06-10T00:00:00"/>
    <x v="5"/>
    <n v="9.99"/>
  </r>
  <r>
    <s v="0 Original"/>
    <s v="(593)"/>
    <n v="593"/>
    <s v="2014-06-11 Madeson Silva(169)"/>
    <x v="100"/>
    <n v="4.99"/>
    <n v="1"/>
    <s v="www"/>
    <d v="2014-06-11T02:12:16"/>
    <d v="2014-06-11T00:00:00"/>
    <x v="5"/>
    <n v="4.99"/>
  </r>
  <r>
    <s v="0 Original"/>
    <s v="(594)"/>
    <n v="594"/>
    <s v="2014-06-11 Madeson Silva(169)"/>
    <x v="27"/>
    <n v="9.99"/>
    <n v="2"/>
    <s v="www"/>
    <d v="2014-06-11T02:12:16"/>
    <d v="2014-06-11T00:00:00"/>
    <x v="5"/>
    <n v="19.98"/>
  </r>
  <r>
    <s v="0 Original"/>
    <s v="(432)"/>
    <n v="432"/>
    <s v="2014-06-12 Ulysses Hudson(119)"/>
    <x v="136"/>
    <n v="7.99"/>
    <n v="1"/>
    <s v="www"/>
    <d v="2014-06-12T05:41:48"/>
    <d v="2014-06-12T00:00:00"/>
    <x v="5"/>
    <n v="7.99"/>
  </r>
  <r>
    <s v="0 Original"/>
    <s v="(433)"/>
    <n v="433"/>
    <s v="2014-06-12 Ulysses Hudson(119)"/>
    <x v="129"/>
    <n v="7.99"/>
    <n v="1"/>
    <s v="www"/>
    <d v="2014-06-12T05:41:48"/>
    <d v="2014-06-12T00:00:00"/>
    <x v="5"/>
    <n v="7.99"/>
  </r>
  <r>
    <s v="0 Original"/>
    <s v="(434)"/>
    <n v="434"/>
    <s v="2014-06-12 Ulysses Hudson(119)"/>
    <x v="137"/>
    <n v="8.99"/>
    <n v="1"/>
    <s v="www"/>
    <d v="2014-06-12T05:41:48"/>
    <d v="2014-06-12T00:00:00"/>
    <x v="5"/>
    <n v="8.99"/>
  </r>
  <r>
    <s v="0 Original"/>
    <s v="(3665)"/>
    <n v="3665"/>
    <s v="2014-06-12 Donovan Gomez(1110)"/>
    <x v="23"/>
    <n v="9.99"/>
    <n v="2"/>
    <s v="www"/>
    <d v="2014-06-12T16:37:05"/>
    <d v="2014-06-12T00:00:00"/>
    <x v="5"/>
    <n v="19.98"/>
  </r>
  <r>
    <s v="0 Original"/>
    <s v="(3666)"/>
    <n v="3666"/>
    <s v="2014-06-12 Donovan Gomez(1110)"/>
    <x v="41"/>
    <n v="4.99"/>
    <n v="2"/>
    <s v="www"/>
    <d v="2014-06-12T16:37:05"/>
    <d v="2014-06-12T00:00:00"/>
    <x v="5"/>
    <n v="9.98"/>
  </r>
  <r>
    <s v="0 Original"/>
    <s v="(3667)"/>
    <n v="3667"/>
    <s v="2014-06-12 Donovan Gomez(1110)"/>
    <x v="41"/>
    <n v="4.99"/>
    <n v="1"/>
    <s v="www"/>
    <d v="2014-06-12T16:37:05"/>
    <d v="2014-06-12T00:00:00"/>
    <x v="5"/>
    <n v="4.99"/>
  </r>
  <r>
    <s v="0 Original"/>
    <s v="(3668)"/>
    <n v="3668"/>
    <s v="2014-06-12 Donovan Gomez(1110)"/>
    <x v="23"/>
    <n v="9.99"/>
    <n v="1"/>
    <s v="www"/>
    <d v="2014-06-12T16:37:05"/>
    <d v="2014-06-12T00:00:00"/>
    <x v="5"/>
    <n v="9.99"/>
  </r>
  <r>
    <s v="0 Original"/>
    <s v="(3408)"/>
    <n v="3408"/>
    <s v="2014-06-14 John Drake(1029)"/>
    <x v="30"/>
    <n v="6.99"/>
    <n v="3"/>
    <s v="www"/>
    <d v="2014-06-14T12:10:41"/>
    <d v="2014-06-14T00:00:00"/>
    <x v="5"/>
    <n v="20.97"/>
  </r>
  <r>
    <s v="0 Original"/>
    <s v="(3409)"/>
    <n v="3409"/>
    <s v="2014-06-14 John Drake(1029)"/>
    <x v="6"/>
    <n v="5.99"/>
    <n v="1"/>
    <s v="www"/>
    <d v="2014-06-14T12:10:41"/>
    <d v="2014-06-14T00:00:00"/>
    <x v="5"/>
    <n v="5.99"/>
  </r>
  <r>
    <s v="0 Original"/>
    <s v="(3410)"/>
    <n v="3410"/>
    <s v="2014-06-14 John Drake(1029)"/>
    <x v="9"/>
    <n v="7.99"/>
    <n v="1"/>
    <s v="www"/>
    <d v="2014-06-14T12:10:41"/>
    <d v="2014-06-14T00:00:00"/>
    <x v="5"/>
    <n v="7.99"/>
  </r>
  <r>
    <s v="0 Original"/>
    <s v="(2556)"/>
    <n v="2556"/>
    <s v="2014-06-15 John Drake(770)"/>
    <x v="25"/>
    <n v="9.99"/>
    <n v="1"/>
    <s v="www"/>
    <d v="2014-06-15T03:12:25"/>
    <d v="2014-06-15T00:00:00"/>
    <x v="5"/>
    <n v="9.99"/>
  </r>
  <r>
    <s v="0 Original"/>
    <s v="(2557)"/>
    <n v="2557"/>
    <s v="2014-06-15 John Drake(770)"/>
    <x v="8"/>
    <n v="4.99"/>
    <n v="1"/>
    <s v="www"/>
    <d v="2014-06-15T03:12:25"/>
    <d v="2014-06-15T00:00:00"/>
    <x v="5"/>
    <n v="4.99"/>
  </r>
  <r>
    <s v="0 Original"/>
    <s v="(9)"/>
    <n v="9"/>
    <s v="2014-06-15 Prescott Nelson(5)"/>
    <x v="138"/>
    <n v="4.99"/>
    <n v="1"/>
    <s v="www"/>
    <d v="2014-06-15T14:47:41"/>
    <d v="2014-06-15T00:00:00"/>
    <x v="5"/>
    <n v="4.99"/>
  </r>
  <r>
    <s v="0 Original"/>
    <s v="(10)"/>
    <n v="10"/>
    <s v="2014-06-15 Prescott Nelson(5)"/>
    <x v="88"/>
    <n v="5.99"/>
    <n v="1"/>
    <s v="www"/>
    <d v="2014-06-15T14:47:41"/>
    <d v="2014-06-15T00:00:00"/>
    <x v="5"/>
    <n v="5.99"/>
  </r>
  <r>
    <s v="0 Original"/>
    <s v="(11)"/>
    <n v="11"/>
    <s v="2014-06-15 Prescott Nelson(5)"/>
    <x v="20"/>
    <n v="7.99"/>
    <n v="1"/>
    <s v="www"/>
    <d v="2014-06-15T14:47:41"/>
    <d v="2014-06-15T00:00:00"/>
    <x v="5"/>
    <n v="7.99"/>
  </r>
  <r>
    <s v="0 Original"/>
    <s v="(3564)"/>
    <n v="3564"/>
    <s v="2014-06-15 Bernard Cash(1076)"/>
    <x v="41"/>
    <n v="4.99"/>
    <n v="2"/>
    <s v="www"/>
    <d v="2014-06-15T19:06:57"/>
    <d v="2014-06-15T00:00:00"/>
    <x v="5"/>
    <n v="9.98"/>
  </r>
  <r>
    <s v="0 Original"/>
    <s v="(3565)"/>
    <n v="3565"/>
    <s v="2014-06-15 Bernard Cash(1076)"/>
    <x v="7"/>
    <n v="9.99"/>
    <n v="2"/>
    <s v="www"/>
    <d v="2014-06-15T19:06:57"/>
    <d v="2014-06-15T00:00:00"/>
    <x v="5"/>
    <n v="19.98"/>
  </r>
  <r>
    <s v="0 Original"/>
    <s v="(3566)"/>
    <n v="3566"/>
    <s v="2014-06-15 Bernard Cash(1076)"/>
    <x v="8"/>
    <n v="4.99"/>
    <n v="1"/>
    <s v="www"/>
    <d v="2014-06-15T19:06:57"/>
    <d v="2014-06-15T00:00:00"/>
    <x v="5"/>
    <n v="4.99"/>
  </r>
  <r>
    <s v="0 Original"/>
    <s v="(3567)"/>
    <n v="3567"/>
    <s v="2014-06-15 Bernard Cash(1076)"/>
    <x v="9"/>
    <n v="7.99"/>
    <n v="1"/>
    <s v="www"/>
    <d v="2014-06-15T19:06:57"/>
    <d v="2014-06-15T00:00:00"/>
    <x v="5"/>
    <n v="7.99"/>
  </r>
  <r>
    <s v="0 Original"/>
    <s v="(1178)"/>
    <n v="1178"/>
    <s v="2014-06-16 Armando Le(343)"/>
    <x v="6"/>
    <n v="5.99"/>
    <n v="1"/>
    <s v="www"/>
    <d v="2014-06-16T15:00:43"/>
    <d v="2014-06-16T00:00:00"/>
    <x v="5"/>
    <n v="5.99"/>
  </r>
  <r>
    <s v="0 Original"/>
    <s v="(1179)"/>
    <n v="1179"/>
    <s v="2014-06-16 Armando Le(343)"/>
    <x v="17"/>
    <n v="9.99"/>
    <n v="2"/>
    <s v="www"/>
    <d v="2014-06-16T15:00:43"/>
    <d v="2014-06-16T00:00:00"/>
    <x v="5"/>
    <n v="19.98"/>
  </r>
  <r>
    <s v="0 Original"/>
    <s v="(1180)"/>
    <n v="1180"/>
    <s v="2014-06-16 Armando Le(343)"/>
    <x v="15"/>
    <n v="8.99"/>
    <n v="1"/>
    <s v="www"/>
    <d v="2014-06-16T15:00:43"/>
    <d v="2014-06-16T00:00:00"/>
    <x v="5"/>
    <n v="8.99"/>
  </r>
  <r>
    <s v="0 Original"/>
    <s v="(1181)"/>
    <n v="1181"/>
    <s v="2014-06-16 Armando Le(343)"/>
    <x v="42"/>
    <n v="5.99"/>
    <n v="1"/>
    <s v="www"/>
    <d v="2014-06-16T15:00:43"/>
    <d v="2014-06-16T00:00:00"/>
    <x v="5"/>
    <n v="5.99"/>
  </r>
  <r>
    <s v="0 Original"/>
    <s v="(1182)"/>
    <n v="1182"/>
    <s v="2014-06-16 Armando Le(343)"/>
    <x v="58"/>
    <n v="4.99"/>
    <n v="2"/>
    <s v="www"/>
    <d v="2014-06-16T15:00:43"/>
    <d v="2014-06-16T00:00:00"/>
    <x v="5"/>
    <n v="9.98"/>
  </r>
  <r>
    <s v="0 Original"/>
    <s v="(3500)"/>
    <n v="3500"/>
    <s v="2014-06-16 Donovan Gomez(1057)"/>
    <x v="23"/>
    <n v="9.99"/>
    <n v="1"/>
    <s v="www"/>
    <d v="2014-06-16T21:52:19"/>
    <d v="2014-06-16T00:00:00"/>
    <x v="5"/>
    <n v="9.99"/>
  </r>
  <r>
    <s v="0 Original"/>
    <s v="(3501)"/>
    <n v="3501"/>
    <s v="2014-06-16 Donovan Gomez(1057)"/>
    <x v="23"/>
    <n v="9.99"/>
    <n v="1"/>
    <s v="www"/>
    <d v="2014-06-16T21:52:19"/>
    <d v="2014-06-16T00:00:00"/>
    <x v="5"/>
    <n v="9.99"/>
  </r>
  <r>
    <s v="0 Original"/>
    <s v="(3502)"/>
    <n v="3502"/>
    <s v="2014-06-16 Donovan Gomez(1057)"/>
    <x v="41"/>
    <n v="4.99"/>
    <n v="2"/>
    <s v="www"/>
    <d v="2014-06-16T21:52:19"/>
    <d v="2014-06-16T00:00:00"/>
    <x v="5"/>
    <n v="9.98"/>
  </r>
  <r>
    <s v="0 Original"/>
    <s v="(730)"/>
    <n v="730"/>
    <s v="2014-06-18 Serina Booker(207)"/>
    <x v="36"/>
    <n v="6.99"/>
    <n v="1"/>
    <s v="www"/>
    <d v="2014-06-18T10:19:07"/>
    <d v="2014-06-18T00:00:00"/>
    <x v="5"/>
    <n v="6.99"/>
  </r>
  <r>
    <s v="0 Original"/>
    <s v="(731)"/>
    <n v="731"/>
    <s v="2014-06-18 Serina Booker(207)"/>
    <x v="1"/>
    <n v="7.99"/>
    <n v="1"/>
    <s v="www"/>
    <d v="2014-06-18T10:19:07"/>
    <d v="2014-06-18T00:00:00"/>
    <x v="5"/>
    <n v="7.99"/>
  </r>
  <r>
    <s v="0 Original"/>
    <s v="(732)"/>
    <n v="732"/>
    <s v="2014-06-18 Serina Booker(207)"/>
    <x v="44"/>
    <n v="9.99"/>
    <n v="2"/>
    <s v="www"/>
    <d v="2014-06-18T10:19:07"/>
    <d v="2014-06-18T00:00:00"/>
    <x v="5"/>
    <n v="19.98"/>
  </r>
  <r>
    <s v="0 Original"/>
    <s v="(733)"/>
    <n v="733"/>
    <s v="2014-06-18 Serina Booker(207)"/>
    <x v="4"/>
    <n v="6.99"/>
    <n v="1"/>
    <s v="www"/>
    <d v="2014-06-18T10:19:07"/>
    <d v="2014-06-18T00:00:00"/>
    <x v="5"/>
    <n v="6.99"/>
  </r>
  <r>
    <s v="0 Original"/>
    <s v="(1192)"/>
    <n v="1192"/>
    <s v="2014-06-18 Claudia Crane(346)"/>
    <x v="25"/>
    <n v="9.99"/>
    <n v="1"/>
    <s v="www"/>
    <d v="2014-06-18T16:32:15"/>
    <d v="2014-06-18T00:00:00"/>
    <x v="5"/>
    <n v="9.99"/>
  </r>
  <r>
    <s v="0 Original"/>
    <s v="(1193)"/>
    <n v="1193"/>
    <s v="2014-06-18 Claudia Crane(346)"/>
    <x v="45"/>
    <n v="6.99"/>
    <n v="1"/>
    <s v="www"/>
    <d v="2014-06-18T16:32:15"/>
    <d v="2014-06-18T00:00:00"/>
    <x v="5"/>
    <n v="6.99"/>
  </r>
  <r>
    <s v="0 Original"/>
    <s v="(1194)"/>
    <n v="1194"/>
    <s v="2014-06-18 Claudia Crane(346)"/>
    <x v="49"/>
    <n v="8.99"/>
    <n v="1"/>
    <s v="www"/>
    <d v="2014-06-18T16:32:15"/>
    <d v="2014-06-18T00:00:00"/>
    <x v="5"/>
    <n v="8.99"/>
  </r>
  <r>
    <s v="0 Original"/>
    <s v="(3134)"/>
    <n v="3134"/>
    <s v="2014-06-19 Donovan Gomez(944)"/>
    <x v="7"/>
    <n v="9.99"/>
    <n v="2"/>
    <s v="www"/>
    <d v="2014-06-19T02:42:36"/>
    <d v="2014-06-19T00:00:00"/>
    <x v="5"/>
    <n v="19.98"/>
  </r>
  <r>
    <s v="0 Original"/>
    <s v="(3135)"/>
    <n v="3135"/>
    <s v="2014-06-19 Donovan Gomez(944)"/>
    <x v="25"/>
    <n v="9.99"/>
    <n v="2"/>
    <s v="www"/>
    <d v="2014-06-19T02:42:36"/>
    <d v="2014-06-19T00:00:00"/>
    <x v="5"/>
    <n v="19.98"/>
  </r>
  <r>
    <s v="0 Original"/>
    <s v="(2720)"/>
    <n v="2720"/>
    <s v="2014-06-19 Cameron Rivera(818)"/>
    <x v="9"/>
    <n v="7.99"/>
    <n v="1"/>
    <s v="www"/>
    <d v="2014-06-19T04:27:12"/>
    <d v="2014-06-19T00:00:00"/>
    <x v="5"/>
    <n v="7.99"/>
  </r>
  <r>
    <s v="0 Original"/>
    <s v="(908)"/>
    <n v="908"/>
    <s v="2014-06-20 Serina Booker(260)"/>
    <x v="1"/>
    <n v="7.99"/>
    <n v="1"/>
    <s v="www"/>
    <d v="2014-06-20T14:56:12"/>
    <d v="2014-06-20T00:00:00"/>
    <x v="5"/>
    <n v="7.99"/>
  </r>
  <r>
    <s v="0 Original"/>
    <s v="(909)"/>
    <n v="909"/>
    <s v="2014-06-20 Serina Booker(260)"/>
    <x v="25"/>
    <n v="9.99"/>
    <n v="2"/>
    <s v="www"/>
    <d v="2014-06-20T14:56:12"/>
    <d v="2014-06-20T00:00:00"/>
    <x v="5"/>
    <n v="19.98"/>
  </r>
  <r>
    <s v="0 Original"/>
    <s v="(910)"/>
    <n v="910"/>
    <s v="2014-06-20 Serina Booker(260)"/>
    <x v="58"/>
    <n v="4.99"/>
    <n v="1"/>
    <s v="www"/>
    <d v="2014-06-20T14:56:12"/>
    <d v="2014-06-20T00:00:00"/>
    <x v="5"/>
    <n v="4.99"/>
  </r>
  <r>
    <s v="0 Original"/>
    <s v="(911)"/>
    <n v="911"/>
    <s v="2014-06-20 Serina Booker(260)"/>
    <x v="5"/>
    <n v="9.99"/>
    <n v="2"/>
    <s v="www"/>
    <d v="2014-06-20T14:56:12"/>
    <d v="2014-06-20T00:00:00"/>
    <x v="5"/>
    <n v="19.98"/>
  </r>
  <r>
    <s v="0 Original"/>
    <s v="(912)"/>
    <n v="912"/>
    <s v="2014-06-20 Serina Booker(260)"/>
    <x v="1"/>
    <n v="7.99"/>
    <n v="1"/>
    <s v="www"/>
    <d v="2014-06-20T14:56:12"/>
    <d v="2014-06-20T00:00:00"/>
    <x v="5"/>
    <n v="7.99"/>
  </r>
  <r>
    <s v="0 Original"/>
    <s v="(3956)"/>
    <n v="3956"/>
    <s v="2014-06-20 Prescott Nelson(1199)"/>
    <x v="9"/>
    <n v="7.99"/>
    <n v="2"/>
    <s v="www"/>
    <d v="2014-06-20T15:11:19"/>
    <d v="2014-06-20T00:00:00"/>
    <x v="5"/>
    <n v="15.98"/>
  </r>
  <r>
    <s v="0 Original"/>
    <s v="(3474)"/>
    <n v="3474"/>
    <s v="2014-06-22 John Drake(1049)"/>
    <x v="24"/>
    <n v="7.99"/>
    <n v="2"/>
    <s v="www"/>
    <d v="2014-06-22T04:40:20"/>
    <d v="2014-06-22T00:00:00"/>
    <x v="5"/>
    <n v="15.98"/>
  </r>
  <r>
    <s v="0 Original"/>
    <s v="(3475)"/>
    <n v="3475"/>
    <s v="2014-06-22 John Drake(1049)"/>
    <x v="24"/>
    <n v="7.99"/>
    <n v="1"/>
    <s v="www"/>
    <d v="2014-06-22T04:40:20"/>
    <d v="2014-06-22T00:00:00"/>
    <x v="5"/>
    <n v="7.99"/>
  </r>
  <r>
    <s v="0 Original"/>
    <s v="(1962)"/>
    <n v="1962"/>
    <s v="2014-06-22 Tanek Santos(576)"/>
    <x v="107"/>
    <n v="8.99"/>
    <n v="1"/>
    <s v="www"/>
    <d v="2014-06-22T06:29:09"/>
    <d v="2014-06-22T00:00:00"/>
    <x v="5"/>
    <n v="8.99"/>
  </r>
  <r>
    <s v="0 Original"/>
    <s v="(1963)"/>
    <n v="1963"/>
    <s v="2014-06-22 Tanek Santos(576)"/>
    <x v="65"/>
    <n v="4.99"/>
    <n v="1"/>
    <s v="www"/>
    <d v="2014-06-22T06:29:09"/>
    <d v="2014-06-22T00:00:00"/>
    <x v="5"/>
    <n v="4.99"/>
  </r>
  <r>
    <s v="0 Original"/>
    <s v="(1964)"/>
    <n v="1964"/>
    <s v="2014-06-22 Tanek Santos(576)"/>
    <x v="37"/>
    <n v="8.99"/>
    <n v="1"/>
    <s v="www"/>
    <d v="2014-06-22T06:29:09"/>
    <d v="2014-06-22T00:00:00"/>
    <x v="5"/>
    <n v="8.99"/>
  </r>
  <r>
    <s v="0 Original"/>
    <s v="(1965)"/>
    <n v="1965"/>
    <s v="2014-06-22 Tanek Santos(576)"/>
    <x v="15"/>
    <n v="8.99"/>
    <n v="2"/>
    <s v="www"/>
    <d v="2014-06-22T06:29:09"/>
    <d v="2014-06-22T00:00:00"/>
    <x v="5"/>
    <n v="17.98"/>
  </r>
  <r>
    <s v="0 Original"/>
    <s v="(1157)"/>
    <n v="1157"/>
    <s v="2014-06-22 Dane Stafford(338)"/>
    <x v="7"/>
    <n v="9.99"/>
    <n v="2"/>
    <s v="www"/>
    <d v="2014-06-22T08:15:11"/>
    <d v="2014-06-22T00:00:00"/>
    <x v="5"/>
    <n v="19.98"/>
  </r>
  <r>
    <s v="0 Original"/>
    <s v="(1158)"/>
    <n v="1158"/>
    <s v="2014-06-22 Dane Stafford(338)"/>
    <x v="17"/>
    <n v="9.99"/>
    <n v="1"/>
    <s v="www"/>
    <d v="2014-06-22T08:15:11"/>
    <d v="2014-06-22T00:00:00"/>
    <x v="5"/>
    <n v="9.99"/>
  </r>
  <r>
    <s v="0 Original"/>
    <s v="(1183)"/>
    <n v="1183"/>
    <s v="2014-06-22 Iona Simpson(344)"/>
    <x v="28"/>
    <n v="5.99"/>
    <n v="1"/>
    <s v="www"/>
    <d v="2014-06-22T19:37:18"/>
    <d v="2014-06-22T00:00:00"/>
    <x v="5"/>
    <n v="5.99"/>
  </r>
  <r>
    <s v="0 Original"/>
    <s v="(1184)"/>
    <n v="1184"/>
    <s v="2014-06-22 Iona Simpson(344)"/>
    <x v="58"/>
    <n v="4.99"/>
    <n v="1"/>
    <s v="www"/>
    <d v="2014-06-22T19:37:18"/>
    <d v="2014-06-22T00:00:00"/>
    <x v="5"/>
    <n v="4.99"/>
  </r>
  <r>
    <s v="0 Original"/>
    <s v="(1185)"/>
    <n v="1185"/>
    <s v="2014-06-22 Iona Simpson(344)"/>
    <x v="89"/>
    <n v="5.99"/>
    <n v="1"/>
    <s v="www"/>
    <d v="2014-06-22T19:37:18"/>
    <d v="2014-06-22T00:00:00"/>
    <x v="5"/>
    <n v="5.99"/>
  </r>
  <r>
    <s v="0 Original"/>
    <s v="(1186)"/>
    <n v="1186"/>
    <s v="2014-06-22 Iona Simpson(344)"/>
    <x v="38"/>
    <n v="6.99"/>
    <n v="2"/>
    <s v="www"/>
    <d v="2014-06-22T19:37:18"/>
    <d v="2014-06-22T00:00:00"/>
    <x v="5"/>
    <n v="13.98"/>
  </r>
  <r>
    <s v="0 Original"/>
    <s v="(1187)"/>
    <n v="1187"/>
    <s v="2014-06-22 Iona Simpson(344)"/>
    <x v="4"/>
    <n v="6.99"/>
    <n v="1"/>
    <s v="www"/>
    <d v="2014-06-22T19:37:18"/>
    <d v="2014-06-22T00:00:00"/>
    <x v="5"/>
    <n v="6.99"/>
  </r>
  <r>
    <s v="0 Original"/>
    <s v="(1188)"/>
    <n v="1188"/>
    <s v="2014-06-22 Iona Simpson(344)"/>
    <x v="10"/>
    <n v="8.99"/>
    <n v="1"/>
    <s v="www"/>
    <d v="2014-06-22T19:37:18"/>
    <d v="2014-06-22T00:00:00"/>
    <x v="5"/>
    <n v="8.99"/>
  </r>
  <r>
    <s v="0 Original"/>
    <s v="(1189)"/>
    <n v="1189"/>
    <s v="2014-06-22 Iona Simpson(344)"/>
    <x v="46"/>
    <n v="5.99"/>
    <n v="2"/>
    <s v="www"/>
    <d v="2014-06-22T19:37:18"/>
    <d v="2014-06-22T00:00:00"/>
    <x v="5"/>
    <n v="11.98"/>
  </r>
  <r>
    <s v="0 Original"/>
    <s v="(1190)"/>
    <n v="1190"/>
    <s v="2014-06-22 Iona Simpson(344)"/>
    <x v="11"/>
    <n v="8.99"/>
    <n v="1"/>
    <s v="www"/>
    <d v="2014-06-22T19:37:18"/>
    <d v="2014-06-22T00:00:00"/>
    <x v="5"/>
    <n v="8.99"/>
  </r>
  <r>
    <s v="0 Original"/>
    <s v="(2789)"/>
    <n v="2789"/>
    <s v="2014-06-23 Madeline Reynolds(841)"/>
    <x v="41"/>
    <n v="4.99"/>
    <n v="1"/>
    <s v="www"/>
    <d v="2014-06-23T07:24:17"/>
    <d v="2014-06-23T00:00:00"/>
    <x v="5"/>
    <n v="4.99"/>
  </r>
  <r>
    <s v="0 Original"/>
    <s v="(2790)"/>
    <n v="2790"/>
    <s v="2014-06-23 Madeline Reynolds(841)"/>
    <x v="41"/>
    <n v="4.99"/>
    <n v="1"/>
    <s v="www"/>
    <d v="2014-06-23T07:24:17"/>
    <d v="2014-06-23T00:00:00"/>
    <x v="5"/>
    <n v="4.99"/>
  </r>
  <r>
    <s v="0 Original"/>
    <s v="(2791)"/>
    <n v="2791"/>
    <s v="2014-06-23 Madeline Reynolds(841)"/>
    <x v="6"/>
    <n v="5.99"/>
    <n v="1"/>
    <s v="www"/>
    <d v="2014-06-23T07:24:17"/>
    <d v="2014-06-23T00:00:00"/>
    <x v="5"/>
    <n v="5.99"/>
  </r>
  <r>
    <s v="0 Original"/>
    <s v="(2792)"/>
    <n v="2792"/>
    <s v="2014-06-23 Madeline Reynolds(841)"/>
    <x v="6"/>
    <n v="5.99"/>
    <n v="2"/>
    <s v="www"/>
    <d v="2014-06-23T07:24:17"/>
    <d v="2014-06-23T00:00:00"/>
    <x v="5"/>
    <n v="11.98"/>
  </r>
  <r>
    <s v="0 Original"/>
    <s v="(3841)"/>
    <n v="3841"/>
    <s v="2014-06-23 John Drake(1167)"/>
    <x v="41"/>
    <n v="4.99"/>
    <n v="2"/>
    <s v="www"/>
    <d v="2014-06-23T14:36:13"/>
    <d v="2014-06-23T00:00:00"/>
    <x v="5"/>
    <n v="9.98"/>
  </r>
  <r>
    <s v="0 Original"/>
    <s v="(1869)"/>
    <n v="1869"/>
    <s v="2014-06-24 Dane Stafford(546)"/>
    <x v="16"/>
    <n v="6.99"/>
    <n v="2"/>
    <s v="www"/>
    <d v="2014-06-24T15:47:15"/>
    <d v="2014-06-24T00:00:00"/>
    <x v="5"/>
    <n v="13.98"/>
  </r>
  <r>
    <s v="0 Original"/>
    <s v="(1870)"/>
    <n v="1870"/>
    <s v="2014-06-24 Dane Stafford(546)"/>
    <x v="36"/>
    <n v="6.99"/>
    <n v="1"/>
    <s v="www"/>
    <d v="2014-06-24T15:47:15"/>
    <d v="2014-06-24T00:00:00"/>
    <x v="5"/>
    <n v="6.99"/>
  </r>
  <r>
    <s v="0 Original"/>
    <s v="(1305)"/>
    <n v="1305"/>
    <s v="2014-06-25 Gabriel Carlson(379)"/>
    <x v="26"/>
    <n v="6.99"/>
    <n v="1"/>
    <s v="www"/>
    <d v="2014-06-25T00:52:25"/>
    <d v="2014-06-25T00:00:00"/>
    <x v="5"/>
    <n v="6.99"/>
  </r>
  <r>
    <s v="0 Original"/>
    <s v="(3033)"/>
    <n v="3033"/>
    <s v="2014-06-25 Nayda Shields(912)"/>
    <x v="6"/>
    <n v="5.99"/>
    <n v="1"/>
    <s v="www"/>
    <d v="2014-06-25T03:36:47"/>
    <d v="2014-06-25T00:00:00"/>
    <x v="5"/>
    <n v="5.99"/>
  </r>
  <r>
    <s v="0 Original"/>
    <s v="(3034)"/>
    <n v="3034"/>
    <s v="2014-06-25 Nayda Shields(912)"/>
    <x v="30"/>
    <n v="6.99"/>
    <n v="1"/>
    <s v="www"/>
    <d v="2014-06-25T03:36:47"/>
    <d v="2014-06-25T00:00:00"/>
    <x v="5"/>
    <n v="6.99"/>
  </r>
  <r>
    <s v="0 Original"/>
    <s v="(3035)"/>
    <n v="3035"/>
    <s v="2014-06-25 Nayda Shields(912)"/>
    <x v="7"/>
    <n v="9.99"/>
    <n v="1"/>
    <s v="www"/>
    <d v="2014-06-25T03:36:47"/>
    <d v="2014-06-25T00:00:00"/>
    <x v="5"/>
    <n v="9.99"/>
  </r>
  <r>
    <s v="0 Original"/>
    <s v="(3036)"/>
    <n v="3036"/>
    <s v="2014-06-25 Nayda Shields(912)"/>
    <x v="6"/>
    <n v="5.99"/>
    <n v="1"/>
    <s v="www"/>
    <d v="2014-06-25T03:36:47"/>
    <d v="2014-06-25T00:00:00"/>
    <x v="5"/>
    <n v="5.99"/>
  </r>
  <r>
    <s v="0 Original"/>
    <s v="(3037)"/>
    <n v="3037"/>
    <s v="2014-06-25 Nayda Shields(912)"/>
    <x v="24"/>
    <n v="7.99"/>
    <n v="1"/>
    <s v="www"/>
    <d v="2014-06-25T03:36:47"/>
    <d v="2014-06-25T00:00:00"/>
    <x v="5"/>
    <n v="7.99"/>
  </r>
  <r>
    <s v="0 Original"/>
    <s v="(3038)"/>
    <n v="3038"/>
    <s v="2014-06-25 Nayda Shields(912)"/>
    <x v="30"/>
    <n v="6.99"/>
    <n v="2"/>
    <s v="www"/>
    <d v="2014-06-25T03:36:47"/>
    <d v="2014-06-25T00:00:00"/>
    <x v="5"/>
    <n v="13.98"/>
  </r>
  <r>
    <s v="0 Original"/>
    <s v="(3039)"/>
    <n v="3039"/>
    <s v="2014-06-25 Nayda Shields(912)"/>
    <x v="7"/>
    <n v="9.99"/>
    <n v="1"/>
    <s v="www"/>
    <d v="2014-06-25T03:36:47"/>
    <d v="2014-06-25T00:00:00"/>
    <x v="5"/>
    <n v="9.99"/>
  </r>
  <r>
    <s v="0 Original"/>
    <s v="(3040)"/>
    <n v="3040"/>
    <s v="2014-06-25 Nayda Shields(912)"/>
    <x v="16"/>
    <n v="6.99"/>
    <n v="1"/>
    <s v="www"/>
    <d v="2014-06-25T03:36:47"/>
    <d v="2014-06-25T00:00:00"/>
    <x v="5"/>
    <n v="6.99"/>
  </r>
  <r>
    <s v="0 Original"/>
    <s v="(2124)"/>
    <n v="2124"/>
    <s v="2014-06-25 Martin Dunlap(625)"/>
    <x v="43"/>
    <n v="4.99"/>
    <n v="1"/>
    <s v="www"/>
    <d v="2014-06-25T11:20:07"/>
    <d v="2014-06-25T00:00:00"/>
    <x v="5"/>
    <n v="4.99"/>
  </r>
  <r>
    <s v="0 Original"/>
    <s v="(1928)"/>
    <n v="1928"/>
    <s v="2014-06-25 Madeline Reynolds(564)"/>
    <x v="59"/>
    <n v="6.99"/>
    <n v="1"/>
    <s v="www"/>
    <d v="2014-06-25T11:50:46"/>
    <d v="2014-06-25T00:00:00"/>
    <x v="5"/>
    <n v="6.99"/>
  </r>
  <r>
    <s v="0 Original"/>
    <s v="(1929)"/>
    <n v="1929"/>
    <s v="2014-06-25 Madeline Reynolds(564)"/>
    <x v="10"/>
    <n v="8.99"/>
    <n v="1"/>
    <s v="www"/>
    <d v="2014-06-25T11:50:46"/>
    <d v="2014-06-25T00:00:00"/>
    <x v="5"/>
    <n v="8.99"/>
  </r>
  <r>
    <s v="0 Original"/>
    <s v="(1930)"/>
    <n v="1930"/>
    <s v="2014-06-25 Madeline Reynolds(564)"/>
    <x v="42"/>
    <n v="5.99"/>
    <n v="1"/>
    <s v="www"/>
    <d v="2014-06-25T11:50:46"/>
    <d v="2014-06-25T00:00:00"/>
    <x v="5"/>
    <n v="5.99"/>
  </r>
  <r>
    <s v="0 Original"/>
    <s v="(3816)"/>
    <n v="3816"/>
    <s v="2014-06-25 Christine Medina(1158)"/>
    <x v="8"/>
    <n v="4.99"/>
    <n v="1"/>
    <s v="www"/>
    <d v="2014-06-25T23:52:49"/>
    <d v="2014-06-25T00:00:00"/>
    <x v="5"/>
    <n v="4.99"/>
  </r>
  <r>
    <s v="0 Original"/>
    <s v="(3817)"/>
    <n v="3817"/>
    <s v="2014-06-25 Christine Medina(1158)"/>
    <x v="30"/>
    <n v="6.99"/>
    <n v="2"/>
    <s v="www"/>
    <d v="2014-06-25T23:52:49"/>
    <d v="2014-06-25T00:00:00"/>
    <x v="5"/>
    <n v="13.98"/>
  </r>
  <r>
    <s v="0 Original"/>
    <s v="(2829)"/>
    <n v="2829"/>
    <s v="2014-06-27 Madeline Reynolds(853)"/>
    <x v="6"/>
    <n v="5.99"/>
    <n v="2"/>
    <s v="www"/>
    <d v="2014-06-27T02:10:56"/>
    <d v="2014-06-27T00:00:00"/>
    <x v="5"/>
    <n v="11.98"/>
  </r>
  <r>
    <s v="0 Original"/>
    <s v="(2830)"/>
    <n v="2830"/>
    <s v="2014-06-27 Madeline Reynolds(853)"/>
    <x v="6"/>
    <n v="5.99"/>
    <n v="1"/>
    <s v="www"/>
    <d v="2014-06-27T02:10:56"/>
    <d v="2014-06-27T00:00:00"/>
    <x v="5"/>
    <n v="5.99"/>
  </r>
  <r>
    <s v="0 Original"/>
    <s v="(2831)"/>
    <n v="2831"/>
    <s v="2014-06-27 Madeline Reynolds(853)"/>
    <x v="24"/>
    <n v="7.99"/>
    <n v="2"/>
    <s v="www"/>
    <d v="2014-06-27T02:10:56"/>
    <d v="2014-06-27T00:00:00"/>
    <x v="5"/>
    <n v="15.98"/>
  </r>
  <r>
    <s v="0 Original"/>
    <s v="(238)"/>
    <n v="238"/>
    <s v="2014-06-28 Armando Le(64)"/>
    <x v="86"/>
    <n v="9.99"/>
    <n v="2"/>
    <s v="www"/>
    <d v="2014-06-28T09:42:18"/>
    <d v="2014-06-28T00:00:00"/>
    <x v="5"/>
    <n v="19.98"/>
  </r>
  <r>
    <s v="0 Original"/>
    <s v="(239)"/>
    <n v="239"/>
    <s v="2014-06-28 Armando Le(64)"/>
    <x v="41"/>
    <n v="4.99"/>
    <n v="1"/>
    <s v="www"/>
    <d v="2014-06-28T09:42:18"/>
    <d v="2014-06-28T00:00:00"/>
    <x v="5"/>
    <n v="4.99"/>
  </r>
  <r>
    <s v="0 Original"/>
    <s v="(1282)"/>
    <n v="1282"/>
    <s v="2014-06-28 Anne Slater(374)"/>
    <x v="31"/>
    <n v="8.99"/>
    <n v="1"/>
    <s v="www"/>
    <d v="2014-06-28T20:09:24"/>
    <d v="2014-06-28T00:00:00"/>
    <x v="5"/>
    <n v="8.99"/>
  </r>
  <r>
    <s v="0 Original"/>
    <s v="(1283)"/>
    <n v="1283"/>
    <s v="2014-06-28 Anne Slater(374)"/>
    <x v="59"/>
    <n v="6.99"/>
    <n v="1"/>
    <s v="www"/>
    <d v="2014-06-28T20:09:24"/>
    <d v="2014-06-28T00:00:00"/>
    <x v="5"/>
    <n v="6.99"/>
  </r>
  <r>
    <s v="0 Original"/>
    <s v="(2019)"/>
    <n v="2019"/>
    <s v="2014-06-29 Lois Valdez(594)"/>
    <x v="45"/>
    <n v="6.99"/>
    <n v="1"/>
    <s v="www"/>
    <d v="2014-06-29T02:17:40"/>
    <d v="2014-06-29T00:00:00"/>
    <x v="5"/>
    <n v="6.99"/>
  </r>
  <r>
    <s v="0 Original"/>
    <s v="(2020)"/>
    <n v="2020"/>
    <s v="2014-06-29 Lois Valdez(594)"/>
    <x v="7"/>
    <n v="9.99"/>
    <n v="1"/>
    <s v="www"/>
    <d v="2014-06-29T02:17:40"/>
    <d v="2014-06-29T00:00:00"/>
    <x v="5"/>
    <n v="9.99"/>
  </r>
  <r>
    <s v="0 Original"/>
    <s v="(2021)"/>
    <n v="2021"/>
    <s v="2014-06-29 Lois Valdez(594)"/>
    <x v="9"/>
    <n v="7.99"/>
    <n v="2"/>
    <s v="www"/>
    <d v="2014-06-29T02:17:40"/>
    <d v="2014-06-29T00:00:00"/>
    <x v="5"/>
    <n v="15.98"/>
  </r>
  <r>
    <s v="0 Original"/>
    <s v="(1205)"/>
    <n v="1205"/>
    <s v="2014-06-29 Rhonda Curtis(352)"/>
    <x v="16"/>
    <n v="6.99"/>
    <n v="2"/>
    <s v="www"/>
    <d v="2014-06-29T17:10:32"/>
    <d v="2014-06-29T00:00:00"/>
    <x v="5"/>
    <n v="13.98"/>
  </r>
  <r>
    <s v="0 Original"/>
    <s v="(1206)"/>
    <n v="1206"/>
    <s v="2014-06-29 Rhonda Curtis(352)"/>
    <x v="31"/>
    <n v="8.99"/>
    <n v="1"/>
    <s v="www"/>
    <d v="2014-06-29T17:10:32"/>
    <d v="2014-06-29T00:00:00"/>
    <x v="5"/>
    <n v="8.99"/>
  </r>
  <r>
    <s v="0 Original"/>
    <s v="(1207)"/>
    <n v="1207"/>
    <s v="2014-06-29 Rhonda Curtis(352)"/>
    <x v="9"/>
    <n v="7.99"/>
    <n v="1"/>
    <s v="www"/>
    <d v="2014-06-29T17:10:32"/>
    <d v="2014-06-29T00:00:00"/>
    <x v="5"/>
    <n v="7.99"/>
  </r>
  <r>
    <s v="0 Original"/>
    <s v="(1208)"/>
    <n v="1208"/>
    <s v="2014-06-29 Rhonda Curtis(352)"/>
    <x v="16"/>
    <n v="6.99"/>
    <n v="1"/>
    <s v="www"/>
    <d v="2014-06-29T17:10:32"/>
    <d v="2014-06-29T00:00:00"/>
    <x v="5"/>
    <n v="6.99"/>
  </r>
  <r>
    <s v="0 Original"/>
    <s v="(1209)"/>
    <n v="1209"/>
    <s v="2014-06-29 Rhonda Curtis(352)"/>
    <x v="66"/>
    <n v="9.99"/>
    <n v="1"/>
    <s v="www"/>
    <d v="2014-06-29T17:10:32"/>
    <d v="2014-06-29T00:00:00"/>
    <x v="5"/>
    <n v="9.99"/>
  </r>
  <r>
    <s v="0 Original"/>
    <s v="(1760)"/>
    <n v="1760"/>
    <s v="2014-06-29 Alma Salas(518)"/>
    <x v="49"/>
    <n v="8.99"/>
    <n v="1"/>
    <s v="www"/>
    <d v="2014-06-29T18:21:30"/>
    <d v="2014-06-29T00:00:00"/>
    <x v="5"/>
    <n v="8.99"/>
  </r>
  <r>
    <s v="0 Original"/>
    <s v="(1761)"/>
    <n v="1761"/>
    <s v="2014-06-29 Alma Salas(518)"/>
    <x v="16"/>
    <n v="6.99"/>
    <n v="1"/>
    <s v="www"/>
    <d v="2014-06-29T18:21:30"/>
    <d v="2014-06-29T00:00:00"/>
    <x v="5"/>
    <n v="6.99"/>
  </r>
  <r>
    <s v="0 Original"/>
    <s v="(1762)"/>
    <n v="1762"/>
    <s v="2014-06-29 Alma Salas(518)"/>
    <x v="3"/>
    <n v="7.99"/>
    <n v="1"/>
    <s v="www"/>
    <d v="2014-06-29T18:21:30"/>
    <d v="2014-06-29T00:00:00"/>
    <x v="5"/>
    <n v="7.99"/>
  </r>
  <r>
    <s v="0 Original"/>
    <s v="(1763)"/>
    <n v="1763"/>
    <s v="2014-06-29 Alma Salas(518)"/>
    <x v="17"/>
    <n v="9.99"/>
    <n v="2"/>
    <s v="www"/>
    <d v="2014-06-29T18:21:30"/>
    <d v="2014-06-29T00:00:00"/>
    <x v="5"/>
    <n v="19.98"/>
  </r>
  <r>
    <s v="0 Original"/>
    <s v="(1891)"/>
    <n v="1891"/>
    <s v="2014-06-30 Lionel Vargas(553)"/>
    <x v="46"/>
    <n v="5.99"/>
    <n v="1"/>
    <s v="www"/>
    <d v="2014-06-30T10:35:41"/>
    <d v="2014-06-30T00:00:00"/>
    <x v="5"/>
    <n v="5.99"/>
  </r>
  <r>
    <s v="0 Original"/>
    <s v="(1892)"/>
    <n v="1892"/>
    <s v="2014-06-30 Lionel Vargas(553)"/>
    <x v="89"/>
    <n v="5.99"/>
    <n v="1"/>
    <s v="www"/>
    <d v="2014-06-30T10:35:41"/>
    <d v="2014-06-30T00:00:00"/>
    <x v="5"/>
    <n v="5.99"/>
  </r>
  <r>
    <s v="0 Original"/>
    <s v="(1893)"/>
    <n v="1893"/>
    <s v="2014-06-30 Lionel Vargas(553)"/>
    <x v="14"/>
    <n v="7.99"/>
    <n v="2"/>
    <s v="www"/>
    <d v="2014-06-30T10:35:41"/>
    <d v="2014-06-30T00:00:00"/>
    <x v="5"/>
    <n v="15.98"/>
  </r>
  <r>
    <s v="0 Original"/>
    <s v="(1894)"/>
    <n v="1894"/>
    <s v="2014-06-30 Lionel Vargas(553)"/>
    <x v="46"/>
    <n v="5.99"/>
    <n v="1"/>
    <s v="www"/>
    <d v="2014-06-30T10:35:41"/>
    <d v="2014-06-30T00:00:00"/>
    <x v="5"/>
    <n v="5.99"/>
  </r>
  <r>
    <s v="0 Original"/>
    <s v="(1517)"/>
    <n v="1517"/>
    <s v="2014-06-30 Lois Valdez(438)"/>
    <x v="49"/>
    <n v="8.99"/>
    <n v="1"/>
    <s v="www"/>
    <d v="2014-06-30T11:46:03"/>
    <d v="2014-06-30T00:00:00"/>
    <x v="5"/>
    <n v="8.99"/>
  </r>
  <r>
    <s v="0 Original"/>
    <s v="(1518)"/>
    <n v="1518"/>
    <s v="2014-06-30 Lois Valdez(438)"/>
    <x v="13"/>
    <n v="8.99"/>
    <n v="1"/>
    <s v="www"/>
    <d v="2014-06-30T11:46:03"/>
    <d v="2014-06-30T00:00:00"/>
    <x v="5"/>
    <n v="8.99"/>
  </r>
  <r>
    <s v="0 Original"/>
    <s v="(1519)"/>
    <n v="1519"/>
    <s v="2014-06-30 Lois Valdez(438)"/>
    <x v="58"/>
    <n v="4.99"/>
    <n v="2"/>
    <s v="www"/>
    <d v="2014-06-30T11:46:03"/>
    <d v="2014-06-30T00:00:00"/>
    <x v="5"/>
    <n v="9.98"/>
  </r>
  <r>
    <s v="0 Original"/>
    <s v="(1520)"/>
    <n v="1520"/>
    <s v="2014-06-30 Lois Valdez(438)"/>
    <x v="12"/>
    <n v="8.99"/>
    <n v="1"/>
    <s v="www"/>
    <d v="2014-06-30T11:46:03"/>
    <d v="2014-06-30T00:00:00"/>
    <x v="5"/>
    <n v="8.99"/>
  </r>
  <r>
    <s v="0 Original"/>
    <s v="(1521)"/>
    <n v="1521"/>
    <s v="2014-06-30 Lois Valdez(438)"/>
    <x v="31"/>
    <n v="8.99"/>
    <n v="1"/>
    <s v="www"/>
    <d v="2014-06-30T11:46:03"/>
    <d v="2014-06-30T00:00:00"/>
    <x v="5"/>
    <n v="8.99"/>
  </r>
  <r>
    <s v="0 Original"/>
    <s v="(835)"/>
    <n v="835"/>
    <s v="2014-06-30 Harrison Klein(238)"/>
    <x v="21"/>
    <n v="4.99"/>
    <n v="1"/>
    <s v="www"/>
    <d v="2014-06-30T13:22:22"/>
    <d v="2014-06-30T00:00:00"/>
    <x v="5"/>
    <n v="4.99"/>
  </r>
  <r>
    <s v="0 Original"/>
    <s v="(836)"/>
    <n v="836"/>
    <s v="2014-06-30 Harrison Klein(238)"/>
    <x v="15"/>
    <n v="8.99"/>
    <n v="1"/>
    <s v="www"/>
    <d v="2014-06-30T13:22:22"/>
    <d v="2014-06-30T00:00:00"/>
    <x v="5"/>
    <n v="8.99"/>
  </r>
  <r>
    <s v="0 Original"/>
    <s v="(2493)"/>
    <n v="2493"/>
    <s v="2014-06-30 Ora Mann(748)"/>
    <x v="7"/>
    <n v="9.99"/>
    <n v="1"/>
    <s v="www"/>
    <d v="2014-06-30T22:12:31"/>
    <d v="2014-06-30T00:00:00"/>
    <x v="5"/>
    <n v="9.99"/>
  </r>
  <r>
    <s v="0 Original"/>
    <s v="(2494)"/>
    <n v="2494"/>
    <s v="2014-06-30 Ora Mann(748)"/>
    <x v="25"/>
    <n v="9.99"/>
    <n v="1"/>
    <s v="www"/>
    <d v="2014-06-30T22:12:31"/>
    <d v="2014-06-30T00:00:00"/>
    <x v="5"/>
    <n v="9.99"/>
  </r>
  <r>
    <s v="0 Original"/>
    <s v="(2495)"/>
    <n v="2495"/>
    <s v="2014-06-30 Ora Mann(748)"/>
    <x v="6"/>
    <n v="5.99"/>
    <n v="1"/>
    <s v="www"/>
    <d v="2014-06-30T22:12:31"/>
    <d v="2014-06-30T00:00:00"/>
    <x v="5"/>
    <n v="5.99"/>
  </r>
  <r>
    <s v="0 Original"/>
    <s v="(2496)"/>
    <n v="2496"/>
    <s v="2014-06-30 Ora Mann(748)"/>
    <x v="8"/>
    <n v="4.99"/>
    <n v="1"/>
    <s v="www"/>
    <d v="2014-06-30T22:12:31"/>
    <d v="2014-06-30T00:00:00"/>
    <x v="5"/>
    <n v="4.99"/>
  </r>
  <r>
    <s v="0 Original"/>
    <s v="(3646)"/>
    <n v="3646"/>
    <s v="2014-06-30 Nayda Shields(1103)"/>
    <x v="6"/>
    <n v="5.99"/>
    <n v="1"/>
    <s v="www"/>
    <d v="2014-06-30T23:02:34"/>
    <d v="2014-06-30T00:00:00"/>
    <x v="5"/>
    <n v="5.99"/>
  </r>
  <r>
    <s v="0 Original"/>
    <s v="(3647)"/>
    <n v="3647"/>
    <s v="2014-06-30 Nayda Shields(1103)"/>
    <x v="41"/>
    <n v="4.99"/>
    <n v="1"/>
    <s v="www"/>
    <d v="2014-06-30T23:02:34"/>
    <d v="2014-06-30T00:00:00"/>
    <x v="5"/>
    <n v="4.99"/>
  </r>
  <r>
    <s v="0 Original"/>
    <s v="(3648)"/>
    <n v="3648"/>
    <s v="2014-06-30 Nayda Shields(1103)"/>
    <x v="6"/>
    <n v="5.99"/>
    <n v="2"/>
    <s v="www"/>
    <d v="2014-06-30T23:02:34"/>
    <d v="2014-06-30T00:00:00"/>
    <x v="5"/>
    <n v="11.98"/>
  </r>
  <r>
    <s v="0 Original"/>
    <s v="(1649)"/>
    <n v="1649"/>
    <s v="2014-07-01 Benedict Todd(478)"/>
    <x v="47"/>
    <n v="6.99"/>
    <n v="1"/>
    <s v="www"/>
    <d v="2014-07-01T06:08:22"/>
    <d v="2014-07-01T00:00:00"/>
    <x v="6"/>
    <n v="6.99"/>
  </r>
  <r>
    <s v="0 Original"/>
    <s v="(1650)"/>
    <n v="1650"/>
    <s v="2014-07-01 Benedict Todd(478)"/>
    <x v="35"/>
    <n v="9.99"/>
    <n v="2"/>
    <s v="www"/>
    <d v="2014-07-01T06:08:22"/>
    <d v="2014-07-01T00:00:00"/>
    <x v="6"/>
    <n v="19.98"/>
  </r>
  <r>
    <s v="0 Original"/>
    <s v="(2613)"/>
    <n v="2613"/>
    <s v="2014-07-02 John Drake(788)"/>
    <x v="25"/>
    <n v="9.99"/>
    <n v="1"/>
    <s v="www"/>
    <d v="2014-07-02T19:23:48"/>
    <d v="2014-07-02T00:00:00"/>
    <x v="6"/>
    <n v="9.99"/>
  </r>
  <r>
    <s v="0 Original"/>
    <s v="(2614)"/>
    <n v="2614"/>
    <s v="2014-07-02 John Drake(788)"/>
    <x v="25"/>
    <n v="9.99"/>
    <n v="2"/>
    <s v="www"/>
    <d v="2014-07-02T19:23:48"/>
    <d v="2014-07-02T00:00:00"/>
    <x v="6"/>
    <n v="19.98"/>
  </r>
  <r>
    <s v="0 Original"/>
    <s v="(2435)"/>
    <n v="2435"/>
    <s v="2014-07-02 Prescott Nelson(729)"/>
    <x v="41"/>
    <n v="4.99"/>
    <n v="1"/>
    <s v="www"/>
    <d v="2014-07-02T20:19:55"/>
    <d v="2014-07-02T00:00:00"/>
    <x v="6"/>
    <n v="4.99"/>
  </r>
  <r>
    <s v="0 Original"/>
    <s v="(3085)"/>
    <n v="3085"/>
    <s v="2014-07-03 Madeline Reynolds(928)"/>
    <x v="16"/>
    <n v="6.99"/>
    <n v="1"/>
    <s v="www"/>
    <d v="2014-07-03T03:59:48"/>
    <d v="2014-07-03T00:00:00"/>
    <x v="6"/>
    <n v="6.99"/>
  </r>
  <r>
    <s v="0 Original"/>
    <s v="(3086)"/>
    <n v="3086"/>
    <s v="2014-07-03 Madeline Reynolds(928)"/>
    <x v="9"/>
    <n v="7.99"/>
    <n v="1"/>
    <s v="www"/>
    <d v="2014-07-03T03:59:48"/>
    <d v="2014-07-03T00:00:00"/>
    <x v="6"/>
    <n v="7.99"/>
  </r>
  <r>
    <s v="0 Original"/>
    <s v="(3087)"/>
    <n v="3087"/>
    <s v="2014-07-03 Madeline Reynolds(928)"/>
    <x v="23"/>
    <n v="9.99"/>
    <n v="1"/>
    <s v="www"/>
    <d v="2014-07-03T03:59:48"/>
    <d v="2014-07-03T00:00:00"/>
    <x v="6"/>
    <n v="9.99"/>
  </r>
  <r>
    <s v="0 Original"/>
    <s v="(3088)"/>
    <n v="3088"/>
    <s v="2014-07-03 Madeline Reynolds(928)"/>
    <x v="16"/>
    <n v="6.99"/>
    <n v="2"/>
    <s v="www"/>
    <d v="2014-07-03T03:59:48"/>
    <d v="2014-07-03T00:00:00"/>
    <x v="6"/>
    <n v="13.98"/>
  </r>
  <r>
    <s v="1 Modify"/>
    <s v="(2327)"/>
    <n v="2327"/>
    <s v="2014-07-03 Claudia Crane(690)"/>
    <x v="20"/>
    <n v="7.99"/>
    <n v="1"/>
    <s v="www"/>
    <d v="2014-07-03T06:48:50"/>
    <d v="2014-07-03T00:00:00"/>
    <x v="6"/>
    <n v="7.99"/>
  </r>
  <r>
    <s v="0 Original"/>
    <s v="(2328)"/>
    <n v="2328"/>
    <s v="2014-07-03 Claudia Crane(690)"/>
    <x v="34"/>
    <n v="8.99"/>
    <n v="1"/>
    <s v="www"/>
    <d v="2014-07-03T06:48:50"/>
    <d v="2014-07-03T00:00:00"/>
    <x v="6"/>
    <n v="8.99"/>
  </r>
  <r>
    <s v="0 Original"/>
    <s v="(2329)"/>
    <n v="2329"/>
    <s v="2014-07-03 Claudia Crane(690)"/>
    <x v="0"/>
    <n v="9.99"/>
    <n v="1"/>
    <s v="www"/>
    <d v="2014-07-03T06:48:50"/>
    <d v="2014-07-03T00:00:00"/>
    <x v="6"/>
    <n v="9.99"/>
  </r>
  <r>
    <s v="0 Original"/>
    <s v="(3132)"/>
    <n v="3132"/>
    <s v="2014-07-03 Nayda Shields(943)"/>
    <x v="24"/>
    <n v="7.99"/>
    <n v="1"/>
    <s v="www"/>
    <d v="2014-07-03T15:21:30"/>
    <d v="2014-07-03T00:00:00"/>
    <x v="6"/>
    <n v="7.99"/>
  </r>
  <r>
    <s v="0 Original"/>
    <s v="(3133)"/>
    <n v="3133"/>
    <s v="2014-07-03 Nayda Shields(943)"/>
    <x v="24"/>
    <n v="7.99"/>
    <n v="1"/>
    <s v="www"/>
    <d v="2014-07-03T15:21:30"/>
    <d v="2014-07-03T00:00:00"/>
    <x v="6"/>
    <n v="7.99"/>
  </r>
  <r>
    <s v="0 Original"/>
    <s v="(3612)"/>
    <n v="3612"/>
    <s v="2014-07-03 Nayda Shields(1092)"/>
    <x v="6"/>
    <n v="5.99"/>
    <n v="2"/>
    <s v="www"/>
    <d v="2014-07-03T22:00:58"/>
    <d v="2014-07-03T00:00:00"/>
    <x v="6"/>
    <n v="11.98"/>
  </r>
  <r>
    <s v="0 Original"/>
    <s v="(3613)"/>
    <n v="3613"/>
    <s v="2014-07-03 Nayda Shields(1092)"/>
    <x v="8"/>
    <n v="4.99"/>
    <n v="1"/>
    <s v="www"/>
    <d v="2014-07-03T22:00:58"/>
    <d v="2014-07-03T00:00:00"/>
    <x v="6"/>
    <n v="4.99"/>
  </r>
  <r>
    <s v="0 Original"/>
    <s v="(3614)"/>
    <n v="3614"/>
    <s v="2014-07-03 Nayda Shields(1092)"/>
    <x v="16"/>
    <n v="6.99"/>
    <n v="1"/>
    <s v="www"/>
    <d v="2014-07-03T22:00:58"/>
    <d v="2014-07-03T00:00:00"/>
    <x v="6"/>
    <n v="6.99"/>
  </r>
  <r>
    <s v="0 Original"/>
    <s v="(993)"/>
    <n v="993"/>
    <s v="2014-07-05 Blossom Mosley(283)"/>
    <x v="6"/>
    <n v="5.99"/>
    <n v="2"/>
    <s v="www"/>
    <d v="2014-07-05T21:19:29"/>
    <d v="2014-07-05T00:00:00"/>
    <x v="6"/>
    <n v="11.98"/>
  </r>
  <r>
    <s v="0 Original"/>
    <s v="(994)"/>
    <n v="994"/>
    <s v="2014-07-05 Blossom Mosley(283)"/>
    <x v="82"/>
    <n v="5.99"/>
    <n v="1"/>
    <s v="www"/>
    <d v="2014-07-05T21:19:29"/>
    <d v="2014-07-05T00:00:00"/>
    <x v="6"/>
    <n v="5.99"/>
  </r>
  <r>
    <s v="0 Original"/>
    <s v="(995)"/>
    <n v="995"/>
    <s v="2014-07-05 Blossom Mosley(283)"/>
    <x v="7"/>
    <n v="9.99"/>
    <n v="1"/>
    <s v="www"/>
    <d v="2014-07-05T21:19:29"/>
    <d v="2014-07-05T00:00:00"/>
    <x v="6"/>
    <n v="9.99"/>
  </r>
  <r>
    <s v="0 Original"/>
    <s v="(996)"/>
    <n v="996"/>
    <s v="2014-07-05 Blossom Mosley(283)"/>
    <x v="10"/>
    <n v="8.99"/>
    <n v="2"/>
    <s v="www"/>
    <d v="2014-07-05T21:19:29"/>
    <d v="2014-07-05T00:00:00"/>
    <x v="6"/>
    <n v="17.98"/>
  </r>
  <r>
    <s v="0 Original"/>
    <s v="(2193)"/>
    <n v="2193"/>
    <s v="2014-07-08 Ivy Livingston(646)"/>
    <x v="13"/>
    <n v="8.99"/>
    <n v="1"/>
    <s v="www"/>
    <d v="2014-07-08T05:21:47"/>
    <d v="2014-07-08T00:00:00"/>
    <x v="6"/>
    <n v="8.99"/>
  </r>
  <r>
    <s v="0 Original"/>
    <s v="(2194)"/>
    <n v="2194"/>
    <s v="2014-07-08 Ivy Livingston(646)"/>
    <x v="49"/>
    <n v="8.99"/>
    <n v="2"/>
    <s v="www"/>
    <d v="2014-07-08T05:21:47"/>
    <d v="2014-07-08T00:00:00"/>
    <x v="6"/>
    <n v="17.98"/>
  </r>
  <r>
    <s v="0 Original"/>
    <s v="(2195)"/>
    <n v="2195"/>
    <s v="2014-07-08 Ivy Livingston(646)"/>
    <x v="26"/>
    <n v="6.99"/>
    <n v="1"/>
    <s v="www"/>
    <d v="2014-07-08T05:21:47"/>
    <d v="2014-07-08T00:00:00"/>
    <x v="6"/>
    <n v="6.99"/>
  </r>
  <r>
    <s v="0 Original"/>
    <s v="(2196)"/>
    <n v="2196"/>
    <s v="2014-07-08 Ivy Livingston(646)"/>
    <x v="5"/>
    <n v="9.99"/>
    <n v="2"/>
    <s v="www"/>
    <d v="2014-07-08T05:21:47"/>
    <d v="2014-07-08T00:00:00"/>
    <x v="6"/>
    <n v="19.98"/>
  </r>
  <r>
    <s v="0 Original"/>
    <s v="(2197)"/>
    <n v="2197"/>
    <s v="2014-07-08 Ivy Livingston(646)"/>
    <x v="29"/>
    <n v="4.99"/>
    <n v="2"/>
    <s v="www"/>
    <d v="2014-07-08T05:21:47"/>
    <d v="2014-07-08T00:00:00"/>
    <x v="6"/>
    <n v="9.98"/>
  </r>
  <r>
    <s v="0 Original"/>
    <s v="(2198)"/>
    <n v="2198"/>
    <s v="2014-07-08 Ivy Livingston(646)"/>
    <x v="5"/>
    <n v="9.99"/>
    <n v="1"/>
    <s v="www"/>
    <d v="2014-07-08T05:21:47"/>
    <d v="2014-07-08T00:00:00"/>
    <x v="6"/>
    <n v="9.99"/>
  </r>
  <r>
    <s v="0 Original"/>
    <s v="(2199)"/>
    <n v="2199"/>
    <s v="2014-07-08 Ivy Livingston(646)"/>
    <x v="10"/>
    <n v="8.99"/>
    <n v="1"/>
    <s v="www"/>
    <d v="2014-07-08T05:21:47"/>
    <d v="2014-07-08T00:00:00"/>
    <x v="6"/>
    <n v="8.99"/>
  </r>
  <r>
    <s v="0 Original"/>
    <s v="(2200)"/>
    <n v="2200"/>
    <s v="2014-07-08 Ivy Livingston(646)"/>
    <x v="0"/>
    <n v="9.99"/>
    <n v="1"/>
    <s v="www"/>
    <d v="2014-07-08T05:21:47"/>
    <d v="2014-07-08T00:00:00"/>
    <x v="6"/>
    <n v="9.99"/>
  </r>
  <r>
    <s v="0 Original"/>
    <s v="(2945)"/>
    <n v="2945"/>
    <s v="2014-07-08 Madeline Reynolds(887)"/>
    <x v="7"/>
    <n v="9.99"/>
    <n v="2"/>
    <s v="www"/>
    <d v="2014-07-08T07:14:55"/>
    <d v="2014-07-08T00:00:00"/>
    <x v="6"/>
    <n v="19.98"/>
  </r>
  <r>
    <s v="0 Original"/>
    <s v="(2946)"/>
    <n v="2946"/>
    <s v="2014-07-08 Madeline Reynolds(887)"/>
    <x v="9"/>
    <n v="7.99"/>
    <n v="2"/>
    <s v="www"/>
    <d v="2014-07-08T07:14:55"/>
    <d v="2014-07-08T00:00:00"/>
    <x v="6"/>
    <n v="15.98"/>
  </r>
  <r>
    <s v="0 Original"/>
    <s v="(2947)"/>
    <n v="2947"/>
    <s v="2014-07-08 Madeline Reynolds(887)"/>
    <x v="25"/>
    <n v="9.99"/>
    <n v="2"/>
    <s v="www"/>
    <d v="2014-07-08T07:14:55"/>
    <d v="2014-07-08T00:00:00"/>
    <x v="6"/>
    <n v="19.98"/>
  </r>
  <r>
    <s v="0 Original"/>
    <s v="(542)"/>
    <n v="542"/>
    <s v="2014-07-08 Yoshi Bennett(152)"/>
    <x v="32"/>
    <n v="5.99"/>
    <n v="1"/>
    <s v="www"/>
    <d v="2014-07-08T13:56:58"/>
    <d v="2014-07-08T00:00:00"/>
    <x v="6"/>
    <n v="5.99"/>
  </r>
  <r>
    <s v="0 Original"/>
    <s v="(543)"/>
    <n v="543"/>
    <s v="2014-07-08 Yoshi Bennett(152)"/>
    <x v="139"/>
    <n v="8.99"/>
    <n v="1"/>
    <s v="www"/>
    <d v="2014-07-08T13:56:58"/>
    <d v="2014-07-08T00:00:00"/>
    <x v="6"/>
    <n v="8.99"/>
  </r>
  <r>
    <s v="0 Original"/>
    <s v="(544)"/>
    <n v="544"/>
    <s v="2014-07-08 Yoshi Bennett(152)"/>
    <x v="140"/>
    <n v="4.99"/>
    <n v="1"/>
    <s v="www"/>
    <d v="2014-07-08T13:56:58"/>
    <d v="2014-07-08T00:00:00"/>
    <x v="6"/>
    <n v="4.99"/>
  </r>
  <r>
    <s v="0 Original"/>
    <s v="(178)"/>
    <n v="178"/>
    <s v="2014-07-08 Irene Carver(49)"/>
    <x v="115"/>
    <n v="8.99"/>
    <n v="1"/>
    <s v="www"/>
    <d v="2014-07-08T16:15:05"/>
    <d v="2014-07-08T00:00:00"/>
    <x v="6"/>
    <n v="8.99"/>
  </r>
  <r>
    <s v="0 Original"/>
    <s v="(179)"/>
    <n v="179"/>
    <s v="2014-07-08 Irene Carver(49)"/>
    <x v="13"/>
    <n v="8.99"/>
    <n v="1"/>
    <s v="www"/>
    <d v="2014-07-08T16:15:05"/>
    <d v="2014-07-08T00:00:00"/>
    <x v="6"/>
    <n v="8.99"/>
  </r>
  <r>
    <s v="0 Original"/>
    <s v="(1803)"/>
    <n v="1803"/>
    <s v="2014-07-09 Ora Mann(530)"/>
    <x v="9"/>
    <n v="7.99"/>
    <n v="2"/>
    <s v="www"/>
    <d v="2014-07-09T17:32:08"/>
    <d v="2014-07-09T00:00:00"/>
    <x v="6"/>
    <n v="15.98"/>
  </r>
  <r>
    <s v="0 Original"/>
    <s v="(1804)"/>
    <n v="1804"/>
    <s v="2014-07-09 Ora Mann(530)"/>
    <x v="17"/>
    <n v="9.99"/>
    <n v="1"/>
    <s v="www"/>
    <d v="2014-07-09T17:32:08"/>
    <d v="2014-07-09T00:00:00"/>
    <x v="6"/>
    <n v="9.99"/>
  </r>
  <r>
    <s v="0 Original"/>
    <s v="(1805)"/>
    <n v="1805"/>
    <s v="2014-07-09 Ora Mann(530)"/>
    <x v="12"/>
    <n v="8.99"/>
    <n v="1"/>
    <s v="www"/>
    <d v="2014-07-09T17:32:08"/>
    <d v="2014-07-09T00:00:00"/>
    <x v="6"/>
    <n v="8.99"/>
  </r>
  <r>
    <s v="0 Original"/>
    <s v="(484)"/>
    <n v="484"/>
    <s v="2014-07-09 Wade Coleman(137)"/>
    <x v="136"/>
    <n v="7.99"/>
    <n v="1"/>
    <s v="www"/>
    <d v="2014-07-09T23:49:49"/>
    <d v="2014-07-09T00:00:00"/>
    <x v="6"/>
    <n v="7.99"/>
  </r>
  <r>
    <s v="0 Original"/>
    <s v="(485)"/>
    <n v="485"/>
    <s v="2014-07-09 Wade Coleman(137)"/>
    <x v="123"/>
    <n v="5.99"/>
    <n v="1"/>
    <s v="www"/>
    <d v="2014-07-09T23:49:49"/>
    <d v="2014-07-09T00:00:00"/>
    <x v="6"/>
    <n v="5.99"/>
  </r>
  <r>
    <s v="0 Original"/>
    <s v="(486)"/>
    <n v="486"/>
    <s v="2014-07-09 Wade Coleman(137)"/>
    <x v="141"/>
    <n v="5.99"/>
    <n v="2"/>
    <s v="www"/>
    <d v="2014-07-09T23:49:49"/>
    <d v="2014-07-09T00:00:00"/>
    <x v="6"/>
    <n v="11.98"/>
  </r>
  <r>
    <s v="0 Original"/>
    <s v="(487)"/>
    <n v="487"/>
    <s v="2014-07-09 Wade Coleman(137)"/>
    <x v="43"/>
    <n v="4.99"/>
    <n v="1"/>
    <s v="www"/>
    <d v="2014-07-09T23:49:49"/>
    <d v="2014-07-09T00:00:00"/>
    <x v="6"/>
    <n v="4.99"/>
  </r>
  <r>
    <s v="0 Original"/>
    <s v="(488)"/>
    <n v="488"/>
    <s v="2014-07-09 Wade Coleman(137)"/>
    <x v="86"/>
    <n v="9.99"/>
    <n v="2"/>
    <s v="www"/>
    <d v="2014-07-09T23:49:49"/>
    <d v="2014-07-09T00:00:00"/>
    <x v="6"/>
    <n v="19.98"/>
  </r>
  <r>
    <s v="0 Original"/>
    <s v="(1279)"/>
    <n v="1279"/>
    <s v="2014-07-10 Galvin Becker(373)"/>
    <x v="16"/>
    <n v="6.99"/>
    <n v="1"/>
    <s v="www"/>
    <d v="2014-07-10T07:49:27"/>
    <d v="2014-07-10T00:00:00"/>
    <x v="6"/>
    <n v="6.99"/>
  </r>
  <r>
    <s v="0 Original"/>
    <s v="(1280)"/>
    <n v="1280"/>
    <s v="2014-07-10 Galvin Becker(373)"/>
    <x v="26"/>
    <n v="6.99"/>
    <n v="2"/>
    <s v="www"/>
    <d v="2014-07-10T07:49:27"/>
    <d v="2014-07-10T00:00:00"/>
    <x v="6"/>
    <n v="13.98"/>
  </r>
  <r>
    <s v="0 Original"/>
    <s v="(1281)"/>
    <n v="1281"/>
    <s v="2014-07-10 Galvin Becker(373)"/>
    <x v="86"/>
    <n v="9.99"/>
    <n v="1"/>
    <s v="www"/>
    <d v="2014-07-10T07:49:27"/>
    <d v="2014-07-10T00:00:00"/>
    <x v="6"/>
    <n v="9.99"/>
  </r>
  <r>
    <s v="0 Original"/>
    <s v="(3270)"/>
    <n v="3270"/>
    <s v="2014-07-10 Christine Medina(989)"/>
    <x v="41"/>
    <n v="4.99"/>
    <n v="1"/>
    <s v="www"/>
    <d v="2014-07-10T08:01:39"/>
    <d v="2014-07-10T00:00:00"/>
    <x v="6"/>
    <n v="4.99"/>
  </r>
  <r>
    <s v="0 Original"/>
    <s v="(1995)"/>
    <n v="1995"/>
    <s v="2014-07-11 April Buckley(584)"/>
    <x v="32"/>
    <n v="5.99"/>
    <n v="2"/>
    <s v="www"/>
    <d v="2014-07-11T08:04:01"/>
    <d v="2014-07-11T00:00:00"/>
    <x v="6"/>
    <n v="11.98"/>
  </r>
  <r>
    <s v="0 Original"/>
    <s v="(1996)"/>
    <n v="1996"/>
    <s v="2014-07-11 April Buckley(584)"/>
    <x v="13"/>
    <n v="8.99"/>
    <n v="1"/>
    <s v="www"/>
    <d v="2014-07-11T08:04:01"/>
    <d v="2014-07-11T00:00:00"/>
    <x v="6"/>
    <n v="8.99"/>
  </r>
  <r>
    <s v="0 Original"/>
    <s v="(1997)"/>
    <n v="1997"/>
    <s v="2014-07-11 April Buckley(584)"/>
    <x v="42"/>
    <n v="5.99"/>
    <n v="2"/>
    <s v="www"/>
    <d v="2014-07-11T08:04:01"/>
    <d v="2014-07-11T00:00:00"/>
    <x v="6"/>
    <n v="11.98"/>
  </r>
  <r>
    <s v="0 Original"/>
    <s v="(3452)"/>
    <n v="3452"/>
    <s v="2014-07-11 Cameron Rivera(1042)"/>
    <x v="41"/>
    <n v="4.99"/>
    <n v="1"/>
    <s v="www"/>
    <d v="2014-07-11T09:52:10"/>
    <d v="2014-07-11T00:00:00"/>
    <x v="6"/>
    <n v="4.99"/>
  </r>
  <r>
    <s v="0 Original"/>
    <s v="(3453)"/>
    <n v="3453"/>
    <s v="2014-07-11 Cameron Rivera(1042)"/>
    <x v="6"/>
    <n v="5.99"/>
    <n v="1"/>
    <s v="www"/>
    <d v="2014-07-11T09:52:10"/>
    <d v="2014-07-11T00:00:00"/>
    <x v="6"/>
    <n v="5.99"/>
  </r>
  <r>
    <s v="0 Original"/>
    <s v="(2373)"/>
    <n v="2373"/>
    <s v="2014-07-12 Prescott Nelson(706)"/>
    <x v="8"/>
    <n v="4.99"/>
    <n v="1"/>
    <s v="www"/>
    <d v="2014-07-12T00:17:26"/>
    <d v="2014-07-12T00:00:00"/>
    <x v="6"/>
    <n v="4.99"/>
  </r>
  <r>
    <s v="0 Original"/>
    <s v="(1953)"/>
    <n v="1953"/>
    <s v="2014-07-12 Ulysses Hudson(573)"/>
    <x v="5"/>
    <n v="9.99"/>
    <n v="1"/>
    <s v="www"/>
    <d v="2014-07-12T05:18:22"/>
    <d v="2014-07-12T00:00:00"/>
    <x v="6"/>
    <n v="9.99"/>
  </r>
  <r>
    <s v="0 Original"/>
    <s v="(1954)"/>
    <n v="1954"/>
    <s v="2014-07-12 Ulysses Hudson(573)"/>
    <x v="11"/>
    <n v="8.99"/>
    <n v="1"/>
    <s v="www"/>
    <d v="2014-07-12T05:18:22"/>
    <d v="2014-07-12T00:00:00"/>
    <x v="6"/>
    <n v="8.99"/>
  </r>
  <r>
    <s v="0 Original"/>
    <s v="(1374)"/>
    <n v="1374"/>
    <s v="2014-07-12 Iona Simpson(399)"/>
    <x v="26"/>
    <n v="6.99"/>
    <n v="1"/>
    <s v="www"/>
    <d v="2014-07-12T21:07:31"/>
    <d v="2014-07-12T00:00:00"/>
    <x v="6"/>
    <n v="6.99"/>
  </r>
  <r>
    <s v="0 Original"/>
    <s v="(1375)"/>
    <n v="1375"/>
    <s v="2014-07-12 Iona Simpson(399)"/>
    <x v="27"/>
    <n v="9.99"/>
    <n v="2"/>
    <s v="www"/>
    <d v="2014-07-12T21:07:31"/>
    <d v="2014-07-12T00:00:00"/>
    <x v="6"/>
    <n v="19.98"/>
  </r>
  <r>
    <s v="0 Original"/>
    <s v="(1376)"/>
    <n v="1376"/>
    <s v="2014-07-12 Iona Simpson(399)"/>
    <x v="44"/>
    <n v="9.99"/>
    <n v="1"/>
    <s v="www"/>
    <d v="2014-07-12T21:07:31"/>
    <d v="2014-07-12T00:00:00"/>
    <x v="6"/>
    <n v="9.99"/>
  </r>
  <r>
    <s v="0 Original"/>
    <s v="(1377)"/>
    <n v="1377"/>
    <s v="2014-07-12 Iona Simpson(399)"/>
    <x v="4"/>
    <n v="6.99"/>
    <n v="1"/>
    <s v="www"/>
    <d v="2014-07-12T21:07:31"/>
    <d v="2014-07-12T00:00:00"/>
    <x v="6"/>
    <n v="6.99"/>
  </r>
  <r>
    <s v="0 Original"/>
    <s v="(1936)"/>
    <n v="1936"/>
    <s v="2014-07-13 Yoshi Bennett(567)"/>
    <x v="20"/>
    <n v="7.99"/>
    <n v="1"/>
    <s v="www"/>
    <d v="2014-07-13T16:41:23"/>
    <d v="2014-07-13T00:00:00"/>
    <x v="6"/>
    <n v="7.99"/>
  </r>
  <r>
    <s v="0 Original"/>
    <s v="(1937)"/>
    <n v="1937"/>
    <s v="2014-07-13 Yoshi Bennett(567)"/>
    <x v="47"/>
    <n v="6.99"/>
    <n v="2"/>
    <s v="www"/>
    <d v="2014-07-13T16:41:23"/>
    <d v="2014-07-13T00:00:00"/>
    <x v="6"/>
    <n v="13.98"/>
  </r>
  <r>
    <s v="0 Original"/>
    <s v="(1938)"/>
    <n v="1938"/>
    <s v="2014-07-13 Yoshi Bennett(567)"/>
    <x v="13"/>
    <n v="8.99"/>
    <n v="1"/>
    <s v="www"/>
    <d v="2014-07-13T16:41:23"/>
    <d v="2014-07-13T00:00:00"/>
    <x v="6"/>
    <n v="8.99"/>
  </r>
  <r>
    <s v="0 Original"/>
    <s v="(1939)"/>
    <n v="1939"/>
    <s v="2014-07-13 Yoshi Bennett(567)"/>
    <x v="7"/>
    <n v="9.99"/>
    <n v="1"/>
    <s v="www"/>
    <d v="2014-07-13T16:41:23"/>
    <d v="2014-07-13T00:00:00"/>
    <x v="6"/>
    <n v="9.99"/>
  </r>
  <r>
    <s v="0 Original"/>
    <s v="(1940)"/>
    <n v="1940"/>
    <s v="2014-07-13 Yoshi Bennett(567)"/>
    <x v="107"/>
    <n v="8.99"/>
    <n v="1"/>
    <s v="www"/>
    <d v="2014-07-13T16:41:23"/>
    <d v="2014-07-13T00:00:00"/>
    <x v="6"/>
    <n v="8.99"/>
  </r>
  <r>
    <s v="0 Original"/>
    <s v="(1740)"/>
    <n v="1740"/>
    <s v="2014-07-14 Zane Parrish(511)"/>
    <x v="0"/>
    <n v="9.99"/>
    <n v="1"/>
    <s v="www"/>
    <d v="2014-07-14T10:02:01"/>
    <d v="2014-07-14T00:00:00"/>
    <x v="6"/>
    <n v="9.99"/>
  </r>
  <r>
    <s v="0 Original"/>
    <s v="(1741)"/>
    <n v="1741"/>
    <s v="2014-07-14 Zane Parrish(511)"/>
    <x v="16"/>
    <n v="6.99"/>
    <n v="1"/>
    <s v="www"/>
    <d v="2014-07-14T10:02:01"/>
    <d v="2014-07-14T00:00:00"/>
    <x v="6"/>
    <n v="6.99"/>
  </r>
  <r>
    <s v="0 Original"/>
    <s v="(3470)"/>
    <n v="3470"/>
    <s v="2014-07-14 Madeline Reynolds(1047)"/>
    <x v="23"/>
    <n v="9.99"/>
    <n v="1"/>
    <s v="www"/>
    <d v="2014-07-14T14:34:14"/>
    <d v="2014-07-14T00:00:00"/>
    <x v="6"/>
    <n v="9.99"/>
  </r>
  <r>
    <s v="0 Original"/>
    <s v="(3471)"/>
    <n v="3471"/>
    <s v="2014-07-14 Madeline Reynolds(1047)"/>
    <x v="8"/>
    <n v="4.99"/>
    <n v="1"/>
    <s v="www"/>
    <d v="2014-07-14T14:34:14"/>
    <d v="2014-07-14T00:00:00"/>
    <x v="6"/>
    <n v="4.99"/>
  </r>
  <r>
    <s v="0 Original"/>
    <s v="(2281)"/>
    <n v="2281"/>
    <s v="2014-07-14 Gabriel Carlson(674)"/>
    <x v="44"/>
    <n v="9.99"/>
    <n v="1"/>
    <s v="www"/>
    <d v="2014-07-14T15:07:57"/>
    <d v="2014-07-14T00:00:00"/>
    <x v="6"/>
    <n v="9.99"/>
  </r>
  <r>
    <s v="0 Original"/>
    <s v="(2282)"/>
    <n v="2282"/>
    <s v="2014-07-14 Gabriel Carlson(674)"/>
    <x v="26"/>
    <n v="6.99"/>
    <n v="1"/>
    <s v="www"/>
    <d v="2014-07-14T15:07:57"/>
    <d v="2014-07-14T00:00:00"/>
    <x v="6"/>
    <n v="6.99"/>
  </r>
  <r>
    <s v="0 Original"/>
    <s v="(2283)"/>
    <n v="2283"/>
    <s v="2014-07-14 Gabriel Carlson(674)"/>
    <x v="10"/>
    <n v="8.99"/>
    <n v="2"/>
    <s v="www"/>
    <d v="2014-07-14T15:07:57"/>
    <d v="2014-07-14T00:00:00"/>
    <x v="6"/>
    <n v="17.98"/>
  </r>
  <r>
    <s v="0 Original"/>
    <s v="(2284)"/>
    <n v="2284"/>
    <s v="2014-07-14 Gabriel Carlson(674)"/>
    <x v="6"/>
    <n v="5.99"/>
    <n v="1"/>
    <s v="www"/>
    <d v="2014-07-14T15:07:57"/>
    <d v="2014-07-14T00:00:00"/>
    <x v="6"/>
    <n v="5.99"/>
  </r>
  <r>
    <s v="0 Original"/>
    <s v="(954)"/>
    <n v="954"/>
    <s v="2014-07-14 Dale Fry(272)"/>
    <x v="65"/>
    <n v="4.99"/>
    <n v="1"/>
    <s v="www"/>
    <d v="2014-07-14T21:21:51"/>
    <d v="2014-07-14T00:00:00"/>
    <x v="6"/>
    <n v="4.99"/>
  </r>
  <r>
    <s v="0 Original"/>
    <s v="(955)"/>
    <n v="955"/>
    <s v="2014-07-14 Dale Fry(272)"/>
    <x v="5"/>
    <n v="9.99"/>
    <n v="1"/>
    <s v="www"/>
    <d v="2014-07-14T21:21:51"/>
    <d v="2014-07-14T00:00:00"/>
    <x v="6"/>
    <n v="9.99"/>
  </r>
  <r>
    <s v="0 Original"/>
    <s v="(2607)"/>
    <n v="2607"/>
    <s v="2014-07-14 Madeline Reynolds(786)"/>
    <x v="25"/>
    <n v="9.99"/>
    <n v="1"/>
    <s v="www"/>
    <d v="2014-07-14T21:33:28"/>
    <d v="2014-07-14T00:00:00"/>
    <x v="6"/>
    <n v="9.99"/>
  </r>
  <r>
    <s v="0 Original"/>
    <s v="(2608)"/>
    <n v="2608"/>
    <s v="2014-07-14 Madeline Reynolds(786)"/>
    <x v="41"/>
    <n v="4.99"/>
    <n v="2"/>
    <s v="www"/>
    <d v="2014-07-14T21:33:28"/>
    <d v="2014-07-14T00:00:00"/>
    <x v="6"/>
    <n v="9.98"/>
  </r>
  <r>
    <s v="0 Original"/>
    <s v="(2609)"/>
    <n v="2609"/>
    <s v="2014-07-14 Madeline Reynolds(786)"/>
    <x v="41"/>
    <n v="4.99"/>
    <n v="2"/>
    <s v="www"/>
    <d v="2014-07-14T21:33:28"/>
    <d v="2014-07-14T00:00:00"/>
    <x v="6"/>
    <n v="9.98"/>
  </r>
  <r>
    <s v="0 Original"/>
    <s v="(110)"/>
    <n v="110"/>
    <s v="2014-07-14 Prescott Nelson(33)"/>
    <x v="96"/>
    <n v="4.99"/>
    <n v="1"/>
    <s v="www"/>
    <d v="2014-07-14T22:49:35"/>
    <d v="2014-07-14T00:00:00"/>
    <x v="6"/>
    <n v="4.99"/>
  </r>
  <r>
    <s v="0 Original"/>
    <s v="(111)"/>
    <n v="111"/>
    <s v="2014-07-14 Prescott Nelson(33)"/>
    <x v="101"/>
    <n v="9.99"/>
    <n v="1"/>
    <s v="www"/>
    <d v="2014-07-14T22:49:35"/>
    <d v="2014-07-14T00:00:00"/>
    <x v="6"/>
    <n v="9.99"/>
  </r>
  <r>
    <s v="0 Original"/>
    <s v="(112)"/>
    <n v="112"/>
    <s v="2014-07-14 Prescott Nelson(33)"/>
    <x v="70"/>
    <n v="8.99"/>
    <n v="1"/>
    <s v="www"/>
    <d v="2014-07-14T22:49:35"/>
    <d v="2014-07-14T00:00:00"/>
    <x v="6"/>
    <n v="8.99"/>
  </r>
  <r>
    <s v="0 Original"/>
    <s v="(113)"/>
    <n v="113"/>
    <s v="2014-07-14 Prescott Nelson(33)"/>
    <x v="21"/>
    <n v="4.99"/>
    <n v="1"/>
    <s v="www"/>
    <d v="2014-07-14T22:49:35"/>
    <d v="2014-07-14T00:00:00"/>
    <x v="6"/>
    <n v="4.99"/>
  </r>
  <r>
    <s v="0 Original"/>
    <s v="(1565)"/>
    <n v="1565"/>
    <s v="2014-07-15 Indira Suarez(449)"/>
    <x v="38"/>
    <n v="6.99"/>
    <n v="2"/>
    <s v="www"/>
    <d v="2014-07-15T17:47:50"/>
    <d v="2014-07-15T00:00:00"/>
    <x v="6"/>
    <n v="13.98"/>
  </r>
  <r>
    <s v="0 Original"/>
    <s v="(1566)"/>
    <n v="1566"/>
    <s v="2014-07-15 Indira Suarez(449)"/>
    <x v="42"/>
    <n v="5.99"/>
    <n v="1"/>
    <s v="www"/>
    <d v="2014-07-15T17:47:50"/>
    <d v="2014-07-15T00:00:00"/>
    <x v="6"/>
    <n v="5.99"/>
  </r>
  <r>
    <s v="0 Original"/>
    <s v="(1245)"/>
    <n v="1245"/>
    <s v="2014-07-16 Harrison Klein(362)"/>
    <x v="65"/>
    <n v="4.99"/>
    <n v="2"/>
    <s v="www"/>
    <d v="2014-07-16T00:54:59"/>
    <d v="2014-07-16T00:00:00"/>
    <x v="6"/>
    <n v="9.98"/>
  </r>
  <r>
    <s v="0 Original"/>
    <s v="(1246)"/>
    <n v="1246"/>
    <s v="2014-07-16 Harrison Klein(362)"/>
    <x v="5"/>
    <n v="9.99"/>
    <n v="2"/>
    <s v="www"/>
    <d v="2014-07-16T00:54:59"/>
    <d v="2014-07-16T00:00:00"/>
    <x v="6"/>
    <n v="19.98"/>
  </r>
  <r>
    <s v="0 Original"/>
    <s v="(1247)"/>
    <n v="1247"/>
    <s v="2014-07-16 Harrison Klein(362)"/>
    <x v="6"/>
    <n v="5.99"/>
    <n v="2"/>
    <s v="www"/>
    <d v="2014-07-16T00:54:59"/>
    <d v="2014-07-16T00:00:00"/>
    <x v="6"/>
    <n v="11.98"/>
  </r>
  <r>
    <s v="0 Original"/>
    <s v="(1248)"/>
    <n v="1248"/>
    <s v="2014-07-16 Harrison Klein(362)"/>
    <x v="0"/>
    <n v="9.99"/>
    <n v="2"/>
    <s v="www"/>
    <d v="2014-07-16T00:54:59"/>
    <d v="2014-07-16T00:00:00"/>
    <x v="6"/>
    <n v="19.98"/>
  </r>
  <r>
    <s v="0 Original"/>
    <s v="(1249)"/>
    <n v="1249"/>
    <s v="2014-07-16 Harrison Klein(362)"/>
    <x v="2"/>
    <n v="7.99"/>
    <n v="2"/>
    <s v="www"/>
    <d v="2014-07-16T00:54:59"/>
    <d v="2014-07-16T00:00:00"/>
    <x v="6"/>
    <n v="15.98"/>
  </r>
  <r>
    <s v="0 Original"/>
    <s v="(1250)"/>
    <n v="1250"/>
    <s v="2014-07-16 Harrison Klein(362)"/>
    <x v="44"/>
    <n v="9.99"/>
    <n v="2"/>
    <s v="www"/>
    <d v="2014-07-16T00:54:59"/>
    <d v="2014-07-16T00:00:00"/>
    <x v="6"/>
    <n v="19.98"/>
  </r>
  <r>
    <s v="0 Original"/>
    <s v="(1360)"/>
    <n v="1360"/>
    <s v="2014-07-16 Ulysses Hudson(395)"/>
    <x v="13"/>
    <n v="8.99"/>
    <n v="1"/>
    <s v="www"/>
    <d v="2014-07-16T05:09:36"/>
    <d v="2014-07-16T00:00:00"/>
    <x v="6"/>
    <n v="8.99"/>
  </r>
  <r>
    <s v="0 Original"/>
    <s v="(3655)"/>
    <n v="3655"/>
    <s v="2014-07-16 Bernard Cash(1106)"/>
    <x v="9"/>
    <n v="7.99"/>
    <n v="2"/>
    <s v="www"/>
    <d v="2014-07-16T12:01:36"/>
    <d v="2014-07-16T00:00:00"/>
    <x v="6"/>
    <n v="15.98"/>
  </r>
  <r>
    <s v="0 Original"/>
    <s v="(3656)"/>
    <n v="3656"/>
    <s v="2014-07-16 Bernard Cash(1106)"/>
    <x v="41"/>
    <n v="4.99"/>
    <n v="2"/>
    <s v="www"/>
    <d v="2014-07-16T12:01:36"/>
    <d v="2014-07-16T00:00:00"/>
    <x v="6"/>
    <n v="9.98"/>
  </r>
  <r>
    <s v="0 Original"/>
    <s v="(3904)"/>
    <n v="3904"/>
    <s v="2014-07-18 Nayda Shields(1183)"/>
    <x v="30"/>
    <n v="6.99"/>
    <n v="2"/>
    <s v="www"/>
    <d v="2014-07-18T01:05:56"/>
    <d v="2014-07-18T00:00:00"/>
    <x v="6"/>
    <n v="13.98"/>
  </r>
  <r>
    <s v="0 Original"/>
    <s v="(3905)"/>
    <n v="3905"/>
    <s v="2014-07-18 Nayda Shields(1183)"/>
    <x v="41"/>
    <n v="4.99"/>
    <n v="1"/>
    <s v="www"/>
    <d v="2014-07-18T01:05:56"/>
    <d v="2014-07-18T00:00:00"/>
    <x v="6"/>
    <n v="4.99"/>
  </r>
  <r>
    <s v="0 Original"/>
    <s v="(3906)"/>
    <n v="3906"/>
    <s v="2014-07-18 Nayda Shields(1183)"/>
    <x v="23"/>
    <n v="9.99"/>
    <n v="2"/>
    <s v="www"/>
    <d v="2014-07-18T01:05:56"/>
    <d v="2014-07-18T00:00:00"/>
    <x v="6"/>
    <n v="19.98"/>
  </r>
  <r>
    <s v="0 Original"/>
    <s v="(2300)"/>
    <n v="2300"/>
    <s v="2014-07-18 Hanna Simpson(680)"/>
    <x v="16"/>
    <n v="6.99"/>
    <n v="1"/>
    <s v="www"/>
    <d v="2014-07-18T01:50:18"/>
    <d v="2014-07-18T00:00:00"/>
    <x v="6"/>
    <n v="6.99"/>
  </r>
  <r>
    <s v="0 Original"/>
    <s v="(3766)"/>
    <n v="3766"/>
    <s v="2014-07-18 Prescott Nelson(1141)"/>
    <x v="8"/>
    <n v="4.99"/>
    <n v="1"/>
    <s v="www"/>
    <d v="2014-07-18T04:11:25"/>
    <d v="2014-07-18T00:00:00"/>
    <x v="6"/>
    <n v="4.99"/>
  </r>
  <r>
    <s v="0 Original"/>
    <s v="(3767)"/>
    <n v="3767"/>
    <s v="2014-07-18 Prescott Nelson(1141)"/>
    <x v="25"/>
    <n v="9.99"/>
    <n v="1"/>
    <s v="www"/>
    <d v="2014-07-18T04:11:25"/>
    <d v="2014-07-18T00:00:00"/>
    <x v="6"/>
    <n v="9.99"/>
  </r>
  <r>
    <s v="0 Original"/>
    <s v="(3324)"/>
    <n v="3324"/>
    <s v="2014-07-18 Cameron Rivera(1007)"/>
    <x v="25"/>
    <n v="9.99"/>
    <n v="1"/>
    <s v="www"/>
    <d v="2014-07-18T14:02:31"/>
    <d v="2014-07-18T00:00:00"/>
    <x v="6"/>
    <n v="9.99"/>
  </r>
  <r>
    <s v="0 Original"/>
    <s v="(3325)"/>
    <n v="3325"/>
    <s v="2014-07-18 Cameron Rivera(1007)"/>
    <x v="8"/>
    <n v="4.99"/>
    <n v="1"/>
    <s v="www"/>
    <d v="2014-07-18T14:02:31"/>
    <d v="2014-07-18T00:00:00"/>
    <x v="6"/>
    <n v="4.99"/>
  </r>
  <r>
    <s v="0 Original"/>
    <s v="(3326)"/>
    <n v="3326"/>
    <s v="2014-07-18 Cameron Rivera(1007)"/>
    <x v="6"/>
    <n v="5.99"/>
    <n v="1"/>
    <s v="www"/>
    <d v="2014-07-18T14:02:31"/>
    <d v="2014-07-18T00:00:00"/>
    <x v="6"/>
    <n v="5.99"/>
  </r>
  <r>
    <s v="0 Original"/>
    <s v="(3327)"/>
    <n v="3327"/>
    <s v="2014-07-18 Cameron Rivera(1007)"/>
    <x v="23"/>
    <n v="9.99"/>
    <n v="2"/>
    <s v="www"/>
    <d v="2014-07-18T14:02:31"/>
    <d v="2014-07-18T00:00:00"/>
    <x v="6"/>
    <n v="19.98"/>
  </r>
  <r>
    <s v="0 Original"/>
    <s v="(3328)"/>
    <n v="3328"/>
    <s v="2014-07-18 Cameron Rivera(1007)"/>
    <x v="24"/>
    <n v="7.99"/>
    <n v="1"/>
    <s v="www"/>
    <d v="2014-07-18T14:02:31"/>
    <d v="2014-07-18T00:00:00"/>
    <x v="6"/>
    <n v="7.99"/>
  </r>
  <r>
    <s v="0 Original"/>
    <s v="(3398)"/>
    <n v="3398"/>
    <s v="2014-07-19 Prescott Nelson(1026)"/>
    <x v="6"/>
    <n v="5.99"/>
    <n v="2"/>
    <s v="www"/>
    <d v="2014-07-19T00:52:58"/>
    <d v="2014-07-19T00:00:00"/>
    <x v="6"/>
    <n v="11.98"/>
  </r>
  <r>
    <s v="0 Original"/>
    <s v="(3399)"/>
    <n v="3399"/>
    <s v="2014-07-19 Prescott Nelson(1026)"/>
    <x v="8"/>
    <n v="4.99"/>
    <n v="1"/>
    <s v="www"/>
    <d v="2014-07-19T00:52:58"/>
    <d v="2014-07-19T00:00:00"/>
    <x v="6"/>
    <n v="4.99"/>
  </r>
  <r>
    <s v="0 Original"/>
    <s v="(3400)"/>
    <n v="3400"/>
    <s v="2014-07-19 Prescott Nelson(1026)"/>
    <x v="23"/>
    <n v="9.99"/>
    <n v="2"/>
    <s v="www"/>
    <d v="2014-07-19T00:52:58"/>
    <d v="2014-07-19T00:00:00"/>
    <x v="6"/>
    <n v="19.98"/>
  </r>
  <r>
    <s v="0 Original"/>
    <s v="(3401)"/>
    <n v="3401"/>
    <s v="2014-07-19 Prescott Nelson(1026)"/>
    <x v="41"/>
    <n v="4.99"/>
    <n v="1"/>
    <s v="www"/>
    <d v="2014-07-19T00:52:58"/>
    <d v="2014-07-19T00:00:00"/>
    <x v="6"/>
    <n v="4.99"/>
  </r>
  <r>
    <s v="0 Original"/>
    <s v="(3402)"/>
    <n v="3402"/>
    <s v="2014-07-19 Prescott Nelson(1026)"/>
    <x v="41"/>
    <n v="4.99"/>
    <n v="1"/>
    <s v="www"/>
    <d v="2014-07-19T00:52:58"/>
    <d v="2014-07-19T00:00:00"/>
    <x v="6"/>
    <n v="4.99"/>
  </r>
  <r>
    <s v="0 Original"/>
    <s v="(3403)"/>
    <n v="3403"/>
    <s v="2014-07-19 Prescott Nelson(1026)"/>
    <x v="16"/>
    <n v="6.99"/>
    <n v="1"/>
    <s v="www"/>
    <d v="2014-07-19T00:52:58"/>
    <d v="2014-07-19T00:00:00"/>
    <x v="6"/>
    <n v="6.99"/>
  </r>
  <r>
    <s v="0 Original"/>
    <s v="(2301)"/>
    <n v="2301"/>
    <s v="2014-07-20 Blossom Mosley(681)"/>
    <x v="86"/>
    <n v="9.99"/>
    <n v="1"/>
    <s v="www"/>
    <d v="2014-07-20T04:18:21"/>
    <d v="2014-07-20T00:00:00"/>
    <x v="6"/>
    <n v="9.99"/>
  </r>
  <r>
    <s v="0 Original"/>
    <s v="(2302)"/>
    <n v="2302"/>
    <s v="2014-07-20 Blossom Mosley(681)"/>
    <x v="86"/>
    <n v="9.99"/>
    <n v="1"/>
    <s v="www"/>
    <d v="2014-07-20T04:18:21"/>
    <d v="2014-07-20T00:00:00"/>
    <x v="6"/>
    <n v="9.99"/>
  </r>
  <r>
    <s v="0 Original"/>
    <s v="(2303)"/>
    <n v="2303"/>
    <s v="2014-07-20 Blossom Mosley(681)"/>
    <x v="11"/>
    <n v="8.99"/>
    <n v="1"/>
    <s v="www"/>
    <d v="2014-07-20T04:18:21"/>
    <d v="2014-07-20T00:00:00"/>
    <x v="6"/>
    <n v="8.99"/>
  </r>
  <r>
    <s v="0 Original"/>
    <s v="(2304)"/>
    <n v="2304"/>
    <s v="2014-07-20 Blossom Mosley(681)"/>
    <x v="27"/>
    <n v="9.99"/>
    <n v="1"/>
    <s v="www"/>
    <d v="2014-07-20T04:18:21"/>
    <d v="2014-07-20T00:00:00"/>
    <x v="6"/>
    <n v="9.99"/>
  </r>
  <r>
    <s v="0 Original"/>
    <s v="(833)"/>
    <n v="833"/>
    <s v="2014-07-20 Hayley Foster(237)"/>
    <x v="12"/>
    <n v="8.99"/>
    <n v="1"/>
    <s v="www"/>
    <d v="2014-07-20T04:24:37"/>
    <d v="2014-07-20T00:00:00"/>
    <x v="6"/>
    <n v="8.99"/>
  </r>
  <r>
    <s v="0 Original"/>
    <s v="(834)"/>
    <n v="834"/>
    <s v="2014-07-20 Hayley Foster(237)"/>
    <x v="17"/>
    <n v="9.99"/>
    <n v="1"/>
    <s v="www"/>
    <d v="2014-07-20T04:24:37"/>
    <d v="2014-07-20T00:00:00"/>
    <x v="6"/>
    <n v="9.99"/>
  </r>
  <r>
    <s v="0 Original"/>
    <s v="(1577)"/>
    <n v="1577"/>
    <s v="2014-07-20 Yoshi Bennett(453)"/>
    <x v="29"/>
    <n v="4.99"/>
    <n v="1"/>
    <s v="www"/>
    <d v="2014-07-20T07:24:13"/>
    <d v="2014-07-20T00:00:00"/>
    <x v="6"/>
    <n v="4.99"/>
  </r>
  <r>
    <s v="0 Original"/>
    <s v="(1578)"/>
    <n v="1578"/>
    <s v="2014-07-20 Yoshi Bennett(453)"/>
    <x v="16"/>
    <n v="6.99"/>
    <n v="2"/>
    <s v="www"/>
    <d v="2014-07-20T07:24:13"/>
    <d v="2014-07-20T00:00:00"/>
    <x v="6"/>
    <n v="13.98"/>
  </r>
  <r>
    <s v="0 Original"/>
    <s v="(1579)"/>
    <n v="1579"/>
    <s v="2014-07-20 Yoshi Bennett(453)"/>
    <x v="16"/>
    <n v="6.99"/>
    <n v="1"/>
    <s v="www"/>
    <d v="2014-07-20T07:24:13"/>
    <d v="2014-07-20T00:00:00"/>
    <x v="6"/>
    <n v="6.99"/>
  </r>
  <r>
    <s v="0 Original"/>
    <s v="(1685)"/>
    <n v="1685"/>
    <s v="2014-07-20 Adrian Dodson(492)"/>
    <x v="28"/>
    <n v="5.99"/>
    <n v="1"/>
    <s v="www"/>
    <d v="2014-07-20T17:30:01"/>
    <d v="2014-07-20T00:00:00"/>
    <x v="6"/>
    <n v="5.99"/>
  </r>
  <r>
    <s v="0 Original"/>
    <s v="(1686)"/>
    <n v="1686"/>
    <s v="2014-07-20 Adrian Dodson(492)"/>
    <x v="59"/>
    <n v="6.99"/>
    <n v="1"/>
    <s v="www"/>
    <d v="2014-07-20T17:30:01"/>
    <d v="2014-07-20T00:00:00"/>
    <x v="6"/>
    <n v="6.99"/>
  </r>
  <r>
    <s v="0 Original"/>
    <s v="(896)"/>
    <n v="896"/>
    <s v="2014-07-20 Galvin Becker(256)"/>
    <x v="36"/>
    <n v="6.99"/>
    <n v="1"/>
    <s v="www"/>
    <d v="2014-07-20T20:57:35"/>
    <d v="2014-07-20T00:00:00"/>
    <x v="6"/>
    <n v="6.99"/>
  </r>
  <r>
    <s v="0 Original"/>
    <s v="(897)"/>
    <n v="897"/>
    <s v="2014-07-20 Galvin Becker(256)"/>
    <x v="6"/>
    <n v="5.99"/>
    <n v="1"/>
    <s v="www"/>
    <d v="2014-07-20T20:57:35"/>
    <d v="2014-07-20T00:00:00"/>
    <x v="6"/>
    <n v="5.99"/>
  </r>
  <r>
    <s v="0 Original"/>
    <s v="(898)"/>
    <n v="898"/>
    <s v="2014-07-20 Galvin Becker(256)"/>
    <x v="25"/>
    <n v="9.99"/>
    <n v="2"/>
    <s v="www"/>
    <d v="2014-07-20T20:57:35"/>
    <d v="2014-07-20T00:00:00"/>
    <x v="6"/>
    <n v="19.98"/>
  </r>
  <r>
    <s v="0 Original"/>
    <s v="(899)"/>
    <n v="899"/>
    <s v="2014-07-20 Galvin Becker(256)"/>
    <x v="43"/>
    <n v="4.99"/>
    <n v="1"/>
    <s v="www"/>
    <d v="2014-07-20T20:57:35"/>
    <d v="2014-07-20T00:00:00"/>
    <x v="6"/>
    <n v="4.99"/>
  </r>
  <r>
    <s v="0 Original"/>
    <s v="(3211)"/>
    <n v="3211"/>
    <s v="2014-07-22 Ora Mann(969)"/>
    <x v="30"/>
    <n v="6.99"/>
    <n v="1"/>
    <s v="www"/>
    <d v="2014-07-22T12:37:32"/>
    <d v="2014-07-22T00:00:00"/>
    <x v="6"/>
    <n v="6.99"/>
  </r>
  <r>
    <s v="0 Original"/>
    <s v="(344)"/>
    <n v="344"/>
    <s v="2014-07-22 Gabriel Carlson(94)"/>
    <x v="16"/>
    <n v="6.99"/>
    <n v="1"/>
    <s v="www"/>
    <d v="2014-07-22T15:18:32"/>
    <d v="2014-07-22T00:00:00"/>
    <x v="6"/>
    <n v="6.99"/>
  </r>
  <r>
    <s v="0 Original"/>
    <s v="(345)"/>
    <n v="345"/>
    <s v="2014-07-22 Gabriel Carlson(94)"/>
    <x v="48"/>
    <n v="5.99"/>
    <n v="1"/>
    <s v="www"/>
    <d v="2014-07-22T15:18:32"/>
    <d v="2014-07-22T00:00:00"/>
    <x v="6"/>
    <n v="5.99"/>
  </r>
  <r>
    <s v="0 Original"/>
    <s v="(346)"/>
    <n v="346"/>
    <s v="2014-07-22 Gabriel Carlson(94)"/>
    <x v="101"/>
    <n v="9.99"/>
    <n v="1"/>
    <s v="www"/>
    <d v="2014-07-22T15:18:32"/>
    <d v="2014-07-22T00:00:00"/>
    <x v="6"/>
    <n v="9.99"/>
  </r>
  <r>
    <s v="0 Original"/>
    <s v="(347)"/>
    <n v="347"/>
    <s v="2014-07-22 Gabriel Carlson(94)"/>
    <x v="43"/>
    <n v="4.99"/>
    <n v="1"/>
    <s v="www"/>
    <d v="2014-07-22T15:18:32"/>
    <d v="2014-07-22T00:00:00"/>
    <x v="6"/>
    <n v="4.99"/>
  </r>
  <r>
    <s v="0 Original"/>
    <s v="(348)"/>
    <n v="348"/>
    <s v="2014-07-22 Gabriel Carlson(94)"/>
    <x v="16"/>
    <n v="6.99"/>
    <n v="1"/>
    <s v="www"/>
    <d v="2014-07-22T15:18:32"/>
    <d v="2014-07-22T00:00:00"/>
    <x v="6"/>
    <n v="6.99"/>
  </r>
  <r>
    <s v="0 Original"/>
    <s v="(349)"/>
    <n v="349"/>
    <s v="2014-07-22 Gabriel Carlson(94)"/>
    <x v="82"/>
    <n v="5.99"/>
    <n v="1"/>
    <s v="www"/>
    <d v="2014-07-22T15:18:32"/>
    <d v="2014-07-22T00:00:00"/>
    <x v="6"/>
    <n v="5.99"/>
  </r>
  <r>
    <s v="0 Original"/>
    <s v="(350)"/>
    <n v="350"/>
    <s v="2014-07-22 Gabriel Carlson(94)"/>
    <x v="142"/>
    <n v="4.99"/>
    <n v="2"/>
    <s v="www"/>
    <d v="2014-07-22T15:18:32"/>
    <d v="2014-07-22T00:00:00"/>
    <x v="6"/>
    <n v="9.98"/>
  </r>
  <r>
    <s v="0 Original"/>
    <s v="(351)"/>
    <n v="351"/>
    <s v="2014-07-22 Gabriel Carlson(94)"/>
    <x v="143"/>
    <n v="5.99"/>
    <n v="1"/>
    <s v="www"/>
    <d v="2014-07-22T15:18:32"/>
    <d v="2014-07-22T00:00:00"/>
    <x v="6"/>
    <n v="5.99"/>
  </r>
  <r>
    <s v="0 Original"/>
    <s v="(2960)"/>
    <n v="2960"/>
    <s v="2014-07-24 Donovan Gomez(890)"/>
    <x v="8"/>
    <n v="4.99"/>
    <n v="1"/>
    <s v="www"/>
    <d v="2014-07-24T07:01:24"/>
    <d v="2014-07-24T00:00:00"/>
    <x v="6"/>
    <n v="4.99"/>
  </r>
  <r>
    <s v="0 Original"/>
    <s v="(2961)"/>
    <n v="2961"/>
    <s v="2014-07-24 Donovan Gomez(890)"/>
    <x v="23"/>
    <n v="9.99"/>
    <n v="1"/>
    <s v="www"/>
    <d v="2014-07-24T07:01:24"/>
    <d v="2014-07-24T00:00:00"/>
    <x v="6"/>
    <n v="9.99"/>
  </r>
  <r>
    <s v="0 Original"/>
    <s v="(2962)"/>
    <n v="2962"/>
    <s v="2014-07-24 Donovan Gomez(890)"/>
    <x v="23"/>
    <n v="9.99"/>
    <n v="1"/>
    <s v="www"/>
    <d v="2014-07-24T07:01:24"/>
    <d v="2014-07-24T00:00:00"/>
    <x v="6"/>
    <n v="9.99"/>
  </r>
  <r>
    <s v="0 Original"/>
    <s v="(2695)"/>
    <n v="2695"/>
    <s v="2014-07-25 Christine Medina(813)"/>
    <x v="24"/>
    <n v="7.99"/>
    <n v="2"/>
    <s v="www"/>
    <d v="2014-07-25T22:20:22"/>
    <d v="2014-07-25T00:00:00"/>
    <x v="6"/>
    <n v="15.98"/>
  </r>
  <r>
    <s v="0 Original"/>
    <s v="(2696)"/>
    <n v="2696"/>
    <s v="2014-07-25 Christine Medina(813)"/>
    <x v="9"/>
    <n v="7.99"/>
    <n v="1"/>
    <s v="www"/>
    <d v="2014-07-25T22:20:22"/>
    <d v="2014-07-25T00:00:00"/>
    <x v="6"/>
    <n v="7.99"/>
  </r>
  <r>
    <s v="0 Original"/>
    <s v="(2697)"/>
    <n v="2697"/>
    <s v="2014-07-25 Christine Medina(813)"/>
    <x v="41"/>
    <n v="4.99"/>
    <n v="1"/>
    <s v="www"/>
    <d v="2014-07-25T22:20:22"/>
    <d v="2014-07-25T00:00:00"/>
    <x v="6"/>
    <n v="4.99"/>
  </r>
  <r>
    <s v="0 Original"/>
    <s v="(2698)"/>
    <n v="2698"/>
    <s v="2014-07-25 Christine Medina(813)"/>
    <x v="23"/>
    <n v="9.99"/>
    <n v="2"/>
    <s v="www"/>
    <d v="2014-07-25T22:20:22"/>
    <d v="2014-07-25T00:00:00"/>
    <x v="6"/>
    <n v="19.98"/>
  </r>
  <r>
    <s v="0 Original"/>
    <s v="(2699)"/>
    <n v="2699"/>
    <s v="2014-07-25 Christine Medina(813)"/>
    <x v="24"/>
    <n v="7.99"/>
    <n v="2"/>
    <s v="www"/>
    <d v="2014-07-25T22:20:22"/>
    <d v="2014-07-25T00:00:00"/>
    <x v="6"/>
    <n v="15.98"/>
  </r>
  <r>
    <s v="0 Original"/>
    <s v="(3950)"/>
    <n v="3950"/>
    <s v="2014-07-26 Belle Short(1197)"/>
    <x v="7"/>
    <n v="9.99"/>
    <n v="2"/>
    <s v="www"/>
    <d v="2014-07-26T12:45:59"/>
    <d v="2014-07-26T00:00:00"/>
    <x v="6"/>
    <n v="19.98"/>
  </r>
  <r>
    <s v="0 Original"/>
    <s v="(3951)"/>
    <n v="3951"/>
    <s v="2014-07-26 Belle Short(1197)"/>
    <x v="25"/>
    <n v="9.99"/>
    <n v="1"/>
    <s v="www"/>
    <d v="2014-07-26T12:45:59"/>
    <d v="2014-07-26T00:00:00"/>
    <x v="6"/>
    <n v="9.99"/>
  </r>
  <r>
    <s v="0 Original"/>
    <s v="(3952)"/>
    <n v="3952"/>
    <s v="2014-07-26 Belle Short(1197)"/>
    <x v="30"/>
    <n v="6.99"/>
    <n v="2"/>
    <s v="www"/>
    <d v="2014-07-26T12:45:59"/>
    <d v="2014-07-26T00:00:00"/>
    <x v="6"/>
    <n v="13.98"/>
  </r>
  <r>
    <s v="0 Original"/>
    <s v="(3280)"/>
    <n v="3280"/>
    <s v="2014-07-26 Belle Short(993)"/>
    <x v="23"/>
    <n v="9.99"/>
    <n v="2"/>
    <s v="www"/>
    <d v="2014-07-26T18:44:08"/>
    <d v="2014-07-26T00:00:00"/>
    <x v="6"/>
    <n v="19.98"/>
  </r>
  <r>
    <s v="0 Original"/>
    <s v="(3281)"/>
    <n v="3281"/>
    <s v="2014-07-26 Belle Short(993)"/>
    <x v="8"/>
    <n v="4.99"/>
    <n v="1"/>
    <s v="www"/>
    <d v="2014-07-26T18:44:08"/>
    <d v="2014-07-26T00:00:00"/>
    <x v="6"/>
    <n v="4.99"/>
  </r>
  <r>
    <s v="0 Original"/>
    <s v="(1053)"/>
    <n v="1053"/>
    <s v="2014-07-27 Yoshi Bennett(301)"/>
    <x v="21"/>
    <n v="4.99"/>
    <n v="2"/>
    <s v="www"/>
    <d v="2014-07-27T02:27:01"/>
    <d v="2014-07-27T00:00:00"/>
    <x v="6"/>
    <n v="9.98"/>
  </r>
  <r>
    <s v="0 Original"/>
    <s v="(1054)"/>
    <n v="1054"/>
    <s v="2014-07-27 Yoshi Bennett(301)"/>
    <x v="46"/>
    <n v="5.99"/>
    <n v="1"/>
    <s v="www"/>
    <d v="2014-07-27T02:27:01"/>
    <d v="2014-07-27T00:00:00"/>
    <x v="6"/>
    <n v="5.99"/>
  </r>
  <r>
    <s v="0 Original"/>
    <s v="(1055)"/>
    <n v="1055"/>
    <s v="2014-07-27 Yoshi Bennett(301)"/>
    <x v="66"/>
    <n v="9.99"/>
    <n v="2"/>
    <s v="www"/>
    <d v="2014-07-27T02:27:01"/>
    <d v="2014-07-27T00:00:00"/>
    <x v="6"/>
    <n v="19.98"/>
  </r>
  <r>
    <s v="0 Original"/>
    <s v="(1056)"/>
    <n v="1056"/>
    <s v="2014-07-27 Yoshi Bennett(301)"/>
    <x v="36"/>
    <n v="6.99"/>
    <n v="1"/>
    <s v="www"/>
    <d v="2014-07-27T02:27:01"/>
    <d v="2014-07-27T00:00:00"/>
    <x v="6"/>
    <n v="6.99"/>
  </r>
  <r>
    <s v="0 Original"/>
    <s v="(1057)"/>
    <n v="1057"/>
    <s v="2014-07-27 Yoshi Bennett(301)"/>
    <x v="91"/>
    <n v="9.99"/>
    <n v="1"/>
    <s v="www"/>
    <d v="2014-07-27T02:27:01"/>
    <d v="2014-07-27T00:00:00"/>
    <x v="6"/>
    <n v="9.99"/>
  </r>
  <r>
    <s v="0 Original"/>
    <s v="(1058)"/>
    <n v="1058"/>
    <s v="2014-07-27 Yoshi Bennett(301)"/>
    <x v="107"/>
    <n v="8.99"/>
    <n v="1"/>
    <s v="www"/>
    <d v="2014-07-27T02:27:01"/>
    <d v="2014-07-27T00:00:00"/>
    <x v="6"/>
    <n v="8.99"/>
  </r>
  <r>
    <s v="0 Original"/>
    <s v="(668)"/>
    <n v="668"/>
    <s v="2014-07-27 Anne Slater(188)"/>
    <x v="2"/>
    <n v="7.99"/>
    <n v="1"/>
    <s v="www"/>
    <d v="2014-07-27T10:43:07"/>
    <d v="2014-07-27T00:00:00"/>
    <x v="6"/>
    <n v="7.99"/>
  </r>
  <r>
    <s v="0 Original"/>
    <s v="(1845)"/>
    <n v="1845"/>
    <s v="2014-07-27 Angelica Ortiz(539)"/>
    <x v="35"/>
    <n v="9.99"/>
    <n v="2"/>
    <s v="www"/>
    <d v="2014-07-27T11:11:07"/>
    <d v="2014-07-27T00:00:00"/>
    <x v="6"/>
    <n v="19.98"/>
  </r>
  <r>
    <s v="0 Original"/>
    <s v="(1846)"/>
    <n v="1846"/>
    <s v="2014-07-27 Angelica Ortiz(539)"/>
    <x v="1"/>
    <n v="7.99"/>
    <n v="1"/>
    <s v="www"/>
    <d v="2014-07-27T11:11:07"/>
    <d v="2014-07-27T00:00:00"/>
    <x v="6"/>
    <n v="7.99"/>
  </r>
  <r>
    <s v="0 Original"/>
    <s v="(2522)"/>
    <n v="2522"/>
    <s v="2014-07-28 Ora Mann(758)"/>
    <x v="16"/>
    <n v="6.99"/>
    <n v="2"/>
    <s v="www"/>
    <d v="2014-07-28T00:26:21"/>
    <d v="2014-07-28T00:00:00"/>
    <x v="6"/>
    <n v="13.98"/>
  </r>
  <r>
    <s v="0 Original"/>
    <s v="(2523)"/>
    <n v="2523"/>
    <s v="2014-07-28 Ora Mann(758)"/>
    <x v="16"/>
    <n v="6.99"/>
    <n v="1"/>
    <s v="www"/>
    <d v="2014-07-28T00:26:21"/>
    <d v="2014-07-28T00:00:00"/>
    <x v="6"/>
    <n v="6.99"/>
  </r>
  <r>
    <s v="0 Original"/>
    <s v="(2524)"/>
    <n v="2524"/>
    <s v="2014-07-28 Ora Mann(758)"/>
    <x v="25"/>
    <n v="9.99"/>
    <n v="1"/>
    <s v="www"/>
    <d v="2014-07-28T00:26:21"/>
    <d v="2014-07-28T00:00:00"/>
    <x v="6"/>
    <n v="9.99"/>
  </r>
  <r>
    <s v="0 Original"/>
    <s v="(2525)"/>
    <n v="2525"/>
    <s v="2014-07-28 Ora Mann(758)"/>
    <x v="24"/>
    <n v="7.99"/>
    <n v="1"/>
    <s v="www"/>
    <d v="2014-07-28T00:26:21"/>
    <d v="2014-07-28T00:00:00"/>
    <x v="6"/>
    <n v="7.99"/>
  </r>
  <r>
    <s v="0 Original"/>
    <s v="(3077)"/>
    <n v="3077"/>
    <s v="2014-07-28 Belle Short(926)"/>
    <x v="23"/>
    <n v="9.99"/>
    <n v="1"/>
    <s v="www"/>
    <d v="2014-07-28T15:24:34"/>
    <d v="2014-07-28T00:00:00"/>
    <x v="6"/>
    <n v="9.99"/>
  </r>
  <r>
    <s v="0 Original"/>
    <s v="(3078)"/>
    <n v="3078"/>
    <s v="2014-07-28 Belle Short(926)"/>
    <x v="24"/>
    <n v="7.99"/>
    <n v="1"/>
    <s v="www"/>
    <d v="2014-07-28T15:24:34"/>
    <d v="2014-07-28T00:00:00"/>
    <x v="6"/>
    <n v="7.99"/>
  </r>
  <r>
    <s v="0 Original"/>
    <s v="(3079)"/>
    <n v="3079"/>
    <s v="2014-07-28 Belle Short(926)"/>
    <x v="6"/>
    <n v="5.99"/>
    <n v="1"/>
    <s v="www"/>
    <d v="2014-07-28T15:24:34"/>
    <d v="2014-07-28T00:00:00"/>
    <x v="6"/>
    <n v="5.99"/>
  </r>
  <r>
    <s v="0 Original"/>
    <s v="(3338)"/>
    <n v="3338"/>
    <s v="2014-07-28 Ora Mann(1011)"/>
    <x v="16"/>
    <n v="6.99"/>
    <n v="1"/>
    <s v="www"/>
    <d v="2014-07-28T17:32:53"/>
    <d v="2014-07-28T00:00:00"/>
    <x v="6"/>
    <n v="6.99"/>
  </r>
  <r>
    <s v="0 Original"/>
    <s v="(3339)"/>
    <n v="3339"/>
    <s v="2014-07-28 Ora Mann(1011)"/>
    <x v="24"/>
    <n v="7.99"/>
    <n v="1"/>
    <s v="www"/>
    <d v="2014-07-28T17:32:53"/>
    <d v="2014-07-28T00:00:00"/>
    <x v="6"/>
    <n v="7.99"/>
  </r>
  <r>
    <s v="0 Original"/>
    <s v="(3340)"/>
    <n v="3340"/>
    <s v="2014-07-28 Ora Mann(1011)"/>
    <x v="24"/>
    <n v="7.99"/>
    <n v="2"/>
    <s v="www"/>
    <d v="2014-07-28T17:32:53"/>
    <d v="2014-07-28T00:00:00"/>
    <x v="6"/>
    <n v="15.98"/>
  </r>
  <r>
    <s v="0 Original"/>
    <s v="(3341)"/>
    <n v="3341"/>
    <s v="2014-07-28 Ora Mann(1011)"/>
    <x v="30"/>
    <n v="6.99"/>
    <n v="1"/>
    <s v="www"/>
    <d v="2014-07-28T17:32:53"/>
    <d v="2014-07-28T00:00:00"/>
    <x v="6"/>
    <n v="6.99"/>
  </r>
  <r>
    <s v="0 Original"/>
    <s v="(3342)"/>
    <n v="3342"/>
    <s v="2014-07-28 Ora Mann(1011)"/>
    <x v="30"/>
    <n v="6.99"/>
    <n v="1"/>
    <s v="www"/>
    <d v="2014-07-28T17:32:53"/>
    <d v="2014-07-28T00:00:00"/>
    <x v="6"/>
    <n v="6.99"/>
  </r>
  <r>
    <s v="0 Original"/>
    <s v="(3343)"/>
    <n v="3343"/>
    <s v="2014-07-28 Ora Mann(1011)"/>
    <x v="25"/>
    <n v="9.99"/>
    <n v="1"/>
    <s v="www"/>
    <d v="2014-07-28T17:32:53"/>
    <d v="2014-07-28T00:00:00"/>
    <x v="6"/>
    <n v="9.99"/>
  </r>
  <r>
    <s v="0 Original"/>
    <s v="(3344)"/>
    <n v="3344"/>
    <s v="2014-07-28 Ora Mann(1011)"/>
    <x v="9"/>
    <n v="7.99"/>
    <n v="2"/>
    <s v="www"/>
    <d v="2014-07-28T17:32:53"/>
    <d v="2014-07-28T00:00:00"/>
    <x v="6"/>
    <n v="15.98"/>
  </r>
  <r>
    <s v="0 Original"/>
    <s v="(3345)"/>
    <n v="3345"/>
    <s v="2014-07-28 Ora Mann(1011)"/>
    <x v="16"/>
    <n v="6.99"/>
    <n v="1"/>
    <s v="www"/>
    <d v="2014-07-28T17:32:53"/>
    <d v="2014-07-28T00:00:00"/>
    <x v="6"/>
    <n v="6.99"/>
  </r>
  <r>
    <s v="0 Original"/>
    <s v="(644)"/>
    <n v="644"/>
    <s v="2014-07-28 Colt Hart(182)"/>
    <x v="127"/>
    <n v="6.99"/>
    <n v="2"/>
    <s v="www"/>
    <d v="2014-07-28T19:45:24"/>
    <d v="2014-07-28T00:00:00"/>
    <x v="6"/>
    <n v="13.98"/>
  </r>
  <r>
    <s v="0 Original"/>
    <s v="(645)"/>
    <n v="645"/>
    <s v="2014-07-28 Colt Hart(182)"/>
    <x v="109"/>
    <n v="4.99"/>
    <n v="1"/>
    <s v="www"/>
    <d v="2014-07-28T19:45:24"/>
    <d v="2014-07-28T00:00:00"/>
    <x v="6"/>
    <n v="4.99"/>
  </r>
  <r>
    <s v="0 Original"/>
    <s v="(646)"/>
    <n v="646"/>
    <s v="2014-07-28 Colt Hart(182)"/>
    <x v="13"/>
    <n v="8.99"/>
    <n v="2"/>
    <s v="www"/>
    <d v="2014-07-28T19:45:24"/>
    <d v="2014-07-28T00:00:00"/>
    <x v="6"/>
    <n v="17.98"/>
  </r>
  <r>
    <s v="0 Original"/>
    <s v="(647)"/>
    <n v="647"/>
    <s v="2014-07-28 Colt Hart(182)"/>
    <x v="85"/>
    <n v="8.99"/>
    <n v="1"/>
    <s v="www"/>
    <d v="2014-07-28T19:45:24"/>
    <d v="2014-07-28T00:00:00"/>
    <x v="6"/>
    <n v="8.99"/>
  </r>
  <r>
    <s v="0 Original"/>
    <s v="(648)"/>
    <n v="648"/>
    <s v="2014-07-28 Colt Hart(182)"/>
    <x v="59"/>
    <n v="6.99"/>
    <n v="1"/>
    <s v="www"/>
    <d v="2014-07-28T19:45:24"/>
    <d v="2014-07-28T00:00:00"/>
    <x v="6"/>
    <n v="6.99"/>
  </r>
  <r>
    <s v="0 Original"/>
    <s v="(649)"/>
    <n v="649"/>
    <s v="2014-07-28 Colt Hart(182)"/>
    <x v="50"/>
    <n v="9.99"/>
    <n v="2"/>
    <s v="www"/>
    <d v="2014-07-28T19:45:24"/>
    <d v="2014-07-28T00:00:00"/>
    <x v="6"/>
    <n v="19.98"/>
  </r>
  <r>
    <s v="0 Original"/>
    <s v="(650)"/>
    <n v="650"/>
    <s v="2014-07-28 Colt Hart(182)"/>
    <x v="37"/>
    <n v="8.99"/>
    <n v="1"/>
    <s v="www"/>
    <d v="2014-07-28T19:45:24"/>
    <d v="2014-07-28T00:00:00"/>
    <x v="6"/>
    <n v="8.99"/>
  </r>
  <r>
    <s v="0 Original"/>
    <s v="(651)"/>
    <n v="651"/>
    <s v="2014-07-28 Colt Hart(182)"/>
    <x v="49"/>
    <n v="8.99"/>
    <n v="2"/>
    <s v="www"/>
    <d v="2014-07-28T19:45:24"/>
    <d v="2014-07-28T00:00:00"/>
    <x v="6"/>
    <n v="17.98"/>
  </r>
  <r>
    <s v="0 Original"/>
    <s v="(3875)"/>
    <n v="3875"/>
    <s v="2014-07-29 Prescott Nelson(1175)"/>
    <x v="7"/>
    <n v="9.99"/>
    <n v="1"/>
    <s v="www"/>
    <d v="2014-07-29T21:12:02"/>
    <d v="2014-07-29T00:00:00"/>
    <x v="6"/>
    <n v="9.99"/>
  </r>
  <r>
    <s v="0 Original"/>
    <s v="(3876)"/>
    <n v="3876"/>
    <s v="2014-07-29 Prescott Nelson(1175)"/>
    <x v="23"/>
    <n v="9.99"/>
    <n v="1"/>
    <s v="www"/>
    <d v="2014-07-29T21:12:02"/>
    <d v="2014-07-29T00:00:00"/>
    <x v="6"/>
    <n v="9.99"/>
  </r>
  <r>
    <s v="0 Original"/>
    <s v="(3877)"/>
    <n v="3877"/>
    <s v="2014-07-29 Prescott Nelson(1175)"/>
    <x v="30"/>
    <n v="6.99"/>
    <n v="2"/>
    <s v="www"/>
    <d v="2014-07-29T21:12:02"/>
    <d v="2014-07-29T00:00:00"/>
    <x v="6"/>
    <n v="13.98"/>
  </r>
  <r>
    <s v="0 Original"/>
    <s v="(3507)"/>
    <n v="3507"/>
    <s v="2014-07-30 Belle Short(1060)"/>
    <x v="24"/>
    <n v="7.99"/>
    <n v="2"/>
    <s v="www"/>
    <d v="2014-07-30T02:15:08"/>
    <d v="2014-07-30T00:00:00"/>
    <x v="6"/>
    <n v="15.98"/>
  </r>
  <r>
    <s v="0 Original"/>
    <s v="(3508)"/>
    <n v="3508"/>
    <s v="2014-07-30 Belle Short(1060)"/>
    <x v="16"/>
    <n v="6.99"/>
    <n v="2"/>
    <s v="www"/>
    <d v="2014-07-30T02:15:08"/>
    <d v="2014-07-30T00:00:00"/>
    <x v="6"/>
    <n v="13.98"/>
  </r>
  <r>
    <s v="0 Original"/>
    <s v="(3509)"/>
    <n v="3509"/>
    <s v="2014-07-30 Belle Short(1060)"/>
    <x v="25"/>
    <n v="9.99"/>
    <n v="1"/>
    <s v="www"/>
    <d v="2014-07-30T02:15:08"/>
    <d v="2014-07-30T00:00:00"/>
    <x v="6"/>
    <n v="9.99"/>
  </r>
  <r>
    <s v="0 Original"/>
    <s v="(3510)"/>
    <n v="3510"/>
    <s v="2014-07-30 Belle Short(1060)"/>
    <x v="9"/>
    <n v="7.99"/>
    <n v="2"/>
    <s v="www"/>
    <d v="2014-07-30T02:15:08"/>
    <d v="2014-07-30T00:00:00"/>
    <x v="6"/>
    <n v="15.98"/>
  </r>
  <r>
    <s v="0 Original"/>
    <s v="(3511)"/>
    <n v="3511"/>
    <s v="2014-07-30 Belle Short(1060)"/>
    <x v="41"/>
    <n v="4.99"/>
    <n v="1"/>
    <s v="www"/>
    <d v="2014-07-30T02:15:08"/>
    <d v="2014-07-30T00:00:00"/>
    <x v="6"/>
    <n v="4.99"/>
  </r>
  <r>
    <s v="0 Original"/>
    <s v="(3755)"/>
    <n v="3755"/>
    <s v="2014-07-31 Cameron Rivera(1137)"/>
    <x v="8"/>
    <n v="4.99"/>
    <n v="1"/>
    <s v="www"/>
    <d v="2014-07-31T11:47:13"/>
    <d v="2014-07-31T00:00:00"/>
    <x v="6"/>
    <n v="4.99"/>
  </r>
  <r>
    <s v="0 Original"/>
    <s v="(3756)"/>
    <n v="3756"/>
    <s v="2014-07-31 Cameron Rivera(1137)"/>
    <x v="8"/>
    <n v="4.99"/>
    <n v="2"/>
    <s v="www"/>
    <d v="2014-07-31T11:47:13"/>
    <d v="2014-07-31T00:00:00"/>
    <x v="6"/>
    <n v="9.98"/>
  </r>
  <r>
    <s v="0 Original"/>
    <s v="(3757)"/>
    <n v="3757"/>
    <s v="2014-07-31 Cameron Rivera(1137)"/>
    <x v="30"/>
    <n v="6.99"/>
    <n v="1"/>
    <s v="www"/>
    <d v="2014-07-31T11:47:13"/>
    <d v="2014-07-31T00:00:00"/>
    <x v="6"/>
    <n v="6.99"/>
  </r>
  <r>
    <s v="0 Original"/>
    <s v="(657)"/>
    <n v="657"/>
    <s v="2014-07-31 Sloane Goodwin(185)"/>
    <x v="18"/>
    <n v="5.99"/>
    <n v="1"/>
    <s v="www"/>
    <d v="2014-07-31T12:31:46"/>
    <d v="2014-07-31T00:00:00"/>
    <x v="6"/>
    <n v="5.99"/>
  </r>
  <r>
    <s v="0 Original"/>
    <s v="(658)"/>
    <n v="658"/>
    <s v="2014-07-31 Sloane Goodwin(185)"/>
    <x v="16"/>
    <n v="6.99"/>
    <n v="2"/>
    <s v="www"/>
    <d v="2014-07-31T12:31:46"/>
    <d v="2014-07-31T00:00:00"/>
    <x v="6"/>
    <n v="13.98"/>
  </r>
  <r>
    <s v="0 Original"/>
    <s v="(659)"/>
    <n v="659"/>
    <s v="2014-07-31 Sloane Goodwin(185)"/>
    <x v="33"/>
    <n v="4.99"/>
    <n v="1"/>
    <s v="www"/>
    <d v="2014-07-31T12:31:46"/>
    <d v="2014-07-31T00:00:00"/>
    <x v="6"/>
    <n v="4.99"/>
  </r>
  <r>
    <s v="0 Original"/>
    <s v="(660)"/>
    <n v="660"/>
    <s v="2014-07-31 Sloane Goodwin(185)"/>
    <x v="116"/>
    <n v="6.99"/>
    <n v="1"/>
    <s v="www"/>
    <d v="2014-07-31T12:31:46"/>
    <d v="2014-07-31T00:00:00"/>
    <x v="6"/>
    <n v="6.99"/>
  </r>
  <r>
    <s v="0 Original"/>
    <s v="(661)"/>
    <n v="661"/>
    <s v="2014-07-31 Sloane Goodwin(185)"/>
    <x v="115"/>
    <n v="8.99"/>
    <n v="1"/>
    <s v="www"/>
    <d v="2014-07-31T12:31:46"/>
    <d v="2014-07-31T00:00:00"/>
    <x v="6"/>
    <n v="8.99"/>
  </r>
  <r>
    <s v="0 Original"/>
    <s v="(662)"/>
    <n v="662"/>
    <s v="2014-07-31 Sloane Goodwin(185)"/>
    <x v="144"/>
    <n v="8.99"/>
    <n v="1"/>
    <s v="www"/>
    <d v="2014-07-31T12:31:46"/>
    <d v="2014-07-31T00:00:00"/>
    <x v="6"/>
    <n v="8.99"/>
  </r>
  <r>
    <s v="0 Original"/>
    <s v="(663)"/>
    <n v="663"/>
    <s v="2014-07-31 Sloane Goodwin(185)"/>
    <x v="74"/>
    <n v="8.99"/>
    <n v="1"/>
    <s v="www"/>
    <d v="2014-07-31T12:31:46"/>
    <d v="2014-07-31T00:00:00"/>
    <x v="6"/>
    <n v="8.99"/>
  </r>
  <r>
    <s v="0 Original"/>
    <s v="(582)"/>
    <n v="582"/>
    <s v="2014-08-01 Blossom Mosley(165)"/>
    <x v="118"/>
    <n v="5.99"/>
    <n v="1"/>
    <s v="www"/>
    <d v="2014-08-01T12:36:04"/>
    <d v="2014-08-01T00:00:00"/>
    <x v="7"/>
    <n v="5.99"/>
  </r>
  <r>
    <s v="0 Original"/>
    <s v="(583)"/>
    <n v="583"/>
    <s v="2014-08-01 Blossom Mosley(165)"/>
    <x v="72"/>
    <n v="9.99"/>
    <n v="1"/>
    <s v="www"/>
    <d v="2014-08-01T12:36:04"/>
    <d v="2014-08-01T00:00:00"/>
    <x v="7"/>
    <n v="9.99"/>
  </r>
  <r>
    <s v="0 Original"/>
    <s v="(3360)"/>
    <n v="3360"/>
    <s v="2014-08-04 Madeline Reynolds(1015)"/>
    <x v="8"/>
    <n v="4.99"/>
    <n v="1"/>
    <s v="www"/>
    <d v="2014-08-04T07:55:41"/>
    <d v="2014-08-04T00:00:00"/>
    <x v="7"/>
    <n v="4.99"/>
  </r>
  <r>
    <s v="0 Original"/>
    <s v="(3361)"/>
    <n v="3361"/>
    <s v="2014-08-04 Madeline Reynolds(1015)"/>
    <x v="23"/>
    <n v="9.99"/>
    <n v="2"/>
    <s v="www"/>
    <d v="2014-08-04T07:55:41"/>
    <d v="2014-08-04T00:00:00"/>
    <x v="7"/>
    <n v="19.98"/>
  </r>
  <r>
    <s v="0 Original"/>
    <s v="(3362)"/>
    <n v="3362"/>
    <s v="2014-08-04 Madeline Reynolds(1015)"/>
    <x v="30"/>
    <n v="6.99"/>
    <n v="1"/>
    <s v="www"/>
    <d v="2014-08-04T07:55:41"/>
    <d v="2014-08-04T00:00:00"/>
    <x v="7"/>
    <n v="6.99"/>
  </r>
  <r>
    <s v="0 Original"/>
    <s v="(768)"/>
    <n v="768"/>
    <s v="2014-08-04 Lois Valdez(218)"/>
    <x v="65"/>
    <n v="4.99"/>
    <n v="1"/>
    <s v="www"/>
    <d v="2014-08-04T08:14:21"/>
    <d v="2014-08-04T00:00:00"/>
    <x v="7"/>
    <n v="4.99"/>
  </r>
  <r>
    <s v="0 Original"/>
    <s v="(769)"/>
    <n v="769"/>
    <s v="2014-08-04 Lois Valdez(218)"/>
    <x v="66"/>
    <n v="9.99"/>
    <n v="2"/>
    <s v="www"/>
    <d v="2014-08-04T08:14:21"/>
    <d v="2014-08-04T00:00:00"/>
    <x v="7"/>
    <n v="19.98"/>
  </r>
  <r>
    <s v="0 Original"/>
    <s v="(770)"/>
    <n v="770"/>
    <s v="2014-08-04 Lois Valdez(218)"/>
    <x v="20"/>
    <n v="7.99"/>
    <n v="1"/>
    <s v="www"/>
    <d v="2014-08-04T08:14:21"/>
    <d v="2014-08-04T00:00:00"/>
    <x v="7"/>
    <n v="7.99"/>
  </r>
  <r>
    <s v="0 Original"/>
    <s v="(771)"/>
    <n v="771"/>
    <s v="2014-08-04 Lois Valdez(218)"/>
    <x v="43"/>
    <n v="4.99"/>
    <n v="1"/>
    <s v="www"/>
    <d v="2014-08-04T08:14:21"/>
    <d v="2014-08-04T00:00:00"/>
    <x v="7"/>
    <n v="4.99"/>
  </r>
  <r>
    <s v="0 Original"/>
    <s v="(1070)"/>
    <n v="1070"/>
    <s v="2014-08-04 Indira Suarez(307)"/>
    <x v="15"/>
    <n v="8.99"/>
    <n v="2"/>
    <s v="www"/>
    <d v="2014-08-04T16:57:19"/>
    <d v="2014-08-04T00:00:00"/>
    <x v="7"/>
    <n v="17.98"/>
  </r>
  <r>
    <s v="0 Original"/>
    <s v="(1071)"/>
    <n v="1071"/>
    <s v="2014-08-04 Indira Suarez(307)"/>
    <x v="82"/>
    <n v="5.99"/>
    <n v="1"/>
    <s v="www"/>
    <d v="2014-08-04T16:57:19"/>
    <d v="2014-08-04T00:00:00"/>
    <x v="7"/>
    <n v="5.99"/>
  </r>
  <r>
    <s v="0 Original"/>
    <s v="(1072)"/>
    <n v="1072"/>
    <s v="2014-08-04 Indira Suarez(307)"/>
    <x v="58"/>
    <n v="4.99"/>
    <n v="1"/>
    <s v="www"/>
    <d v="2014-08-04T16:57:19"/>
    <d v="2014-08-04T00:00:00"/>
    <x v="7"/>
    <n v="4.99"/>
  </r>
  <r>
    <s v="0 Original"/>
    <s v="(1073)"/>
    <n v="1073"/>
    <s v="2014-08-04 Indira Suarez(307)"/>
    <x v="107"/>
    <n v="8.99"/>
    <n v="1"/>
    <s v="www"/>
    <d v="2014-08-04T16:57:19"/>
    <d v="2014-08-04T00:00:00"/>
    <x v="7"/>
    <n v="8.99"/>
  </r>
  <r>
    <s v="0 Original"/>
    <s v="(1332)"/>
    <n v="1332"/>
    <s v="2014-08-05 Anne Slater(389)"/>
    <x v="22"/>
    <n v="6.99"/>
    <n v="1"/>
    <s v="www"/>
    <d v="2014-08-05T09:56:41"/>
    <d v="2014-08-05T00:00:00"/>
    <x v="7"/>
    <n v="6.99"/>
  </r>
  <r>
    <s v="0 Original"/>
    <s v="(1333)"/>
    <n v="1333"/>
    <s v="2014-08-05 Anne Slater(389)"/>
    <x v="4"/>
    <n v="6.99"/>
    <n v="1"/>
    <s v="www"/>
    <d v="2014-08-05T09:56:41"/>
    <d v="2014-08-05T00:00:00"/>
    <x v="7"/>
    <n v="6.99"/>
  </r>
  <r>
    <s v="0 Original"/>
    <s v="(1334)"/>
    <n v="1334"/>
    <s v="2014-08-05 Anne Slater(389)"/>
    <x v="22"/>
    <n v="6.99"/>
    <n v="2"/>
    <s v="www"/>
    <d v="2014-08-05T09:56:41"/>
    <d v="2014-08-05T00:00:00"/>
    <x v="7"/>
    <n v="13.98"/>
  </r>
  <r>
    <s v="0 Original"/>
    <s v="(990)"/>
    <n v="990"/>
    <s v="2014-08-07 Adrian Dodson(282)"/>
    <x v="16"/>
    <n v="6.99"/>
    <n v="2"/>
    <s v="www"/>
    <d v="2014-08-07T14:37:34"/>
    <d v="2014-08-07T00:00:00"/>
    <x v="7"/>
    <n v="13.98"/>
  </r>
  <r>
    <s v="0 Original"/>
    <s v="(991)"/>
    <n v="991"/>
    <s v="2014-08-07 Adrian Dodson(282)"/>
    <x v="47"/>
    <n v="6.99"/>
    <n v="2"/>
    <s v="www"/>
    <d v="2014-08-07T14:37:34"/>
    <d v="2014-08-07T00:00:00"/>
    <x v="7"/>
    <n v="13.98"/>
  </r>
  <r>
    <s v="0 Original"/>
    <s v="(992)"/>
    <n v="992"/>
    <s v="2014-08-07 Adrian Dodson(282)"/>
    <x v="89"/>
    <n v="5.99"/>
    <n v="1"/>
    <s v="www"/>
    <d v="2014-08-07T14:37:34"/>
    <d v="2014-08-07T00:00:00"/>
    <x v="7"/>
    <n v="5.99"/>
  </r>
  <r>
    <s v="0 Original"/>
    <s v="(1139)"/>
    <n v="1139"/>
    <s v="2014-08-08 April Buckley(331)"/>
    <x v="27"/>
    <n v="9.99"/>
    <n v="1"/>
    <s v="www"/>
    <d v="2014-08-08T09:46:50"/>
    <d v="2014-08-08T00:00:00"/>
    <x v="7"/>
    <n v="9.99"/>
  </r>
  <r>
    <s v="0 Original"/>
    <s v="(1140)"/>
    <n v="1140"/>
    <s v="2014-08-08 April Buckley(331)"/>
    <x v="32"/>
    <n v="5.99"/>
    <n v="1"/>
    <s v="www"/>
    <d v="2014-08-08T09:46:50"/>
    <d v="2014-08-08T00:00:00"/>
    <x v="7"/>
    <n v="5.99"/>
  </r>
  <r>
    <s v="0 Original"/>
    <s v="(1141)"/>
    <n v="1141"/>
    <s v="2014-08-08 April Buckley(331)"/>
    <x v="47"/>
    <n v="6.99"/>
    <n v="1"/>
    <s v="www"/>
    <d v="2014-08-08T09:46:50"/>
    <d v="2014-08-08T00:00:00"/>
    <x v="7"/>
    <n v="6.99"/>
  </r>
  <r>
    <s v="0 Original"/>
    <s v="(1889)"/>
    <n v="1889"/>
    <s v="2014-08-08 Aristotle Avery(552)"/>
    <x v="4"/>
    <n v="6.99"/>
    <n v="1"/>
    <s v="www"/>
    <d v="2014-08-08T11:15:44"/>
    <d v="2014-08-08T00:00:00"/>
    <x v="7"/>
    <n v="6.99"/>
  </r>
  <r>
    <s v="0 Original"/>
    <s v="(1890)"/>
    <n v="1890"/>
    <s v="2014-08-08 Aristotle Avery(552)"/>
    <x v="45"/>
    <n v="6.99"/>
    <n v="1"/>
    <s v="www"/>
    <d v="2014-08-08T11:15:44"/>
    <d v="2014-08-08T00:00:00"/>
    <x v="7"/>
    <n v="6.99"/>
  </r>
  <r>
    <s v="0 Original"/>
    <s v="(2412)"/>
    <n v="2412"/>
    <s v="2014-08-08 Donovan Gomez(721)"/>
    <x v="24"/>
    <n v="7.99"/>
    <n v="1"/>
    <s v="www"/>
    <d v="2014-08-08T23:03:04"/>
    <d v="2014-08-08T00:00:00"/>
    <x v="7"/>
    <n v="7.99"/>
  </r>
  <r>
    <s v="0 Original"/>
    <s v="(2413)"/>
    <n v="2413"/>
    <s v="2014-08-08 Donovan Gomez(721)"/>
    <x v="7"/>
    <n v="9.99"/>
    <n v="1"/>
    <s v="www"/>
    <d v="2014-08-08T23:03:04"/>
    <d v="2014-08-08T00:00:00"/>
    <x v="7"/>
    <n v="9.99"/>
  </r>
  <r>
    <s v="0 Original"/>
    <s v="(2414)"/>
    <n v="2414"/>
    <s v="2014-08-08 Donovan Gomez(721)"/>
    <x v="6"/>
    <n v="5.99"/>
    <n v="1"/>
    <s v="www"/>
    <d v="2014-08-08T23:03:04"/>
    <d v="2014-08-08T00:00:00"/>
    <x v="7"/>
    <n v="5.99"/>
  </r>
  <r>
    <s v="0 Original"/>
    <s v="(2415)"/>
    <n v="2415"/>
    <s v="2014-08-08 Donovan Gomez(721)"/>
    <x v="7"/>
    <n v="9.99"/>
    <n v="1"/>
    <s v="www"/>
    <d v="2014-08-08T23:03:04"/>
    <d v="2014-08-08T00:00:00"/>
    <x v="7"/>
    <n v="9.99"/>
  </r>
  <r>
    <s v="0 Original"/>
    <s v="(2416)"/>
    <n v="2416"/>
    <s v="2014-08-08 Donovan Gomez(721)"/>
    <x v="24"/>
    <n v="7.99"/>
    <n v="1"/>
    <s v="www"/>
    <d v="2014-08-08T23:03:04"/>
    <d v="2014-08-08T00:00:00"/>
    <x v="7"/>
    <n v="7.99"/>
  </r>
  <r>
    <s v="0 Original"/>
    <s v="(745)"/>
    <n v="745"/>
    <s v="2014-08-10 Adrian Dodson(212)"/>
    <x v="10"/>
    <n v="8.99"/>
    <n v="1"/>
    <s v="www"/>
    <d v="2014-08-10T00:21:36"/>
    <d v="2014-08-10T00:00:00"/>
    <x v="7"/>
    <n v="8.99"/>
  </r>
  <r>
    <s v="0 Original"/>
    <s v="(746)"/>
    <n v="746"/>
    <s v="2014-08-10 Adrian Dodson(212)"/>
    <x v="82"/>
    <n v="5.99"/>
    <n v="2"/>
    <s v="www"/>
    <d v="2014-08-10T00:21:36"/>
    <d v="2014-08-10T00:00:00"/>
    <x v="7"/>
    <n v="11.98"/>
  </r>
  <r>
    <s v="0 Original"/>
    <s v="(747)"/>
    <n v="747"/>
    <s v="2014-08-10 Adrian Dodson(212)"/>
    <x v="42"/>
    <n v="5.99"/>
    <n v="1"/>
    <s v="www"/>
    <d v="2014-08-10T00:21:36"/>
    <d v="2014-08-10T00:00:00"/>
    <x v="7"/>
    <n v="5.99"/>
  </r>
  <r>
    <s v="0 Original"/>
    <s v="(748)"/>
    <n v="748"/>
    <s v="2014-08-10 Adrian Dodson(212)"/>
    <x v="86"/>
    <n v="9.99"/>
    <n v="1"/>
    <s v="www"/>
    <d v="2014-08-10T00:21:36"/>
    <d v="2014-08-10T00:00:00"/>
    <x v="7"/>
    <n v="9.99"/>
  </r>
  <r>
    <s v="0 Original"/>
    <s v="(749)"/>
    <n v="749"/>
    <s v="2014-08-10 Adrian Dodson(212)"/>
    <x v="59"/>
    <n v="6.99"/>
    <n v="2"/>
    <s v="www"/>
    <d v="2014-08-10T00:21:36"/>
    <d v="2014-08-10T00:00:00"/>
    <x v="7"/>
    <n v="13.98"/>
  </r>
  <r>
    <s v="0 Original"/>
    <s v="(1860)"/>
    <n v="1860"/>
    <s v="2014-08-10 Alma Salas(542)"/>
    <x v="107"/>
    <n v="8.99"/>
    <n v="1"/>
    <s v="www"/>
    <d v="2014-08-10T04:24:23"/>
    <d v="2014-08-10T00:00:00"/>
    <x v="7"/>
    <n v="8.99"/>
  </r>
  <r>
    <s v="0 Original"/>
    <s v="(1861)"/>
    <n v="1861"/>
    <s v="2014-08-10 Alma Salas(542)"/>
    <x v="45"/>
    <n v="6.99"/>
    <n v="1"/>
    <s v="www"/>
    <d v="2014-08-10T04:24:23"/>
    <d v="2014-08-10T00:00:00"/>
    <x v="7"/>
    <n v="6.99"/>
  </r>
  <r>
    <s v="0 Original"/>
    <s v="(1404)"/>
    <n v="1404"/>
    <s v="2014-08-10 Tate Lowery(407)"/>
    <x v="43"/>
    <n v="4.99"/>
    <n v="1"/>
    <s v="www"/>
    <d v="2014-08-10T05:25:20"/>
    <d v="2014-08-10T00:00:00"/>
    <x v="7"/>
    <n v="4.99"/>
  </r>
  <r>
    <s v="0 Original"/>
    <s v="(1405)"/>
    <n v="1405"/>
    <s v="2014-08-10 Tate Lowery(407)"/>
    <x v="32"/>
    <n v="5.99"/>
    <n v="2"/>
    <s v="www"/>
    <d v="2014-08-10T05:25:20"/>
    <d v="2014-08-10T00:00:00"/>
    <x v="7"/>
    <n v="11.98"/>
  </r>
  <r>
    <s v="0 Original"/>
    <s v="(1406)"/>
    <n v="1406"/>
    <s v="2014-08-10 Tate Lowery(407)"/>
    <x v="58"/>
    <n v="4.99"/>
    <n v="1"/>
    <s v="www"/>
    <d v="2014-08-10T05:25:20"/>
    <d v="2014-08-10T00:00:00"/>
    <x v="7"/>
    <n v="4.99"/>
  </r>
  <r>
    <s v="0 Original"/>
    <s v="(1407)"/>
    <n v="1407"/>
    <s v="2014-08-10 Tate Lowery(407)"/>
    <x v="14"/>
    <n v="7.99"/>
    <n v="2"/>
    <s v="www"/>
    <d v="2014-08-10T05:25:20"/>
    <d v="2014-08-10T00:00:00"/>
    <x v="7"/>
    <n v="15.98"/>
  </r>
  <r>
    <s v="0 Original"/>
    <s v="(2803)"/>
    <n v="2803"/>
    <s v="2014-08-10 Bernard Cash(847)"/>
    <x v="25"/>
    <n v="9.99"/>
    <n v="1"/>
    <s v="www"/>
    <d v="2014-08-10T05:57:50"/>
    <d v="2014-08-10T00:00:00"/>
    <x v="7"/>
    <n v="9.99"/>
  </r>
  <r>
    <s v="0 Original"/>
    <s v="(2804)"/>
    <n v="2804"/>
    <s v="2014-08-10 Bernard Cash(847)"/>
    <x v="6"/>
    <n v="5.99"/>
    <n v="2"/>
    <s v="www"/>
    <d v="2014-08-10T05:57:50"/>
    <d v="2014-08-10T00:00:00"/>
    <x v="7"/>
    <n v="11.98"/>
  </r>
  <r>
    <s v="0 Original"/>
    <s v="(2805)"/>
    <n v="2805"/>
    <s v="2014-08-10 Bernard Cash(847)"/>
    <x v="9"/>
    <n v="7.99"/>
    <n v="1"/>
    <s v="www"/>
    <d v="2014-08-10T05:57:50"/>
    <d v="2014-08-10T00:00:00"/>
    <x v="7"/>
    <n v="7.99"/>
  </r>
  <r>
    <s v="0 Original"/>
    <s v="(2806)"/>
    <n v="2806"/>
    <s v="2014-08-10 Bernard Cash(847)"/>
    <x v="7"/>
    <n v="9.99"/>
    <n v="1"/>
    <s v="www"/>
    <d v="2014-08-10T05:57:50"/>
    <d v="2014-08-10T00:00:00"/>
    <x v="7"/>
    <n v="9.99"/>
  </r>
  <r>
    <s v="0 Original"/>
    <s v="(2807)"/>
    <n v="2807"/>
    <s v="2014-08-10 Bernard Cash(847)"/>
    <x v="9"/>
    <n v="7.99"/>
    <n v="1"/>
    <s v="www"/>
    <d v="2014-08-10T05:57:50"/>
    <d v="2014-08-10T00:00:00"/>
    <x v="7"/>
    <n v="7.99"/>
  </r>
  <r>
    <s v="0 Original"/>
    <s v="(2808)"/>
    <n v="2808"/>
    <s v="2014-08-10 Bernard Cash(847)"/>
    <x v="7"/>
    <n v="9.99"/>
    <n v="1"/>
    <s v="www"/>
    <d v="2014-08-10T05:57:50"/>
    <d v="2014-08-10T00:00:00"/>
    <x v="7"/>
    <n v="9.99"/>
  </r>
  <r>
    <s v="0 Original"/>
    <s v="(2979)"/>
    <n v="2979"/>
    <s v="2014-08-12 Madeline Reynolds(896)"/>
    <x v="16"/>
    <n v="6.99"/>
    <n v="1"/>
    <s v="www"/>
    <d v="2014-08-12T02:00:34"/>
    <d v="2014-08-12T00:00:00"/>
    <x v="7"/>
    <n v="6.99"/>
  </r>
  <r>
    <s v="0 Original"/>
    <s v="(725)"/>
    <n v="725"/>
    <s v="2014-08-12 Clio Carter(205)"/>
    <x v="59"/>
    <n v="6.99"/>
    <n v="2"/>
    <s v="www"/>
    <d v="2014-08-12T10:27:17"/>
    <d v="2014-08-12T00:00:00"/>
    <x v="7"/>
    <n v="13.98"/>
  </r>
  <r>
    <s v="0 Original"/>
    <s v="(726)"/>
    <n v="726"/>
    <s v="2014-08-12 Clio Carter(205)"/>
    <x v="58"/>
    <n v="4.99"/>
    <n v="2"/>
    <s v="www"/>
    <d v="2014-08-12T10:27:17"/>
    <d v="2014-08-12T00:00:00"/>
    <x v="7"/>
    <n v="9.98"/>
  </r>
  <r>
    <s v="0 Original"/>
    <s v="(1975)"/>
    <n v="1975"/>
    <s v="2014-08-13 Rhonda Curtis(580)"/>
    <x v="34"/>
    <n v="8.99"/>
    <n v="1"/>
    <s v="www"/>
    <d v="2014-08-13T08:49:31"/>
    <d v="2014-08-13T00:00:00"/>
    <x v="7"/>
    <n v="8.99"/>
  </r>
  <r>
    <s v="0 Original"/>
    <s v="(1976)"/>
    <n v="1976"/>
    <s v="2014-08-13 Rhonda Curtis(580)"/>
    <x v="34"/>
    <n v="8.99"/>
    <n v="2"/>
    <s v="www"/>
    <d v="2014-08-13T08:49:31"/>
    <d v="2014-08-13T00:00:00"/>
    <x v="7"/>
    <n v="17.98"/>
  </r>
  <r>
    <s v="0 Original"/>
    <s v="(1977)"/>
    <n v="1977"/>
    <s v="2014-08-13 Rhonda Curtis(580)"/>
    <x v="21"/>
    <n v="4.99"/>
    <n v="1"/>
    <s v="www"/>
    <d v="2014-08-13T08:49:31"/>
    <d v="2014-08-13T00:00:00"/>
    <x v="7"/>
    <n v="4.99"/>
  </r>
  <r>
    <s v="0 Original"/>
    <s v="(1978)"/>
    <n v="1978"/>
    <s v="2014-08-13 Rhonda Curtis(580)"/>
    <x v="59"/>
    <n v="6.99"/>
    <n v="1"/>
    <s v="www"/>
    <d v="2014-08-13T08:49:31"/>
    <d v="2014-08-13T00:00:00"/>
    <x v="7"/>
    <n v="6.99"/>
  </r>
  <r>
    <s v="0 Original"/>
    <s v="(1979)"/>
    <n v="1979"/>
    <s v="2014-08-13 Rhonda Curtis(580)"/>
    <x v="1"/>
    <n v="7.99"/>
    <n v="1"/>
    <s v="www"/>
    <d v="2014-08-13T08:49:31"/>
    <d v="2014-08-13T00:00:00"/>
    <x v="7"/>
    <n v="7.99"/>
  </r>
  <r>
    <s v="0 Original"/>
    <s v="(1980)"/>
    <n v="1980"/>
    <s v="2014-08-13 Rhonda Curtis(580)"/>
    <x v="22"/>
    <n v="6.99"/>
    <n v="2"/>
    <s v="www"/>
    <d v="2014-08-13T08:49:31"/>
    <d v="2014-08-13T00:00:00"/>
    <x v="7"/>
    <n v="13.98"/>
  </r>
  <r>
    <s v="0 Original"/>
    <s v="(1981)"/>
    <n v="1981"/>
    <s v="2014-08-13 Rhonda Curtis(580)"/>
    <x v="86"/>
    <n v="9.99"/>
    <n v="2"/>
    <s v="www"/>
    <d v="2014-08-13T08:49:31"/>
    <d v="2014-08-13T00:00:00"/>
    <x v="7"/>
    <n v="19.98"/>
  </r>
  <r>
    <s v="0 Original"/>
    <s v="(3518)"/>
    <n v="3518"/>
    <s v="2014-08-14 Ora Mann(1063)"/>
    <x v="25"/>
    <n v="9.99"/>
    <n v="2"/>
    <s v="www"/>
    <d v="2014-08-14T03:26:40"/>
    <d v="2014-08-14T00:00:00"/>
    <x v="7"/>
    <n v="19.98"/>
  </r>
  <r>
    <s v="0 Original"/>
    <s v="(3519)"/>
    <n v="3519"/>
    <s v="2014-08-14 Ora Mann(1063)"/>
    <x v="6"/>
    <n v="5.99"/>
    <n v="2"/>
    <s v="www"/>
    <d v="2014-08-14T03:26:40"/>
    <d v="2014-08-14T00:00:00"/>
    <x v="7"/>
    <n v="11.98"/>
  </r>
  <r>
    <s v="0 Original"/>
    <s v="(2685)"/>
    <n v="2685"/>
    <s v="2014-08-14 Belle Short(810)"/>
    <x v="9"/>
    <n v="7.99"/>
    <n v="1"/>
    <s v="www"/>
    <d v="2014-08-14T04:54:04"/>
    <d v="2014-08-14T00:00:00"/>
    <x v="7"/>
    <n v="7.99"/>
  </r>
  <r>
    <s v="0 Original"/>
    <s v="(2686)"/>
    <n v="2686"/>
    <s v="2014-08-14 Belle Short(810)"/>
    <x v="24"/>
    <n v="7.99"/>
    <n v="2"/>
    <s v="www"/>
    <d v="2014-08-14T04:54:04"/>
    <d v="2014-08-14T00:00:00"/>
    <x v="7"/>
    <n v="15.98"/>
  </r>
  <r>
    <s v="0 Original"/>
    <s v="(3293)"/>
    <n v="3293"/>
    <s v="2014-08-14 Belle Short(997)"/>
    <x v="30"/>
    <n v="6.99"/>
    <n v="1"/>
    <s v="www"/>
    <d v="2014-08-14T05:26:47"/>
    <d v="2014-08-14T00:00:00"/>
    <x v="7"/>
    <n v="6.99"/>
  </r>
  <r>
    <s v="0 Original"/>
    <s v="(3294)"/>
    <n v="3294"/>
    <s v="2014-08-14 Belle Short(997)"/>
    <x v="6"/>
    <n v="5.99"/>
    <n v="1"/>
    <s v="www"/>
    <d v="2014-08-14T05:26:47"/>
    <d v="2014-08-14T00:00:00"/>
    <x v="7"/>
    <n v="5.99"/>
  </r>
  <r>
    <s v="0 Original"/>
    <s v="(3295)"/>
    <n v="3295"/>
    <s v="2014-08-14 Belle Short(997)"/>
    <x v="41"/>
    <n v="4.99"/>
    <n v="1"/>
    <s v="www"/>
    <d v="2014-08-14T05:26:47"/>
    <d v="2014-08-14T00:00:00"/>
    <x v="7"/>
    <n v="4.99"/>
  </r>
  <r>
    <s v="0 Original"/>
    <s v="(1308)"/>
    <n v="1308"/>
    <s v="2014-08-14 Theodore Mills(381)"/>
    <x v="25"/>
    <n v="9.99"/>
    <n v="1"/>
    <s v="www"/>
    <d v="2014-08-14T17:53:07"/>
    <d v="2014-08-14T00:00:00"/>
    <x v="7"/>
    <n v="9.99"/>
  </r>
  <r>
    <s v="0 Original"/>
    <s v="(1309)"/>
    <n v="1309"/>
    <s v="2014-08-14 Theodore Mills(381)"/>
    <x v="3"/>
    <n v="7.99"/>
    <n v="1"/>
    <s v="www"/>
    <d v="2014-08-14T17:53:07"/>
    <d v="2014-08-14T00:00:00"/>
    <x v="7"/>
    <n v="7.99"/>
  </r>
  <r>
    <s v="0 Original"/>
    <s v="(1310)"/>
    <n v="1310"/>
    <s v="2014-08-14 Theodore Mills(381)"/>
    <x v="16"/>
    <n v="6.99"/>
    <n v="1"/>
    <s v="www"/>
    <d v="2014-08-14T17:53:07"/>
    <d v="2014-08-14T00:00:00"/>
    <x v="7"/>
    <n v="6.99"/>
  </r>
  <r>
    <s v="0 Original"/>
    <s v="(1311)"/>
    <n v="1311"/>
    <s v="2014-08-14 Theodore Mills(381)"/>
    <x v="2"/>
    <n v="7.99"/>
    <n v="2"/>
    <s v="www"/>
    <d v="2014-08-14T17:53:07"/>
    <d v="2014-08-14T00:00:00"/>
    <x v="7"/>
    <n v="15.98"/>
  </r>
  <r>
    <s v="0 Original"/>
    <s v="(1203)"/>
    <n v="1203"/>
    <s v="2014-08-14 Hanna Simpson(351)"/>
    <x v="14"/>
    <n v="7.99"/>
    <n v="2"/>
    <s v="www"/>
    <d v="2014-08-14T22:32:51"/>
    <d v="2014-08-14T00:00:00"/>
    <x v="7"/>
    <n v="15.98"/>
  </r>
  <r>
    <s v="0 Original"/>
    <s v="(1204)"/>
    <n v="1204"/>
    <s v="2014-08-14 Hanna Simpson(351)"/>
    <x v="49"/>
    <n v="8.99"/>
    <n v="1"/>
    <s v="www"/>
    <d v="2014-08-14T22:32:51"/>
    <d v="2014-08-14T00:00:00"/>
    <x v="7"/>
    <n v="8.99"/>
  </r>
  <r>
    <s v="0 Original"/>
    <s v="(3540)"/>
    <n v="3540"/>
    <s v="2014-08-15 Nayda Shields(1070)"/>
    <x v="8"/>
    <n v="4.99"/>
    <n v="1"/>
    <s v="www"/>
    <d v="2014-08-15T09:00:51"/>
    <d v="2014-08-15T00:00:00"/>
    <x v="7"/>
    <n v="4.99"/>
  </r>
  <r>
    <s v="0 Original"/>
    <s v="(3541)"/>
    <n v="3541"/>
    <s v="2014-08-15 Nayda Shields(1070)"/>
    <x v="16"/>
    <n v="6.99"/>
    <n v="1"/>
    <s v="www"/>
    <d v="2014-08-15T09:00:51"/>
    <d v="2014-08-15T00:00:00"/>
    <x v="7"/>
    <n v="6.99"/>
  </r>
  <r>
    <s v="0 Original"/>
    <s v="(3542)"/>
    <n v="3542"/>
    <s v="2014-08-15 Nayda Shields(1070)"/>
    <x v="8"/>
    <n v="4.99"/>
    <n v="1"/>
    <s v="www"/>
    <d v="2014-08-15T09:00:51"/>
    <d v="2014-08-15T00:00:00"/>
    <x v="7"/>
    <n v="4.99"/>
  </r>
  <r>
    <s v="0 Original"/>
    <s v="(3543)"/>
    <n v="3543"/>
    <s v="2014-08-15 Nayda Shields(1070)"/>
    <x v="25"/>
    <n v="9.99"/>
    <n v="2"/>
    <s v="www"/>
    <d v="2014-08-15T09:00:51"/>
    <d v="2014-08-15T00:00:00"/>
    <x v="7"/>
    <n v="19.98"/>
  </r>
  <r>
    <s v="0 Original"/>
    <s v="(3544)"/>
    <n v="3544"/>
    <s v="2014-08-15 Nayda Shields(1070)"/>
    <x v="24"/>
    <n v="7.99"/>
    <n v="1"/>
    <s v="www"/>
    <d v="2014-08-15T09:00:51"/>
    <d v="2014-08-15T00:00:00"/>
    <x v="7"/>
    <n v="7.99"/>
  </r>
  <r>
    <s v="0 Original"/>
    <s v="(216)"/>
    <n v="216"/>
    <s v="2014-08-16 Alexa Herring(59)"/>
    <x v="34"/>
    <n v="8.99"/>
    <n v="1"/>
    <s v="www"/>
    <d v="2014-08-16T18:00:07"/>
    <d v="2014-08-16T00:00:00"/>
    <x v="7"/>
    <n v="8.99"/>
  </r>
  <r>
    <s v="0 Original"/>
    <s v="(217)"/>
    <n v="217"/>
    <s v="2014-08-16 Alexa Herring(59)"/>
    <x v="145"/>
    <n v="9.99"/>
    <n v="2"/>
    <s v="www"/>
    <d v="2014-08-16T18:00:07"/>
    <d v="2014-08-16T00:00:00"/>
    <x v="7"/>
    <n v="19.98"/>
  </r>
  <r>
    <s v="0 Original"/>
    <s v="(218)"/>
    <n v="218"/>
    <s v="2014-08-16 Alexa Herring(59)"/>
    <x v="12"/>
    <n v="8.99"/>
    <n v="2"/>
    <s v="www"/>
    <d v="2014-08-16T18:00:07"/>
    <d v="2014-08-16T00:00:00"/>
    <x v="7"/>
    <n v="17.98"/>
  </r>
  <r>
    <s v="0 Original"/>
    <s v="(548)"/>
    <n v="548"/>
    <s v="2014-08-16 Oprah Horton(154)"/>
    <x v="146"/>
    <n v="8.99"/>
    <n v="3"/>
    <s v="www"/>
    <d v="2014-08-16T22:21:25"/>
    <d v="2014-08-16T00:00:00"/>
    <x v="7"/>
    <n v="26.97"/>
  </r>
  <r>
    <s v="0 Original"/>
    <s v="(549)"/>
    <n v="549"/>
    <s v="2014-08-16 Oprah Horton(154)"/>
    <x v="102"/>
    <n v="6.99"/>
    <n v="2"/>
    <s v="www"/>
    <d v="2014-08-16T22:21:25"/>
    <d v="2014-08-16T00:00:00"/>
    <x v="7"/>
    <n v="13.98"/>
  </r>
  <r>
    <s v="0 Original"/>
    <s v="(3006)"/>
    <n v="3006"/>
    <s v="2014-08-17 Ora Mann(905)"/>
    <x v="7"/>
    <n v="9.99"/>
    <n v="2"/>
    <s v="www"/>
    <d v="2014-08-17T08:32:47"/>
    <d v="2014-08-17T00:00:00"/>
    <x v="7"/>
    <n v="19.98"/>
  </r>
  <r>
    <s v="0 Original"/>
    <s v="(3007)"/>
    <n v="3007"/>
    <s v="2014-08-17 Ora Mann(905)"/>
    <x v="24"/>
    <n v="7.99"/>
    <n v="1"/>
    <s v="www"/>
    <d v="2014-08-17T08:32:47"/>
    <d v="2014-08-17T00:00:00"/>
    <x v="7"/>
    <n v="7.99"/>
  </r>
  <r>
    <s v="0 Original"/>
    <s v="(3008)"/>
    <n v="3008"/>
    <s v="2014-08-17 Ora Mann(905)"/>
    <x v="30"/>
    <n v="6.99"/>
    <n v="1"/>
    <s v="www"/>
    <d v="2014-08-17T08:32:47"/>
    <d v="2014-08-17T00:00:00"/>
    <x v="7"/>
    <n v="6.99"/>
  </r>
  <r>
    <s v="0 Original"/>
    <s v="(3009)"/>
    <n v="3009"/>
    <s v="2014-08-17 Ora Mann(905)"/>
    <x v="8"/>
    <n v="4.99"/>
    <n v="1"/>
    <s v="www"/>
    <d v="2014-08-17T08:32:47"/>
    <d v="2014-08-17T00:00:00"/>
    <x v="7"/>
    <n v="4.99"/>
  </r>
  <r>
    <s v="0 Original"/>
    <s v="(3010)"/>
    <n v="3010"/>
    <s v="2014-08-17 Ora Mann(905)"/>
    <x v="23"/>
    <n v="9.99"/>
    <n v="2"/>
    <s v="www"/>
    <d v="2014-08-17T08:32:47"/>
    <d v="2014-08-17T00:00:00"/>
    <x v="7"/>
    <n v="19.98"/>
  </r>
  <r>
    <s v="0 Original"/>
    <s v="(3011)"/>
    <n v="3011"/>
    <s v="2014-08-17 Ora Mann(905)"/>
    <x v="8"/>
    <n v="4.99"/>
    <n v="2"/>
    <s v="www"/>
    <d v="2014-08-17T08:32:47"/>
    <d v="2014-08-17T00:00:00"/>
    <x v="7"/>
    <n v="9.98"/>
  </r>
  <r>
    <s v="0 Original"/>
    <s v="(2721)"/>
    <n v="2721"/>
    <s v="2014-08-17 John Drake(819)"/>
    <x v="23"/>
    <n v="9.99"/>
    <n v="1"/>
    <s v="www"/>
    <d v="2014-08-17T19:08:53"/>
    <d v="2014-08-17T00:00:00"/>
    <x v="7"/>
    <n v="9.99"/>
  </r>
  <r>
    <s v="0 Original"/>
    <s v="(2722)"/>
    <n v="2722"/>
    <s v="2014-08-17 John Drake(819)"/>
    <x v="8"/>
    <n v="4.99"/>
    <n v="1"/>
    <s v="www"/>
    <d v="2014-08-17T19:08:53"/>
    <d v="2014-08-17T00:00:00"/>
    <x v="7"/>
    <n v="4.99"/>
  </r>
  <r>
    <s v="0 Original"/>
    <s v="(2723)"/>
    <n v="2723"/>
    <s v="2014-08-17 John Drake(819)"/>
    <x v="30"/>
    <n v="6.99"/>
    <n v="1"/>
    <s v="www"/>
    <d v="2014-08-17T19:08:53"/>
    <d v="2014-08-17T00:00:00"/>
    <x v="7"/>
    <n v="6.99"/>
  </r>
  <r>
    <s v="0 Original"/>
    <s v="(737)"/>
    <n v="737"/>
    <s v="2014-08-18 April Buckley(209)"/>
    <x v="57"/>
    <n v="4.99"/>
    <n v="1"/>
    <s v="www"/>
    <d v="2014-08-18T02:31:29"/>
    <d v="2014-08-18T00:00:00"/>
    <x v="7"/>
    <n v="4.99"/>
  </r>
  <r>
    <s v="0 Original"/>
    <s v="(3052)"/>
    <n v="3052"/>
    <s v="2014-08-18 Nayda Shields(918)"/>
    <x v="9"/>
    <n v="7.99"/>
    <n v="1"/>
    <s v="www"/>
    <d v="2014-08-18T04:07:53"/>
    <d v="2014-08-18T00:00:00"/>
    <x v="7"/>
    <n v="7.99"/>
  </r>
  <r>
    <s v="0 Original"/>
    <s v="(3053)"/>
    <n v="3053"/>
    <s v="2014-08-18 Nayda Shields(918)"/>
    <x v="7"/>
    <n v="9.99"/>
    <n v="2"/>
    <s v="www"/>
    <d v="2014-08-18T04:07:53"/>
    <d v="2014-08-18T00:00:00"/>
    <x v="7"/>
    <n v="19.98"/>
  </r>
  <r>
    <s v="0 Original"/>
    <s v="(3054)"/>
    <n v="3054"/>
    <s v="2014-08-18 Nayda Shields(918)"/>
    <x v="30"/>
    <n v="6.99"/>
    <n v="1"/>
    <s v="www"/>
    <d v="2014-08-18T04:07:53"/>
    <d v="2014-08-18T00:00:00"/>
    <x v="7"/>
    <n v="6.99"/>
  </r>
  <r>
    <s v="0 Original"/>
    <s v="(2454)"/>
    <n v="2454"/>
    <s v="2014-08-18 Ora Mann(735)"/>
    <x v="30"/>
    <n v="6.99"/>
    <n v="1"/>
    <s v="www"/>
    <d v="2014-08-18T07:50:58"/>
    <d v="2014-08-18T00:00:00"/>
    <x v="7"/>
    <n v="6.99"/>
  </r>
  <r>
    <s v="0 Original"/>
    <s v="(2455)"/>
    <n v="2455"/>
    <s v="2014-08-18 Ora Mann(735)"/>
    <x v="9"/>
    <n v="7.99"/>
    <n v="2"/>
    <s v="www"/>
    <d v="2014-08-18T07:50:58"/>
    <d v="2014-08-18T00:00:00"/>
    <x v="7"/>
    <n v="15.98"/>
  </r>
  <r>
    <s v="0 Original"/>
    <s v="(2456)"/>
    <n v="2456"/>
    <s v="2014-08-18 Ora Mann(735)"/>
    <x v="7"/>
    <n v="9.99"/>
    <n v="1"/>
    <s v="www"/>
    <d v="2014-08-18T07:50:58"/>
    <d v="2014-08-18T00:00:00"/>
    <x v="7"/>
    <n v="9.99"/>
  </r>
  <r>
    <s v="0 Original"/>
    <s v="(881)"/>
    <n v="881"/>
    <s v="2014-08-18 Nayda Shields(252)"/>
    <x v="3"/>
    <n v="7.99"/>
    <n v="1"/>
    <s v="www"/>
    <d v="2014-08-18T08:58:12"/>
    <d v="2014-08-18T00:00:00"/>
    <x v="7"/>
    <n v="7.99"/>
  </r>
  <r>
    <s v="0 Original"/>
    <s v="(882)"/>
    <n v="882"/>
    <s v="2014-08-18 Nayda Shields(252)"/>
    <x v="13"/>
    <n v="8.99"/>
    <n v="1"/>
    <s v="www"/>
    <d v="2014-08-18T08:58:12"/>
    <d v="2014-08-18T00:00:00"/>
    <x v="7"/>
    <n v="8.99"/>
  </r>
  <r>
    <s v="0 Original"/>
    <s v="(2641)"/>
    <n v="2641"/>
    <s v="2014-08-18 Cameron Rivera(798)"/>
    <x v="7"/>
    <n v="9.99"/>
    <n v="2"/>
    <s v="www"/>
    <d v="2014-08-18T23:51:26"/>
    <d v="2014-08-18T00:00:00"/>
    <x v="7"/>
    <n v="19.98"/>
  </r>
  <r>
    <s v="0 Original"/>
    <s v="(2387)"/>
    <n v="2387"/>
    <s v="2014-08-19 Cameron Rivera(712)"/>
    <x v="16"/>
    <n v="6.99"/>
    <n v="1"/>
    <s v="www"/>
    <d v="2014-08-19T08:22:06"/>
    <d v="2014-08-19T00:00:00"/>
    <x v="7"/>
    <n v="6.99"/>
  </r>
  <r>
    <s v="0 Original"/>
    <s v="(2388)"/>
    <n v="2388"/>
    <s v="2014-08-19 Cameron Rivera(712)"/>
    <x v="8"/>
    <n v="4.99"/>
    <n v="1"/>
    <s v="www"/>
    <d v="2014-08-19T08:22:06"/>
    <d v="2014-08-19T00:00:00"/>
    <x v="7"/>
    <n v="4.99"/>
  </r>
  <r>
    <s v="0 Original"/>
    <s v="(2389)"/>
    <n v="2389"/>
    <s v="2014-08-19 Cameron Rivera(712)"/>
    <x v="30"/>
    <n v="6.99"/>
    <n v="1"/>
    <s v="www"/>
    <d v="2014-08-19T08:22:06"/>
    <d v="2014-08-19T00:00:00"/>
    <x v="7"/>
    <n v="6.99"/>
  </r>
  <r>
    <s v="0 Original"/>
    <s v="(2390)"/>
    <n v="2390"/>
    <s v="2014-08-19 Cameron Rivera(712)"/>
    <x v="6"/>
    <n v="5.99"/>
    <n v="1"/>
    <s v="www"/>
    <d v="2014-08-19T08:22:06"/>
    <d v="2014-08-19T00:00:00"/>
    <x v="7"/>
    <n v="5.99"/>
  </r>
  <r>
    <s v="0 Original"/>
    <s v="(1728)"/>
    <n v="1728"/>
    <s v="2014-08-19 Hanna Simpson(507)"/>
    <x v="17"/>
    <n v="9.99"/>
    <n v="2"/>
    <s v="www"/>
    <d v="2014-08-19T22:38:07"/>
    <d v="2014-08-19T00:00:00"/>
    <x v="7"/>
    <n v="19.98"/>
  </r>
  <r>
    <s v="0 Original"/>
    <s v="(1729)"/>
    <n v="1729"/>
    <s v="2014-08-19 Hanna Simpson(507)"/>
    <x v="91"/>
    <n v="9.99"/>
    <n v="1"/>
    <s v="www"/>
    <d v="2014-08-19T22:38:07"/>
    <d v="2014-08-19T00:00:00"/>
    <x v="7"/>
    <n v="9.99"/>
  </r>
  <r>
    <s v="0 Original"/>
    <s v="(968)"/>
    <n v="968"/>
    <s v="2014-08-19 Rhonda Curtis(275)"/>
    <x v="10"/>
    <n v="8.99"/>
    <n v="1"/>
    <s v="www"/>
    <d v="2014-08-19T22:57:31"/>
    <d v="2014-08-19T00:00:00"/>
    <x v="7"/>
    <n v="8.99"/>
  </r>
  <r>
    <s v="0 Original"/>
    <s v="(969)"/>
    <n v="969"/>
    <s v="2014-08-19 Rhonda Curtis(275)"/>
    <x v="1"/>
    <n v="7.99"/>
    <n v="1"/>
    <s v="www"/>
    <d v="2014-08-19T22:57:31"/>
    <d v="2014-08-19T00:00:00"/>
    <x v="7"/>
    <n v="7.99"/>
  </r>
  <r>
    <s v="0 Original"/>
    <s v="(215)"/>
    <n v="215"/>
    <s v="2014-08-20 Ora Mann(58)"/>
    <x v="2"/>
    <n v="7.99"/>
    <n v="1"/>
    <s v="www"/>
    <d v="2014-08-20T09:05:53"/>
    <d v="2014-08-20T00:00:00"/>
    <x v="7"/>
    <n v="7.99"/>
  </r>
  <r>
    <s v="0 Original"/>
    <s v="(3661)"/>
    <n v="3661"/>
    <s v="2014-08-20 Bernard Cash(1109)"/>
    <x v="9"/>
    <n v="7.99"/>
    <n v="2"/>
    <s v="www"/>
    <d v="2014-08-20T16:31:29"/>
    <d v="2014-08-20T00:00:00"/>
    <x v="7"/>
    <n v="15.98"/>
  </r>
  <r>
    <s v="0 Original"/>
    <s v="(3662)"/>
    <n v="3662"/>
    <s v="2014-08-20 Bernard Cash(1109)"/>
    <x v="24"/>
    <n v="7.99"/>
    <n v="2"/>
    <s v="www"/>
    <d v="2014-08-20T16:31:29"/>
    <d v="2014-08-20T00:00:00"/>
    <x v="7"/>
    <n v="15.98"/>
  </r>
  <r>
    <s v="0 Original"/>
    <s v="(3663)"/>
    <n v="3663"/>
    <s v="2014-08-20 Bernard Cash(1109)"/>
    <x v="16"/>
    <n v="6.99"/>
    <n v="1"/>
    <s v="www"/>
    <d v="2014-08-20T16:31:29"/>
    <d v="2014-08-20T00:00:00"/>
    <x v="7"/>
    <n v="6.99"/>
  </r>
  <r>
    <s v="0 Original"/>
    <s v="(3664)"/>
    <n v="3664"/>
    <s v="2014-08-20 Bernard Cash(1109)"/>
    <x v="24"/>
    <n v="7.99"/>
    <n v="2"/>
    <s v="www"/>
    <d v="2014-08-20T16:31:29"/>
    <d v="2014-08-20T00:00:00"/>
    <x v="7"/>
    <n v="15.98"/>
  </r>
  <r>
    <s v="0 Original"/>
    <s v="(847)"/>
    <n v="847"/>
    <s v="2014-08-20 Vivian Mendoza(241)"/>
    <x v="46"/>
    <n v="5.99"/>
    <n v="2"/>
    <s v="www"/>
    <d v="2014-08-20T18:55:37"/>
    <d v="2014-08-20T00:00:00"/>
    <x v="7"/>
    <n v="11.98"/>
  </r>
  <r>
    <s v="0 Original"/>
    <s v="(848)"/>
    <n v="848"/>
    <s v="2014-08-20 Vivian Mendoza(241)"/>
    <x v="42"/>
    <n v="5.99"/>
    <n v="1"/>
    <s v="www"/>
    <d v="2014-08-20T18:55:37"/>
    <d v="2014-08-20T00:00:00"/>
    <x v="7"/>
    <n v="5.99"/>
  </r>
  <r>
    <s v="0 Original"/>
    <s v="(849)"/>
    <n v="849"/>
    <s v="2014-08-20 Vivian Mendoza(241)"/>
    <x v="21"/>
    <n v="4.99"/>
    <n v="2"/>
    <s v="www"/>
    <d v="2014-08-20T18:55:37"/>
    <d v="2014-08-20T00:00:00"/>
    <x v="7"/>
    <n v="9.98"/>
  </r>
  <r>
    <s v="0 Original"/>
    <s v="(850)"/>
    <n v="850"/>
    <s v="2014-08-20 Vivian Mendoza(241)"/>
    <x v="13"/>
    <n v="8.99"/>
    <n v="1"/>
    <s v="www"/>
    <d v="2014-08-20T18:55:37"/>
    <d v="2014-08-20T00:00:00"/>
    <x v="7"/>
    <n v="8.99"/>
  </r>
  <r>
    <s v="0 Original"/>
    <s v="(851)"/>
    <n v="851"/>
    <s v="2014-08-20 Vivian Mendoza(241)"/>
    <x v="33"/>
    <n v="4.99"/>
    <n v="2"/>
    <s v="www"/>
    <d v="2014-08-20T18:55:37"/>
    <d v="2014-08-20T00:00:00"/>
    <x v="7"/>
    <n v="9.98"/>
  </r>
  <r>
    <s v="0 Original"/>
    <s v="(852)"/>
    <n v="852"/>
    <s v="2014-08-20 Vivian Mendoza(241)"/>
    <x v="89"/>
    <n v="5.99"/>
    <n v="2"/>
    <s v="www"/>
    <d v="2014-08-20T18:55:37"/>
    <d v="2014-08-20T00:00:00"/>
    <x v="7"/>
    <n v="11.98"/>
  </r>
  <r>
    <s v="0 Original"/>
    <s v="(2905)"/>
    <n v="2905"/>
    <s v="2014-08-22 Madeline Reynolds(877)"/>
    <x v="6"/>
    <n v="5.99"/>
    <n v="2"/>
    <s v="www"/>
    <d v="2014-08-22T09:23:17"/>
    <d v="2014-08-22T00:00:00"/>
    <x v="7"/>
    <n v="11.98"/>
  </r>
  <r>
    <s v="0 Original"/>
    <s v="(2906)"/>
    <n v="2906"/>
    <s v="2014-08-22 Madeline Reynolds(877)"/>
    <x v="7"/>
    <n v="9.99"/>
    <n v="1"/>
    <s v="www"/>
    <d v="2014-08-22T09:23:17"/>
    <d v="2014-08-22T00:00:00"/>
    <x v="7"/>
    <n v="9.99"/>
  </r>
  <r>
    <s v="0 Original"/>
    <s v="(2907)"/>
    <n v="2907"/>
    <s v="2014-08-22 Madeline Reynolds(877)"/>
    <x v="23"/>
    <n v="9.99"/>
    <n v="1"/>
    <s v="www"/>
    <d v="2014-08-22T09:23:17"/>
    <d v="2014-08-22T00:00:00"/>
    <x v="7"/>
    <n v="9.99"/>
  </r>
  <r>
    <s v="0 Original"/>
    <s v="(2908)"/>
    <n v="2908"/>
    <s v="2014-08-22 Madeline Reynolds(877)"/>
    <x v="25"/>
    <n v="9.99"/>
    <n v="1"/>
    <s v="www"/>
    <d v="2014-08-22T09:23:17"/>
    <d v="2014-08-22T00:00:00"/>
    <x v="7"/>
    <n v="9.99"/>
  </r>
  <r>
    <s v="0 Original"/>
    <s v="(2909)"/>
    <n v="2909"/>
    <s v="2014-08-22 Madeline Reynolds(877)"/>
    <x v="23"/>
    <n v="9.99"/>
    <n v="1"/>
    <s v="www"/>
    <d v="2014-08-22T09:23:17"/>
    <d v="2014-08-22T00:00:00"/>
    <x v="7"/>
    <n v="9.99"/>
  </r>
  <r>
    <s v="0 Original"/>
    <s v="(2910)"/>
    <n v="2910"/>
    <s v="2014-08-22 Madeline Reynolds(877)"/>
    <x v="6"/>
    <n v="5.99"/>
    <n v="1"/>
    <s v="www"/>
    <d v="2014-08-22T09:23:17"/>
    <d v="2014-08-22T00:00:00"/>
    <x v="7"/>
    <n v="5.99"/>
  </r>
  <r>
    <s v="0 Original"/>
    <s v="(2911)"/>
    <n v="2911"/>
    <s v="2014-08-22 Madeline Reynolds(877)"/>
    <x v="41"/>
    <n v="4.99"/>
    <n v="2"/>
    <s v="www"/>
    <d v="2014-08-22T09:23:17"/>
    <d v="2014-08-22T00:00:00"/>
    <x v="7"/>
    <n v="9.98"/>
  </r>
  <r>
    <s v="0 Original"/>
    <s v="(3654)"/>
    <n v="3654"/>
    <s v="2014-08-22 Ora Mann(1105)"/>
    <x v="23"/>
    <n v="9.99"/>
    <n v="2"/>
    <s v="www"/>
    <d v="2014-08-22T10:52:32"/>
    <d v="2014-08-22T00:00:00"/>
    <x v="7"/>
    <n v="19.98"/>
  </r>
  <r>
    <s v="0 Original"/>
    <s v="(588)"/>
    <n v="588"/>
    <s v="2014-08-23 Scarlett Odonnell(167)"/>
    <x v="115"/>
    <n v="8.99"/>
    <n v="2"/>
    <s v="www"/>
    <d v="2014-08-23T20:51:47"/>
    <d v="2014-08-23T00:00:00"/>
    <x v="7"/>
    <n v="17.98"/>
  </r>
  <r>
    <s v="0 Original"/>
    <s v="(2411)"/>
    <n v="2411"/>
    <s v="2014-08-23 Cameron Rivera(720)"/>
    <x v="7"/>
    <n v="9.99"/>
    <n v="1"/>
    <s v="www"/>
    <d v="2014-08-23T22:17:39"/>
    <d v="2014-08-23T00:00:00"/>
    <x v="7"/>
    <n v="9.99"/>
  </r>
  <r>
    <s v="0 Original"/>
    <s v="(180)"/>
    <n v="180"/>
    <s v="2014-08-24 Rhonda Curtis(50)"/>
    <x v="143"/>
    <n v="5.99"/>
    <n v="2"/>
    <s v="www"/>
    <d v="2014-08-24T03:40:45"/>
    <d v="2014-08-24T00:00:00"/>
    <x v="7"/>
    <n v="11.98"/>
  </r>
  <r>
    <s v="0 Original"/>
    <s v="(181)"/>
    <n v="181"/>
    <s v="2014-08-24 Rhonda Curtis(50)"/>
    <x v="34"/>
    <n v="8.99"/>
    <n v="2"/>
    <s v="www"/>
    <d v="2014-08-24T03:40:45"/>
    <d v="2014-08-24T00:00:00"/>
    <x v="7"/>
    <n v="17.98"/>
  </r>
  <r>
    <s v="0 Original"/>
    <s v="(182)"/>
    <n v="182"/>
    <s v="2014-08-24 Rhonda Curtis(50)"/>
    <x v="35"/>
    <n v="9.99"/>
    <n v="2"/>
    <s v="www"/>
    <d v="2014-08-24T03:40:45"/>
    <d v="2014-08-24T00:00:00"/>
    <x v="7"/>
    <n v="19.98"/>
  </r>
  <r>
    <s v="0 Original"/>
    <s v="(183)"/>
    <n v="183"/>
    <s v="2014-08-24 Rhonda Curtis(50)"/>
    <x v="59"/>
    <n v="6.99"/>
    <n v="2"/>
    <s v="www"/>
    <d v="2014-08-24T03:40:45"/>
    <d v="2014-08-24T00:00:00"/>
    <x v="7"/>
    <n v="13.98"/>
  </r>
  <r>
    <s v="0 Original"/>
    <s v="(184)"/>
    <n v="184"/>
    <s v="2014-08-24 Rhonda Curtis(50)"/>
    <x v="127"/>
    <n v="6.99"/>
    <n v="1"/>
    <s v="www"/>
    <d v="2014-08-24T03:40:45"/>
    <d v="2014-08-24T00:00:00"/>
    <x v="7"/>
    <n v="6.99"/>
  </r>
  <r>
    <s v="0 Original"/>
    <s v="(185)"/>
    <n v="185"/>
    <s v="2014-08-24 Rhonda Curtis(50)"/>
    <x v="71"/>
    <n v="8.99"/>
    <n v="1"/>
    <s v="www"/>
    <d v="2014-08-24T03:40:45"/>
    <d v="2014-08-24T00:00:00"/>
    <x v="7"/>
    <n v="8.99"/>
  </r>
  <r>
    <s v="0 Original"/>
    <s v="(599)"/>
    <n v="599"/>
    <s v="2014-08-24 Vivian Mendoza(171)"/>
    <x v="54"/>
    <n v="5.99"/>
    <n v="1"/>
    <s v="www"/>
    <d v="2014-08-24T20:56:11"/>
    <d v="2014-08-24T00:00:00"/>
    <x v="7"/>
    <n v="5.99"/>
  </r>
  <r>
    <s v="0 Original"/>
    <s v="(600)"/>
    <n v="600"/>
    <s v="2014-08-24 Vivian Mendoza(171)"/>
    <x v="81"/>
    <n v="9.99"/>
    <n v="1"/>
    <s v="www"/>
    <d v="2014-08-24T20:56:11"/>
    <d v="2014-08-24T00:00:00"/>
    <x v="7"/>
    <n v="9.99"/>
  </r>
  <r>
    <s v="0 Original"/>
    <s v="(601)"/>
    <n v="601"/>
    <s v="2014-08-24 Vivian Mendoza(171)"/>
    <x v="29"/>
    <n v="4.99"/>
    <n v="1"/>
    <s v="www"/>
    <d v="2014-08-24T20:56:11"/>
    <d v="2014-08-24T00:00:00"/>
    <x v="7"/>
    <n v="4.99"/>
  </r>
  <r>
    <s v="0 Original"/>
    <s v="(44)"/>
    <n v="44"/>
    <s v="2014-08-24 Blossom Mosley(14)"/>
    <x v="147"/>
    <n v="4.99"/>
    <n v="1"/>
    <s v="www"/>
    <d v="2014-08-24T21:06:11"/>
    <d v="2014-08-24T00:00:00"/>
    <x v="7"/>
    <n v="4.99"/>
  </r>
  <r>
    <s v="0 Original"/>
    <s v="(45)"/>
    <n v="45"/>
    <s v="2014-08-24 Blossom Mosley(14)"/>
    <x v="141"/>
    <n v="5.99"/>
    <n v="1"/>
    <s v="www"/>
    <d v="2014-08-24T21:06:11"/>
    <d v="2014-08-24T00:00:00"/>
    <x v="7"/>
    <n v="5.99"/>
  </r>
  <r>
    <s v="0 Original"/>
    <s v="(46)"/>
    <n v="46"/>
    <s v="2014-08-24 Blossom Mosley(14)"/>
    <x v="71"/>
    <n v="8.99"/>
    <n v="2"/>
    <s v="www"/>
    <d v="2014-08-24T21:06:11"/>
    <d v="2014-08-24T00:00:00"/>
    <x v="7"/>
    <n v="17.98"/>
  </r>
  <r>
    <s v="0 Original"/>
    <s v="(1746)"/>
    <n v="1746"/>
    <s v="2014-08-25 Serina Booker(514)"/>
    <x v="86"/>
    <n v="9.99"/>
    <n v="1"/>
    <s v="www"/>
    <d v="2014-08-25T10:03:25"/>
    <d v="2014-08-25T00:00:00"/>
    <x v="7"/>
    <n v="9.99"/>
  </r>
  <r>
    <s v="0 Original"/>
    <s v="(1747)"/>
    <n v="1747"/>
    <s v="2014-08-25 Serina Booker(514)"/>
    <x v="34"/>
    <n v="8.99"/>
    <n v="2"/>
    <s v="www"/>
    <d v="2014-08-25T10:03:25"/>
    <d v="2014-08-25T00:00:00"/>
    <x v="7"/>
    <n v="17.98"/>
  </r>
  <r>
    <s v="0 Original"/>
    <s v="(1748)"/>
    <n v="1748"/>
    <s v="2014-08-25 Serina Booker(514)"/>
    <x v="13"/>
    <n v="8.99"/>
    <n v="1"/>
    <s v="www"/>
    <d v="2014-08-25T10:03:25"/>
    <d v="2014-08-25T00:00:00"/>
    <x v="7"/>
    <n v="8.99"/>
  </r>
  <r>
    <s v="0 Original"/>
    <s v="(1749)"/>
    <n v="1749"/>
    <s v="2014-08-25 Serina Booker(514)"/>
    <x v="16"/>
    <n v="6.99"/>
    <n v="1"/>
    <s v="www"/>
    <d v="2014-08-25T10:03:25"/>
    <d v="2014-08-25T00:00:00"/>
    <x v="7"/>
    <n v="6.99"/>
  </r>
  <r>
    <s v="0 Original"/>
    <s v="(1468)"/>
    <n v="1468"/>
    <s v="2014-08-25 Stacey Kirk(425)"/>
    <x v="4"/>
    <n v="6.99"/>
    <n v="2"/>
    <s v="www"/>
    <d v="2014-08-25T23:50:57"/>
    <d v="2014-08-25T00:00:00"/>
    <x v="7"/>
    <n v="13.98"/>
  </r>
  <r>
    <s v="0 Original"/>
    <s v="(1469)"/>
    <n v="1469"/>
    <s v="2014-08-25 Stacey Kirk(425)"/>
    <x v="35"/>
    <n v="9.99"/>
    <n v="1"/>
    <s v="www"/>
    <d v="2014-08-25T23:50:57"/>
    <d v="2014-08-25T00:00:00"/>
    <x v="7"/>
    <n v="9.99"/>
  </r>
  <r>
    <s v="0 Original"/>
    <s v="(1470)"/>
    <n v="1470"/>
    <s v="2014-08-25 Stacey Kirk(425)"/>
    <x v="37"/>
    <n v="8.99"/>
    <n v="1"/>
    <s v="www"/>
    <d v="2014-08-25T23:50:57"/>
    <d v="2014-08-25T00:00:00"/>
    <x v="7"/>
    <n v="8.99"/>
  </r>
  <r>
    <s v="0 Original"/>
    <s v="(1471)"/>
    <n v="1471"/>
    <s v="2014-08-25 Stacey Kirk(425)"/>
    <x v="2"/>
    <n v="7.99"/>
    <n v="1"/>
    <s v="www"/>
    <d v="2014-08-25T23:50:57"/>
    <d v="2014-08-25T00:00:00"/>
    <x v="7"/>
    <n v="7.99"/>
  </r>
  <r>
    <s v="0 Original"/>
    <s v="(2391)"/>
    <n v="2391"/>
    <s v="2014-08-26 Christine Medina(713)"/>
    <x v="8"/>
    <n v="4.99"/>
    <n v="1"/>
    <s v="www"/>
    <d v="2014-08-26T10:50:36"/>
    <d v="2014-08-26T00:00:00"/>
    <x v="7"/>
    <n v="4.99"/>
  </r>
  <r>
    <s v="0 Original"/>
    <s v="(2392)"/>
    <n v="2392"/>
    <s v="2014-08-26 Christine Medina(713)"/>
    <x v="8"/>
    <n v="4.99"/>
    <n v="1"/>
    <s v="www"/>
    <d v="2014-08-26T10:50:36"/>
    <d v="2014-08-26T00:00:00"/>
    <x v="7"/>
    <n v="4.99"/>
  </r>
  <r>
    <s v="0 Original"/>
    <s v="(2974)"/>
    <n v="2974"/>
    <s v="2014-08-26 Belle Short(895)"/>
    <x v="7"/>
    <n v="9.99"/>
    <n v="1"/>
    <s v="www"/>
    <d v="2014-08-26T12:18:00"/>
    <d v="2014-08-26T00:00:00"/>
    <x v="7"/>
    <n v="9.99"/>
  </r>
  <r>
    <s v="0 Original"/>
    <s v="(2975)"/>
    <n v="2975"/>
    <s v="2014-08-26 Belle Short(895)"/>
    <x v="16"/>
    <n v="6.99"/>
    <n v="1"/>
    <s v="www"/>
    <d v="2014-08-26T12:18:00"/>
    <d v="2014-08-26T00:00:00"/>
    <x v="7"/>
    <n v="6.99"/>
  </r>
  <r>
    <s v="0 Original"/>
    <s v="(2976)"/>
    <n v="2976"/>
    <s v="2014-08-26 Belle Short(895)"/>
    <x v="41"/>
    <n v="4.99"/>
    <n v="1"/>
    <s v="www"/>
    <d v="2014-08-26T12:18:00"/>
    <d v="2014-08-26T00:00:00"/>
    <x v="7"/>
    <n v="4.99"/>
  </r>
  <r>
    <s v="0 Original"/>
    <s v="(2977)"/>
    <n v="2977"/>
    <s v="2014-08-26 Belle Short(895)"/>
    <x v="7"/>
    <n v="9.99"/>
    <n v="2"/>
    <s v="www"/>
    <d v="2014-08-26T12:18:00"/>
    <d v="2014-08-26T00:00:00"/>
    <x v="7"/>
    <n v="19.98"/>
  </r>
  <r>
    <s v="0 Original"/>
    <s v="(2978)"/>
    <n v="2978"/>
    <s v="2014-08-26 Belle Short(895)"/>
    <x v="6"/>
    <n v="5.99"/>
    <n v="1"/>
    <s v="www"/>
    <d v="2014-08-26T12:18:00"/>
    <d v="2014-08-26T00:00:00"/>
    <x v="7"/>
    <n v="5.99"/>
  </r>
  <r>
    <s v="0 Original"/>
    <s v="(1687)"/>
    <n v="1687"/>
    <s v="2014-08-26 Ivy Livingston(493)"/>
    <x v="0"/>
    <n v="9.99"/>
    <n v="1"/>
    <s v="www"/>
    <d v="2014-08-26T14:39:05"/>
    <d v="2014-08-26T00:00:00"/>
    <x v="7"/>
    <n v="9.99"/>
  </r>
  <r>
    <s v="0 Original"/>
    <s v="(1688)"/>
    <n v="1688"/>
    <s v="2014-08-26 Ivy Livingston(493)"/>
    <x v="2"/>
    <n v="7.99"/>
    <n v="1"/>
    <s v="www"/>
    <d v="2014-08-26T14:39:05"/>
    <d v="2014-08-26T00:00:00"/>
    <x v="7"/>
    <n v="7.99"/>
  </r>
  <r>
    <s v="0 Original"/>
    <s v="(1615)"/>
    <n v="1615"/>
    <s v="2014-08-27 Serina Booker(466)"/>
    <x v="6"/>
    <n v="5.99"/>
    <n v="1"/>
    <s v="www"/>
    <d v="2014-08-27T04:45:27"/>
    <d v="2014-08-27T00:00:00"/>
    <x v="7"/>
    <n v="5.99"/>
  </r>
  <r>
    <s v="0 Original"/>
    <s v="(1616)"/>
    <n v="1616"/>
    <s v="2014-08-27 Serina Booker(466)"/>
    <x v="49"/>
    <n v="8.99"/>
    <n v="1"/>
    <s v="www"/>
    <d v="2014-08-27T04:45:27"/>
    <d v="2014-08-27T00:00:00"/>
    <x v="7"/>
    <n v="8.99"/>
  </r>
  <r>
    <s v="0 Original"/>
    <s v="(1617)"/>
    <n v="1617"/>
    <s v="2014-08-27 Serina Booker(466)"/>
    <x v="34"/>
    <n v="8.99"/>
    <n v="1"/>
    <s v="www"/>
    <d v="2014-08-27T04:45:27"/>
    <d v="2014-08-27T00:00:00"/>
    <x v="7"/>
    <n v="8.99"/>
  </r>
  <r>
    <s v="0 Original"/>
    <s v="(1618)"/>
    <n v="1618"/>
    <s v="2014-08-27 Serina Booker(466)"/>
    <x v="26"/>
    <n v="6.99"/>
    <n v="2"/>
    <s v="www"/>
    <d v="2014-08-27T04:45:27"/>
    <d v="2014-08-27T00:00:00"/>
    <x v="7"/>
    <n v="13.98"/>
  </r>
  <r>
    <s v="0 Original"/>
    <s v="(1619)"/>
    <n v="1619"/>
    <s v="2014-08-27 Serina Booker(466)"/>
    <x v="58"/>
    <n v="4.99"/>
    <n v="1"/>
    <s v="www"/>
    <d v="2014-08-27T04:45:27"/>
    <d v="2014-08-27T00:00:00"/>
    <x v="7"/>
    <n v="4.99"/>
  </r>
  <r>
    <s v="0 Original"/>
    <s v="(1620)"/>
    <n v="1620"/>
    <s v="2014-08-27 Serina Booker(466)"/>
    <x v="86"/>
    <n v="9.99"/>
    <n v="1"/>
    <s v="www"/>
    <d v="2014-08-27T04:45:27"/>
    <d v="2014-08-27T00:00:00"/>
    <x v="7"/>
    <n v="9.99"/>
  </r>
  <r>
    <s v="0 Original"/>
    <s v="(1621)"/>
    <n v="1621"/>
    <s v="2014-08-27 Serina Booker(466)"/>
    <x v="26"/>
    <n v="6.99"/>
    <n v="1"/>
    <s v="www"/>
    <d v="2014-08-27T04:45:27"/>
    <d v="2014-08-27T00:00:00"/>
    <x v="7"/>
    <n v="6.99"/>
  </r>
  <r>
    <s v="0 Original"/>
    <s v="(1916)"/>
    <n v="1916"/>
    <s v="2014-08-27 Jonah Griffin(560)"/>
    <x v="11"/>
    <n v="8.99"/>
    <n v="1"/>
    <s v="www"/>
    <d v="2014-08-27T12:13:37"/>
    <d v="2014-08-27T00:00:00"/>
    <x v="7"/>
    <n v="8.99"/>
  </r>
  <r>
    <s v="0 Original"/>
    <s v="(1917)"/>
    <n v="1917"/>
    <s v="2014-08-27 Jonah Griffin(560)"/>
    <x v="25"/>
    <n v="9.99"/>
    <n v="1"/>
    <s v="www"/>
    <d v="2014-08-27T12:13:37"/>
    <d v="2014-08-27T00:00:00"/>
    <x v="7"/>
    <n v="9.99"/>
  </r>
  <r>
    <s v="0 Original"/>
    <s v="(1918)"/>
    <n v="1918"/>
    <s v="2014-08-27 Jonah Griffin(560)"/>
    <x v="28"/>
    <n v="5.99"/>
    <n v="1"/>
    <s v="www"/>
    <d v="2014-08-27T12:13:37"/>
    <d v="2014-08-27T00:00:00"/>
    <x v="7"/>
    <n v="5.99"/>
  </r>
  <r>
    <s v="0 Original"/>
    <s v="(1919)"/>
    <n v="1919"/>
    <s v="2014-08-27 Jonah Griffin(560)"/>
    <x v="27"/>
    <n v="9.99"/>
    <n v="1"/>
    <s v="www"/>
    <d v="2014-08-27T12:13:37"/>
    <d v="2014-08-27T00:00:00"/>
    <x v="7"/>
    <n v="9.99"/>
  </r>
  <r>
    <s v="0 Original"/>
    <s v="(2854)"/>
    <n v="2854"/>
    <s v="2014-08-28 Nayda Shields(860)"/>
    <x v="16"/>
    <n v="6.99"/>
    <n v="1"/>
    <s v="www"/>
    <d v="2014-08-28T10:51:35"/>
    <d v="2014-08-28T00:00:00"/>
    <x v="7"/>
    <n v="6.99"/>
  </r>
  <r>
    <s v="0 Original"/>
    <s v="(2855)"/>
    <n v="2855"/>
    <s v="2014-08-28 Nayda Shields(860)"/>
    <x v="30"/>
    <n v="6.99"/>
    <n v="2"/>
    <s v="www"/>
    <d v="2014-08-28T10:51:35"/>
    <d v="2014-08-28T00:00:00"/>
    <x v="7"/>
    <n v="13.98"/>
  </r>
  <r>
    <s v="0 Original"/>
    <s v="(2856)"/>
    <n v="2856"/>
    <s v="2014-08-28 Nayda Shields(860)"/>
    <x v="24"/>
    <n v="7.99"/>
    <n v="2"/>
    <s v="www"/>
    <d v="2014-08-28T10:51:35"/>
    <d v="2014-08-28T00:00:00"/>
    <x v="7"/>
    <n v="15.98"/>
  </r>
  <r>
    <s v="0 Original"/>
    <s v="(2857)"/>
    <n v="2857"/>
    <s v="2014-08-28 Nayda Shields(860)"/>
    <x v="9"/>
    <n v="7.99"/>
    <n v="2"/>
    <s v="www"/>
    <d v="2014-08-28T10:51:35"/>
    <d v="2014-08-28T00:00:00"/>
    <x v="7"/>
    <n v="15.98"/>
  </r>
  <r>
    <s v="0 Original"/>
    <s v="(3812)"/>
    <n v="3812"/>
    <s v="2014-08-28 Christine Medina(1157)"/>
    <x v="8"/>
    <n v="4.99"/>
    <n v="1"/>
    <s v="www"/>
    <d v="2014-08-28T18:04:11"/>
    <d v="2014-08-28T00:00:00"/>
    <x v="7"/>
    <n v="4.99"/>
  </r>
  <r>
    <s v="0 Original"/>
    <s v="(3813)"/>
    <n v="3813"/>
    <s v="2014-08-28 Christine Medina(1157)"/>
    <x v="8"/>
    <n v="4.99"/>
    <n v="1"/>
    <s v="www"/>
    <d v="2014-08-28T18:04:11"/>
    <d v="2014-08-28T00:00:00"/>
    <x v="7"/>
    <n v="4.99"/>
  </r>
  <r>
    <s v="0 Original"/>
    <s v="(3814)"/>
    <n v="3814"/>
    <s v="2014-08-28 Christine Medina(1157)"/>
    <x v="8"/>
    <n v="4.99"/>
    <n v="1"/>
    <s v="www"/>
    <d v="2014-08-28T18:04:11"/>
    <d v="2014-08-28T00:00:00"/>
    <x v="7"/>
    <n v="4.99"/>
  </r>
  <r>
    <s v="0 Original"/>
    <s v="(3815)"/>
    <n v="3815"/>
    <s v="2014-08-28 Christine Medina(1157)"/>
    <x v="7"/>
    <n v="9.99"/>
    <n v="2"/>
    <s v="www"/>
    <d v="2014-08-28T18:04:11"/>
    <d v="2014-08-28T00:00:00"/>
    <x v="7"/>
    <n v="19.98"/>
  </r>
  <r>
    <s v="0 Original"/>
    <s v="(2532)"/>
    <n v="2532"/>
    <s v="2014-08-29 Bernard Cash(761)"/>
    <x v="8"/>
    <n v="4.99"/>
    <n v="1"/>
    <s v="www"/>
    <d v="2014-08-29T11:07:39"/>
    <d v="2014-08-29T00:00:00"/>
    <x v="7"/>
    <n v="4.99"/>
  </r>
  <r>
    <s v="0 Original"/>
    <s v="(2533)"/>
    <n v="2533"/>
    <s v="2014-08-29 Bernard Cash(761)"/>
    <x v="16"/>
    <n v="6.99"/>
    <n v="1"/>
    <s v="www"/>
    <d v="2014-08-29T11:07:39"/>
    <d v="2014-08-29T00:00:00"/>
    <x v="7"/>
    <n v="6.99"/>
  </r>
  <r>
    <s v="0 Original"/>
    <s v="(2534)"/>
    <n v="2534"/>
    <s v="2014-08-29 Bernard Cash(761)"/>
    <x v="9"/>
    <n v="7.99"/>
    <n v="2"/>
    <s v="www"/>
    <d v="2014-08-29T11:07:39"/>
    <d v="2014-08-29T00:00:00"/>
    <x v="7"/>
    <n v="15.98"/>
  </r>
  <r>
    <s v="0 Original"/>
    <s v="(2535)"/>
    <n v="2535"/>
    <s v="2014-08-29 Bernard Cash(761)"/>
    <x v="8"/>
    <n v="4.99"/>
    <n v="1"/>
    <s v="www"/>
    <d v="2014-08-29T11:07:39"/>
    <d v="2014-08-29T00:00:00"/>
    <x v="7"/>
    <n v="4.99"/>
  </r>
  <r>
    <s v="0 Original"/>
    <s v="(2536)"/>
    <n v="2536"/>
    <s v="2014-08-29 Bernard Cash(761)"/>
    <x v="23"/>
    <n v="9.99"/>
    <n v="1"/>
    <s v="www"/>
    <d v="2014-08-29T11:07:39"/>
    <d v="2014-08-29T00:00:00"/>
    <x v="7"/>
    <n v="9.99"/>
  </r>
  <r>
    <s v="0 Original"/>
    <s v="(791)"/>
    <n v="791"/>
    <s v="2014-08-29 Zane Parrish(223)"/>
    <x v="15"/>
    <n v="8.99"/>
    <n v="1"/>
    <s v="www"/>
    <d v="2014-08-29T19:18:19"/>
    <d v="2014-08-29T00:00:00"/>
    <x v="7"/>
    <n v="8.99"/>
  </r>
  <r>
    <s v="0 Original"/>
    <s v="(792)"/>
    <n v="792"/>
    <s v="2014-08-29 Zane Parrish(223)"/>
    <x v="5"/>
    <n v="9.99"/>
    <n v="1"/>
    <s v="www"/>
    <d v="2014-08-29T19:18:19"/>
    <d v="2014-08-29T00:00:00"/>
    <x v="7"/>
    <n v="9.99"/>
  </r>
  <r>
    <s v="0 Original"/>
    <s v="(3019)"/>
    <n v="3019"/>
    <s v="2014-08-30 Prescott Nelson(908)"/>
    <x v="25"/>
    <n v="9.99"/>
    <n v="1"/>
    <s v="www"/>
    <d v="2014-08-30T01:29:21"/>
    <d v="2014-08-30T00:00:00"/>
    <x v="7"/>
    <n v="9.99"/>
  </r>
  <r>
    <s v="0 Original"/>
    <s v="(3020)"/>
    <n v="3020"/>
    <s v="2014-08-30 Prescott Nelson(908)"/>
    <x v="23"/>
    <n v="9.99"/>
    <n v="1"/>
    <s v="www"/>
    <d v="2014-08-30T01:29:21"/>
    <d v="2014-08-30T00:00:00"/>
    <x v="7"/>
    <n v="9.99"/>
  </r>
  <r>
    <s v="0 Original"/>
    <s v="(2642)"/>
    <n v="2642"/>
    <s v="2014-08-30 Ora Mann(799)"/>
    <x v="9"/>
    <n v="7.99"/>
    <n v="1"/>
    <s v="www"/>
    <d v="2014-08-30T01:43:00"/>
    <d v="2014-08-30T00:00:00"/>
    <x v="7"/>
    <n v="7.99"/>
  </r>
  <r>
    <s v="0 Original"/>
    <s v="(2643)"/>
    <n v="2643"/>
    <s v="2014-08-30 Ora Mann(799)"/>
    <x v="23"/>
    <n v="9.99"/>
    <n v="2"/>
    <s v="www"/>
    <d v="2014-08-30T01:43:00"/>
    <d v="2014-08-30T00:00:00"/>
    <x v="7"/>
    <n v="19.98"/>
  </r>
  <r>
    <s v="0 Original"/>
    <s v="(2644)"/>
    <n v="2644"/>
    <s v="2014-08-30 Ora Mann(799)"/>
    <x v="8"/>
    <n v="4.99"/>
    <n v="1"/>
    <s v="www"/>
    <d v="2014-08-30T01:43:00"/>
    <d v="2014-08-30T00:00:00"/>
    <x v="7"/>
    <n v="4.99"/>
  </r>
  <r>
    <s v="0 Original"/>
    <s v="(3406)"/>
    <n v="3406"/>
    <s v="2014-08-30 Nayda Shields(1028)"/>
    <x v="9"/>
    <n v="7.99"/>
    <n v="1"/>
    <s v="www"/>
    <d v="2014-08-30T13:52:30"/>
    <d v="2014-08-30T00:00:00"/>
    <x v="7"/>
    <n v="7.99"/>
  </r>
  <r>
    <s v="0 Original"/>
    <s v="(3407)"/>
    <n v="3407"/>
    <s v="2014-08-30 Nayda Shields(1028)"/>
    <x v="25"/>
    <n v="9.99"/>
    <n v="2"/>
    <s v="www"/>
    <d v="2014-08-30T13:52:30"/>
    <d v="2014-08-30T00:00:00"/>
    <x v="7"/>
    <n v="19.98"/>
  </r>
  <r>
    <s v="0 Original"/>
    <s v="(3673)"/>
    <n v="3673"/>
    <s v="2014-08-31 Christine Medina(1112)"/>
    <x v="6"/>
    <n v="5.99"/>
    <n v="1"/>
    <s v="www"/>
    <d v="2014-08-31T03:39:04"/>
    <d v="2014-08-31T00:00:00"/>
    <x v="7"/>
    <n v="5.99"/>
  </r>
  <r>
    <s v="0 Original"/>
    <s v="(3674)"/>
    <n v="3674"/>
    <s v="2014-08-31 Christine Medina(1112)"/>
    <x v="24"/>
    <n v="7.99"/>
    <n v="1"/>
    <s v="www"/>
    <d v="2014-08-31T03:39:04"/>
    <d v="2014-08-31T00:00:00"/>
    <x v="7"/>
    <n v="7.99"/>
  </r>
  <r>
    <s v="0 Original"/>
    <s v="(3675)"/>
    <n v="3675"/>
    <s v="2014-08-31 Christine Medina(1112)"/>
    <x v="6"/>
    <n v="5.99"/>
    <n v="1"/>
    <s v="www"/>
    <d v="2014-08-31T03:39:04"/>
    <d v="2014-08-31T00:00:00"/>
    <x v="7"/>
    <n v="5.99"/>
  </r>
  <r>
    <s v="0 Original"/>
    <s v="(2942)"/>
    <n v="2942"/>
    <s v="2014-08-31 Bernard Cash(885)"/>
    <x v="25"/>
    <n v="9.99"/>
    <n v="1"/>
    <s v="www"/>
    <d v="2014-08-31T05:08:28"/>
    <d v="2014-08-31T00:00:00"/>
    <x v="7"/>
    <n v="9.99"/>
  </r>
  <r>
    <s v="0 Original"/>
    <s v="(170)"/>
    <n v="170"/>
    <s v="2014-08-31 Mariam Juarez(47)"/>
    <x v="124"/>
    <n v="6.99"/>
    <n v="1"/>
    <s v="www"/>
    <d v="2014-08-31T05:25:31"/>
    <d v="2014-08-31T00:00:00"/>
    <x v="7"/>
    <n v="6.99"/>
  </r>
  <r>
    <s v="0 Original"/>
    <s v="(171)"/>
    <n v="171"/>
    <s v="2014-08-31 Mariam Juarez(47)"/>
    <x v="118"/>
    <n v="5.99"/>
    <n v="1"/>
    <s v="www"/>
    <d v="2014-08-31T05:25:31"/>
    <d v="2014-08-31T00:00:00"/>
    <x v="7"/>
    <n v="5.99"/>
  </r>
  <r>
    <s v="0 Original"/>
    <s v="(172)"/>
    <n v="172"/>
    <s v="2014-08-31 Mariam Juarez(47)"/>
    <x v="80"/>
    <n v="4.99"/>
    <n v="2"/>
    <s v="www"/>
    <d v="2014-08-31T05:25:31"/>
    <d v="2014-08-31T00:00:00"/>
    <x v="7"/>
    <n v="9.98"/>
  </r>
  <r>
    <s v="0 Original"/>
    <s v="(173)"/>
    <n v="173"/>
    <s v="2014-08-31 Mariam Juarez(47)"/>
    <x v="136"/>
    <n v="7.99"/>
    <n v="2"/>
    <s v="www"/>
    <d v="2014-08-31T05:25:31"/>
    <d v="2014-08-31T00:00:00"/>
    <x v="7"/>
    <n v="15.98"/>
  </r>
  <r>
    <s v="0 Original"/>
    <s v="(174)"/>
    <n v="174"/>
    <s v="2014-08-31 Mariam Juarez(47)"/>
    <x v="35"/>
    <n v="9.99"/>
    <n v="1"/>
    <s v="www"/>
    <d v="2014-08-31T05:25:31"/>
    <d v="2014-08-31T00:00:00"/>
    <x v="7"/>
    <n v="9.99"/>
  </r>
  <r>
    <s v="0 Original"/>
    <s v="(1093)"/>
    <n v="1093"/>
    <s v="2014-08-31 Iona Simpson(313)"/>
    <x v="38"/>
    <n v="6.99"/>
    <n v="2"/>
    <s v="www"/>
    <d v="2014-08-31T12:17:09"/>
    <d v="2014-08-31T00:00:00"/>
    <x v="7"/>
    <n v="13.98"/>
  </r>
  <r>
    <s v="0 Original"/>
    <s v="(1094)"/>
    <n v="1094"/>
    <s v="2014-08-31 Iona Simpson(313)"/>
    <x v="91"/>
    <n v="9.99"/>
    <n v="2"/>
    <s v="www"/>
    <d v="2014-08-31T12:17:09"/>
    <d v="2014-08-31T00:00:00"/>
    <x v="7"/>
    <n v="19.98"/>
  </r>
  <r>
    <s v="0 Original"/>
    <s v="(1730)"/>
    <n v="1730"/>
    <s v="2014-08-31 Lois Valdez(508)"/>
    <x v="46"/>
    <n v="5.99"/>
    <n v="1"/>
    <s v="www"/>
    <d v="2014-08-31T20:24:40"/>
    <d v="2014-08-31T00:00:00"/>
    <x v="7"/>
    <n v="5.99"/>
  </r>
  <r>
    <s v="0 Original"/>
    <s v="(156)"/>
    <n v="156"/>
    <s v="2014-09-01 Mohammad Carrillo(44)"/>
    <x v="148"/>
    <n v="7.99"/>
    <n v="2"/>
    <s v="www"/>
    <d v="2014-09-01T03:42:29"/>
    <d v="2014-09-01T00:00:00"/>
    <x v="8"/>
    <n v="15.98"/>
  </r>
  <r>
    <s v="0 Original"/>
    <s v="(157)"/>
    <n v="157"/>
    <s v="2014-09-01 Mohammad Carrillo(44)"/>
    <x v="69"/>
    <n v="4.99"/>
    <n v="2"/>
    <s v="www"/>
    <d v="2014-09-01T03:42:29"/>
    <d v="2014-09-01T00:00:00"/>
    <x v="8"/>
    <n v="9.98"/>
  </r>
  <r>
    <s v="0 Original"/>
    <s v="(158)"/>
    <n v="158"/>
    <s v="2014-09-01 Mohammad Carrillo(44)"/>
    <x v="17"/>
    <n v="9.99"/>
    <n v="2"/>
    <s v="www"/>
    <d v="2014-09-01T03:42:29"/>
    <d v="2014-09-01T00:00:00"/>
    <x v="8"/>
    <n v="19.98"/>
  </r>
  <r>
    <s v="0 Original"/>
    <s v="(159)"/>
    <n v="159"/>
    <s v="2014-09-01 Mohammad Carrillo(44)"/>
    <x v="12"/>
    <n v="8.99"/>
    <n v="2"/>
    <s v="www"/>
    <d v="2014-09-01T03:42:29"/>
    <d v="2014-09-01T00:00:00"/>
    <x v="8"/>
    <n v="17.98"/>
  </r>
  <r>
    <s v="0 Original"/>
    <s v="(2084)"/>
    <n v="2084"/>
    <s v="2014-09-01 Claudia Crane(615)"/>
    <x v="107"/>
    <n v="8.99"/>
    <n v="1"/>
    <s v="www"/>
    <d v="2014-09-01T13:16:07"/>
    <d v="2014-09-01T00:00:00"/>
    <x v="8"/>
    <n v="8.99"/>
  </r>
  <r>
    <s v="0 Original"/>
    <s v="(2085)"/>
    <n v="2085"/>
    <s v="2014-09-01 Claudia Crane(615)"/>
    <x v="9"/>
    <n v="7.99"/>
    <n v="1"/>
    <s v="www"/>
    <d v="2014-09-01T13:16:07"/>
    <d v="2014-09-01T00:00:00"/>
    <x v="8"/>
    <n v="7.99"/>
  </r>
  <r>
    <s v="0 Original"/>
    <s v="(2086)"/>
    <n v="2086"/>
    <s v="2014-09-01 Claudia Crane(615)"/>
    <x v="1"/>
    <n v="7.99"/>
    <n v="1"/>
    <s v="www"/>
    <d v="2014-09-01T13:16:07"/>
    <d v="2014-09-01T00:00:00"/>
    <x v="8"/>
    <n v="7.99"/>
  </r>
  <r>
    <s v="0 Original"/>
    <s v="(2087)"/>
    <n v="2087"/>
    <s v="2014-09-01 Claudia Crane(615)"/>
    <x v="37"/>
    <n v="8.99"/>
    <n v="2"/>
    <s v="www"/>
    <d v="2014-09-01T13:16:07"/>
    <d v="2014-09-01T00:00:00"/>
    <x v="8"/>
    <n v="17.98"/>
  </r>
  <r>
    <s v="0 Original"/>
    <s v="(2088)"/>
    <n v="2088"/>
    <s v="2014-09-01 Claudia Crane(615)"/>
    <x v="16"/>
    <n v="6.99"/>
    <n v="1"/>
    <s v="www"/>
    <d v="2014-09-01T13:16:07"/>
    <d v="2014-09-01T00:00:00"/>
    <x v="8"/>
    <n v="6.99"/>
  </r>
  <r>
    <s v="0 Original"/>
    <s v="(2751)"/>
    <n v="2751"/>
    <s v="2014-09-01 Belle Short(829)"/>
    <x v="16"/>
    <n v="6.99"/>
    <n v="2"/>
    <s v="www"/>
    <d v="2014-09-01T18:39:13"/>
    <d v="2014-09-01T00:00:00"/>
    <x v="8"/>
    <n v="13.98"/>
  </r>
  <r>
    <s v="0 Original"/>
    <s v="(2752)"/>
    <n v="2752"/>
    <s v="2014-09-01 Belle Short(829)"/>
    <x v="23"/>
    <n v="9.99"/>
    <n v="2"/>
    <s v="www"/>
    <d v="2014-09-01T18:39:13"/>
    <d v="2014-09-01T00:00:00"/>
    <x v="8"/>
    <n v="19.98"/>
  </r>
  <r>
    <s v="0 Original"/>
    <s v="(2753)"/>
    <n v="2753"/>
    <s v="2014-09-01 Belle Short(829)"/>
    <x v="23"/>
    <n v="9.99"/>
    <n v="1"/>
    <s v="www"/>
    <d v="2014-09-01T18:39:13"/>
    <d v="2014-09-01T00:00:00"/>
    <x v="8"/>
    <n v="9.99"/>
  </r>
  <r>
    <s v="0 Original"/>
    <s v="(567)"/>
    <n v="567"/>
    <s v="2014-09-02 Stuart Vega(160)"/>
    <x v="112"/>
    <n v="8.99"/>
    <n v="1"/>
    <s v="www"/>
    <d v="2014-09-02T02:37:15"/>
    <d v="2014-09-02T00:00:00"/>
    <x v="8"/>
    <n v="8.99"/>
  </r>
  <r>
    <s v="0 Original"/>
    <s v="(568)"/>
    <n v="568"/>
    <s v="2014-09-02 Stuart Vega(160)"/>
    <x v="9"/>
    <n v="7.99"/>
    <n v="2"/>
    <s v="www"/>
    <d v="2014-09-02T02:37:15"/>
    <d v="2014-09-02T00:00:00"/>
    <x v="8"/>
    <n v="15.98"/>
  </r>
  <r>
    <s v="0 Original"/>
    <s v="(2904)"/>
    <n v="2904"/>
    <s v="2014-09-02 Ora Mann(876)"/>
    <x v="24"/>
    <n v="7.99"/>
    <n v="1"/>
    <s v="www"/>
    <d v="2014-09-02T05:53:24"/>
    <d v="2014-09-02T00:00:00"/>
    <x v="8"/>
    <n v="7.99"/>
  </r>
  <r>
    <s v="0 Original"/>
    <s v="(340)"/>
    <n v="340"/>
    <s v="2014-09-03 Adrienne Sandoval(92)"/>
    <x v="141"/>
    <n v="5.99"/>
    <n v="1"/>
    <s v="www"/>
    <d v="2014-09-03T11:00:32"/>
    <d v="2014-09-03T00:00:00"/>
    <x v="8"/>
    <n v="5.99"/>
  </r>
  <r>
    <s v="0 Original"/>
    <s v="(823)"/>
    <n v="823"/>
    <s v="2014-09-04 Nayda Shields(234)"/>
    <x v="14"/>
    <n v="7.99"/>
    <n v="1"/>
    <s v="www"/>
    <d v="2014-09-04T11:21:23"/>
    <d v="2014-09-04T00:00:00"/>
    <x v="8"/>
    <n v="7.99"/>
  </r>
  <r>
    <s v="0 Original"/>
    <s v="(824)"/>
    <n v="824"/>
    <s v="2014-09-04 Nayda Shields(234)"/>
    <x v="22"/>
    <n v="6.99"/>
    <n v="1"/>
    <s v="www"/>
    <d v="2014-09-04T11:21:23"/>
    <d v="2014-09-04T00:00:00"/>
    <x v="8"/>
    <n v="6.99"/>
  </r>
  <r>
    <s v="0 Original"/>
    <s v="(825)"/>
    <n v="825"/>
    <s v="2014-09-04 Nayda Shields(234)"/>
    <x v="36"/>
    <n v="6.99"/>
    <n v="1"/>
    <s v="www"/>
    <d v="2014-09-04T11:21:23"/>
    <d v="2014-09-04T00:00:00"/>
    <x v="8"/>
    <n v="6.99"/>
  </r>
  <r>
    <s v="0 Original"/>
    <s v="(826)"/>
    <n v="826"/>
    <s v="2014-09-04 Nayda Shields(234)"/>
    <x v="26"/>
    <n v="6.99"/>
    <n v="2"/>
    <s v="www"/>
    <d v="2014-09-04T11:21:23"/>
    <d v="2014-09-04T00:00:00"/>
    <x v="8"/>
    <n v="13.98"/>
  </r>
  <r>
    <s v="0 Original"/>
    <s v="(827)"/>
    <n v="827"/>
    <s v="2014-09-04 Nayda Shields(234)"/>
    <x v="42"/>
    <n v="5.99"/>
    <n v="2"/>
    <s v="www"/>
    <d v="2014-09-04T11:21:23"/>
    <d v="2014-09-04T00:00:00"/>
    <x v="8"/>
    <n v="11.98"/>
  </r>
  <r>
    <s v="0 Original"/>
    <s v="(2238)"/>
    <n v="2238"/>
    <s v="2014-09-04 Morgan Hoffman(659)"/>
    <x v="34"/>
    <n v="8.99"/>
    <n v="2"/>
    <s v="www"/>
    <d v="2014-09-04T12:09:31"/>
    <d v="2014-09-04T00:00:00"/>
    <x v="8"/>
    <n v="17.98"/>
  </r>
  <r>
    <s v="0 Original"/>
    <s v="(2239)"/>
    <n v="2239"/>
    <s v="2014-09-04 Morgan Hoffman(659)"/>
    <x v="3"/>
    <n v="7.99"/>
    <n v="1"/>
    <s v="www"/>
    <d v="2014-09-04T12:09:31"/>
    <d v="2014-09-04T00:00:00"/>
    <x v="8"/>
    <n v="7.99"/>
  </r>
  <r>
    <s v="0 Original"/>
    <s v="(3096)"/>
    <n v="3096"/>
    <s v="2014-09-04 Madeline Reynolds(930)"/>
    <x v="9"/>
    <n v="7.99"/>
    <n v="2"/>
    <s v="www"/>
    <d v="2014-09-04T14:37:17"/>
    <d v="2014-09-04T00:00:00"/>
    <x v="8"/>
    <n v="15.98"/>
  </r>
  <r>
    <s v="0 Original"/>
    <s v="(1092)"/>
    <n v="1092"/>
    <s v="2014-09-04 Ora Mann(312)"/>
    <x v="44"/>
    <n v="9.99"/>
    <n v="1"/>
    <s v="www"/>
    <d v="2014-09-04T19:35:42"/>
    <d v="2014-09-04T00:00:00"/>
    <x v="8"/>
    <n v="9.99"/>
  </r>
  <r>
    <s v="0 Original"/>
    <s v="(201)"/>
    <n v="201"/>
    <s v="2014-09-05 Zorita Rutledge(54)"/>
    <x v="104"/>
    <n v="4.99"/>
    <n v="2"/>
    <s v="www"/>
    <d v="2014-09-05T22:49:11"/>
    <d v="2014-09-05T00:00:00"/>
    <x v="8"/>
    <n v="9.98"/>
  </r>
  <r>
    <s v="0 Original"/>
    <s v="(202)"/>
    <n v="202"/>
    <s v="2014-09-05 Zorita Rutledge(54)"/>
    <x v="149"/>
    <n v="5.99"/>
    <n v="2"/>
    <s v="www"/>
    <d v="2014-09-05T22:49:11"/>
    <d v="2014-09-05T00:00:00"/>
    <x v="8"/>
    <n v="11.98"/>
  </r>
  <r>
    <s v="0 Original"/>
    <s v="(2163)"/>
    <n v="2163"/>
    <s v="2014-09-06 Zane Parrish(637)"/>
    <x v="10"/>
    <n v="8.99"/>
    <n v="1"/>
    <s v="www"/>
    <d v="2014-09-06T06:19:43"/>
    <d v="2014-09-06T00:00:00"/>
    <x v="8"/>
    <n v="8.99"/>
  </r>
  <r>
    <s v="0 Original"/>
    <s v="(2164)"/>
    <n v="2164"/>
    <s v="2014-09-06 Zane Parrish(637)"/>
    <x v="17"/>
    <n v="9.99"/>
    <n v="1"/>
    <s v="www"/>
    <d v="2014-09-06T06:19:43"/>
    <d v="2014-09-06T00:00:00"/>
    <x v="8"/>
    <n v="9.99"/>
  </r>
  <r>
    <s v="0 Original"/>
    <s v="(2165)"/>
    <n v="2165"/>
    <s v="2014-09-06 Zane Parrish(637)"/>
    <x v="3"/>
    <n v="7.99"/>
    <n v="1"/>
    <s v="www"/>
    <d v="2014-09-06T06:19:43"/>
    <d v="2014-09-06T00:00:00"/>
    <x v="8"/>
    <n v="7.99"/>
  </r>
  <r>
    <s v="0 Original"/>
    <s v="(2166)"/>
    <n v="2166"/>
    <s v="2014-09-06 Zane Parrish(637)"/>
    <x v="46"/>
    <n v="5.99"/>
    <n v="2"/>
    <s v="www"/>
    <d v="2014-09-06T06:19:43"/>
    <d v="2014-09-06T00:00:00"/>
    <x v="8"/>
    <n v="11.98"/>
  </r>
  <r>
    <s v="0 Original"/>
    <s v="(2167)"/>
    <n v="2167"/>
    <s v="2014-09-06 Zane Parrish(637)"/>
    <x v="66"/>
    <n v="9.99"/>
    <n v="1"/>
    <s v="www"/>
    <d v="2014-09-06T06:19:43"/>
    <d v="2014-09-06T00:00:00"/>
    <x v="8"/>
    <n v="9.99"/>
  </r>
  <r>
    <s v="0 Original"/>
    <s v="(810)"/>
    <n v="810"/>
    <s v="2014-09-06 Adrian Dodson(229)"/>
    <x v="45"/>
    <n v="6.99"/>
    <n v="1"/>
    <s v="www"/>
    <d v="2014-09-06T19:02:24"/>
    <d v="2014-09-06T00:00:00"/>
    <x v="8"/>
    <n v="6.99"/>
  </r>
  <r>
    <s v="0 Original"/>
    <s v="(811)"/>
    <n v="811"/>
    <s v="2014-09-06 Adrian Dodson(229)"/>
    <x v="25"/>
    <n v="9.99"/>
    <n v="1"/>
    <s v="www"/>
    <d v="2014-09-06T19:02:24"/>
    <d v="2014-09-06T00:00:00"/>
    <x v="8"/>
    <n v="9.99"/>
  </r>
  <r>
    <s v="0 Original"/>
    <s v="(812)"/>
    <n v="812"/>
    <s v="2014-09-06 Adrian Dodson(229)"/>
    <x v="2"/>
    <n v="7.99"/>
    <n v="1"/>
    <s v="www"/>
    <d v="2014-09-06T19:02:24"/>
    <d v="2014-09-06T00:00:00"/>
    <x v="8"/>
    <n v="7.99"/>
  </r>
  <r>
    <s v="0 Original"/>
    <s v="(381)"/>
    <n v="381"/>
    <s v="2014-09-07 Donna Molina(105)"/>
    <x v="115"/>
    <n v="8.99"/>
    <n v="1"/>
    <s v="www"/>
    <d v="2014-09-07T13:01:00"/>
    <d v="2014-09-07T00:00:00"/>
    <x v="8"/>
    <n v="8.99"/>
  </r>
  <r>
    <s v="0 Original"/>
    <s v="(382)"/>
    <n v="382"/>
    <s v="2014-09-07 Donna Molina(105)"/>
    <x v="97"/>
    <n v="4.99"/>
    <n v="2"/>
    <s v="www"/>
    <d v="2014-09-07T13:01:00"/>
    <d v="2014-09-07T00:00:00"/>
    <x v="8"/>
    <n v="9.98"/>
  </r>
  <r>
    <s v="0 Original"/>
    <s v="(383)"/>
    <n v="383"/>
    <s v="2014-09-07 Donna Molina(105)"/>
    <x v="33"/>
    <n v="4.99"/>
    <n v="2"/>
    <s v="www"/>
    <d v="2014-09-07T13:01:00"/>
    <d v="2014-09-07T00:00:00"/>
    <x v="8"/>
    <n v="9.98"/>
  </r>
  <r>
    <s v="0 Original"/>
    <s v="(384)"/>
    <n v="384"/>
    <s v="2014-09-07 Donna Molina(105)"/>
    <x v="104"/>
    <n v="4.99"/>
    <n v="1"/>
    <s v="www"/>
    <d v="2014-09-07T13:01:00"/>
    <d v="2014-09-07T00:00:00"/>
    <x v="8"/>
    <n v="4.99"/>
  </r>
  <r>
    <s v="0 Original"/>
    <s v="(2310)"/>
    <n v="2310"/>
    <s v="2014-09-07 Stacey Kirk(684)"/>
    <x v="36"/>
    <n v="6.99"/>
    <n v="2"/>
    <s v="www"/>
    <d v="2014-09-07T19:59:54"/>
    <d v="2014-09-07T00:00:00"/>
    <x v="8"/>
    <n v="13.98"/>
  </r>
  <r>
    <s v="0 Original"/>
    <s v="(2311)"/>
    <n v="2311"/>
    <s v="2014-09-07 Stacey Kirk(684)"/>
    <x v="28"/>
    <n v="5.99"/>
    <n v="1"/>
    <s v="www"/>
    <d v="2014-09-07T19:59:54"/>
    <d v="2014-09-07T00:00:00"/>
    <x v="8"/>
    <n v="5.99"/>
  </r>
  <r>
    <s v="0 Original"/>
    <s v="(1126)"/>
    <n v="1126"/>
    <s v="2014-09-08 Ferris Erickson(327)"/>
    <x v="4"/>
    <n v="6.99"/>
    <n v="1"/>
    <s v="www"/>
    <d v="2014-09-08T05:49:26"/>
    <d v="2014-09-08T00:00:00"/>
    <x v="8"/>
    <n v="6.99"/>
  </r>
  <r>
    <s v="0 Original"/>
    <s v="(1127)"/>
    <n v="1127"/>
    <s v="2014-09-08 Ferris Erickson(327)"/>
    <x v="91"/>
    <n v="9.99"/>
    <n v="1"/>
    <s v="www"/>
    <d v="2014-09-08T05:49:26"/>
    <d v="2014-09-08T00:00:00"/>
    <x v="8"/>
    <n v="9.99"/>
  </r>
  <r>
    <s v="0 Original"/>
    <s v="(1128)"/>
    <n v="1128"/>
    <s v="2014-09-08 Ferris Erickson(327)"/>
    <x v="2"/>
    <n v="7.99"/>
    <n v="1"/>
    <s v="www"/>
    <d v="2014-09-08T05:49:26"/>
    <d v="2014-09-08T00:00:00"/>
    <x v="8"/>
    <n v="7.99"/>
  </r>
  <r>
    <s v="0 Original"/>
    <s v="(1154)"/>
    <n v="1154"/>
    <s v="2014-09-08 Benedict Todd(337)"/>
    <x v="58"/>
    <n v="4.99"/>
    <n v="2"/>
    <s v="www"/>
    <d v="2014-09-08T08:07:57"/>
    <d v="2014-09-08T00:00:00"/>
    <x v="8"/>
    <n v="9.98"/>
  </r>
  <r>
    <s v="0 Original"/>
    <s v="(1155)"/>
    <n v="1155"/>
    <s v="2014-09-08 Benedict Todd(337)"/>
    <x v="9"/>
    <n v="7.99"/>
    <n v="1"/>
    <s v="www"/>
    <d v="2014-09-08T08:07:57"/>
    <d v="2014-09-08T00:00:00"/>
    <x v="8"/>
    <n v="7.99"/>
  </r>
  <r>
    <s v="0 Original"/>
    <s v="(1156)"/>
    <n v="1156"/>
    <s v="2014-09-08 Benedict Todd(337)"/>
    <x v="21"/>
    <n v="4.99"/>
    <n v="1"/>
    <s v="www"/>
    <d v="2014-09-08T08:07:57"/>
    <d v="2014-09-08T00:00:00"/>
    <x v="8"/>
    <n v="4.99"/>
  </r>
  <r>
    <s v="0 Original"/>
    <s v="(1485)"/>
    <n v="1485"/>
    <s v="2014-09-09 Stacey Kirk(428)"/>
    <x v="57"/>
    <n v="4.99"/>
    <n v="1"/>
    <s v="www"/>
    <d v="2014-09-09T03:49:01"/>
    <d v="2014-09-09T00:00:00"/>
    <x v="8"/>
    <n v="4.99"/>
  </r>
  <r>
    <s v="0 Original"/>
    <s v="(1486)"/>
    <n v="1486"/>
    <s v="2014-09-09 Stacey Kirk(428)"/>
    <x v="91"/>
    <n v="9.99"/>
    <n v="2"/>
    <s v="www"/>
    <d v="2014-09-09T03:49:01"/>
    <d v="2014-09-09T00:00:00"/>
    <x v="8"/>
    <n v="19.98"/>
  </r>
  <r>
    <s v="0 Original"/>
    <s v="(3116)"/>
    <n v="3116"/>
    <s v="2014-09-09 Nayda Shields(938)"/>
    <x v="9"/>
    <n v="7.99"/>
    <n v="2"/>
    <s v="www"/>
    <d v="2014-09-09T21:56:10"/>
    <d v="2014-09-09T00:00:00"/>
    <x v="8"/>
    <n v="15.98"/>
  </r>
  <r>
    <s v="0 Original"/>
    <s v="(3203)"/>
    <n v="3203"/>
    <s v="2014-09-10 Cameron Rivera(966)"/>
    <x v="25"/>
    <n v="9.99"/>
    <n v="1"/>
    <s v="www"/>
    <d v="2014-09-10T18:21:23"/>
    <d v="2014-09-10T00:00:00"/>
    <x v="8"/>
    <n v="9.99"/>
  </r>
  <r>
    <s v="0 Original"/>
    <s v="(3204)"/>
    <n v="3204"/>
    <s v="2014-09-10 Cameron Rivera(966)"/>
    <x v="8"/>
    <n v="4.99"/>
    <n v="1"/>
    <s v="www"/>
    <d v="2014-09-10T18:21:23"/>
    <d v="2014-09-10T00:00:00"/>
    <x v="8"/>
    <n v="4.99"/>
  </r>
  <r>
    <s v="0 Original"/>
    <s v="(3205)"/>
    <n v="3205"/>
    <s v="2014-09-10 Cameron Rivera(966)"/>
    <x v="9"/>
    <n v="7.99"/>
    <n v="2"/>
    <s v="www"/>
    <d v="2014-09-10T18:21:23"/>
    <d v="2014-09-10T00:00:00"/>
    <x v="8"/>
    <n v="15.98"/>
  </r>
  <r>
    <s v="0 Original"/>
    <s v="(191)"/>
    <n v="191"/>
    <s v="2014-09-11 Benedict Todd(52)"/>
    <x v="102"/>
    <n v="6.99"/>
    <n v="1"/>
    <s v="www"/>
    <d v="2014-09-11T19:51:32"/>
    <d v="2014-09-11T00:00:00"/>
    <x v="8"/>
    <n v="6.99"/>
  </r>
  <r>
    <s v="0 Original"/>
    <s v="(192)"/>
    <n v="192"/>
    <s v="2014-09-11 Benedict Todd(52)"/>
    <x v="148"/>
    <n v="7.99"/>
    <n v="1"/>
    <s v="www"/>
    <d v="2014-09-11T19:51:32"/>
    <d v="2014-09-11T00:00:00"/>
    <x v="8"/>
    <n v="7.99"/>
  </r>
  <r>
    <s v="0 Original"/>
    <s v="(193)"/>
    <n v="193"/>
    <s v="2014-09-11 Benedict Todd(52)"/>
    <x v="150"/>
    <n v="8.99"/>
    <n v="1"/>
    <s v="www"/>
    <d v="2014-09-11T19:51:32"/>
    <d v="2014-09-11T00:00:00"/>
    <x v="8"/>
    <n v="8.99"/>
  </r>
  <r>
    <s v="0 Original"/>
    <s v="(194)"/>
    <n v="194"/>
    <s v="2014-09-11 Benedict Todd(52)"/>
    <x v="151"/>
    <n v="7.99"/>
    <n v="1"/>
    <s v="www"/>
    <d v="2014-09-11T19:51:32"/>
    <d v="2014-09-11T00:00:00"/>
    <x v="8"/>
    <n v="7.99"/>
  </r>
  <r>
    <s v="0 Original"/>
    <s v="(195)"/>
    <n v="195"/>
    <s v="2014-09-11 Benedict Todd(52)"/>
    <x v="11"/>
    <n v="8.99"/>
    <n v="1"/>
    <s v="www"/>
    <d v="2014-09-11T19:51:32"/>
    <d v="2014-09-11T00:00:00"/>
    <x v="8"/>
    <n v="8.99"/>
  </r>
  <r>
    <s v="0 Original"/>
    <s v="(196)"/>
    <n v="196"/>
    <s v="2014-09-11 Benedict Todd(52)"/>
    <x v="152"/>
    <n v="4.99"/>
    <n v="1"/>
    <s v="www"/>
    <d v="2014-09-11T19:51:32"/>
    <d v="2014-09-11T00:00:00"/>
    <x v="8"/>
    <n v="4.99"/>
  </r>
  <r>
    <s v="0 Original"/>
    <s v="(197)"/>
    <n v="197"/>
    <s v="2014-09-11 Benedict Todd(52)"/>
    <x v="153"/>
    <n v="9.99"/>
    <n v="1"/>
    <s v="www"/>
    <d v="2014-09-11T19:51:32"/>
    <d v="2014-09-11T00:00:00"/>
    <x v="8"/>
    <n v="9.99"/>
  </r>
  <r>
    <s v="0 Original"/>
    <s v="(1596)"/>
    <n v="1596"/>
    <s v="2014-09-12 Ulysses Hudson(459)"/>
    <x v="57"/>
    <n v="4.99"/>
    <n v="2"/>
    <s v="www"/>
    <d v="2014-09-12T15:59:30"/>
    <d v="2014-09-12T00:00:00"/>
    <x v="8"/>
    <n v="9.98"/>
  </r>
  <r>
    <s v="0 Original"/>
    <s v="(1597)"/>
    <n v="1597"/>
    <s v="2014-09-12 Ulysses Hudson(459)"/>
    <x v="4"/>
    <n v="6.99"/>
    <n v="1"/>
    <s v="www"/>
    <d v="2014-09-12T15:59:30"/>
    <d v="2014-09-12T00:00:00"/>
    <x v="8"/>
    <n v="6.99"/>
  </r>
  <r>
    <s v="0 Original"/>
    <s v="(1598)"/>
    <n v="1598"/>
    <s v="2014-09-12 Ulysses Hudson(459)"/>
    <x v="13"/>
    <n v="8.99"/>
    <n v="1"/>
    <s v="www"/>
    <d v="2014-09-12T15:59:30"/>
    <d v="2014-09-12T00:00:00"/>
    <x v="8"/>
    <n v="8.99"/>
  </r>
  <r>
    <s v="0 Original"/>
    <s v="(3928)"/>
    <n v="3928"/>
    <s v="2014-09-12 Prescott Nelson(1190)"/>
    <x v="30"/>
    <n v="6.99"/>
    <n v="1"/>
    <s v="www"/>
    <d v="2014-09-12T17:58:04"/>
    <d v="2014-09-12T00:00:00"/>
    <x v="8"/>
    <n v="6.99"/>
  </r>
  <r>
    <s v="0 Original"/>
    <s v="(3929)"/>
    <n v="3929"/>
    <s v="2014-09-12 Prescott Nelson(1190)"/>
    <x v="8"/>
    <n v="4.99"/>
    <n v="2"/>
    <s v="www"/>
    <d v="2014-09-12T17:58:04"/>
    <d v="2014-09-12T00:00:00"/>
    <x v="8"/>
    <n v="9.98"/>
  </r>
  <r>
    <s v="0 Original"/>
    <s v="(2153)"/>
    <n v="2153"/>
    <s v="2014-09-13 Aristotle Avery(633)"/>
    <x v="82"/>
    <n v="5.99"/>
    <n v="1"/>
    <s v="www"/>
    <d v="2014-09-13T17:01:28"/>
    <d v="2014-09-13T00:00:00"/>
    <x v="8"/>
    <n v="5.99"/>
  </r>
  <r>
    <s v="0 Original"/>
    <s v="(78)"/>
    <n v="78"/>
    <s v="2014-09-14 Mannix Owen(24)"/>
    <x v="79"/>
    <n v="8.99"/>
    <n v="2"/>
    <s v="www"/>
    <d v="2014-09-14T10:28:35"/>
    <d v="2014-09-14T00:00:00"/>
    <x v="8"/>
    <n v="17.98"/>
  </r>
  <r>
    <s v="0 Original"/>
    <s v="(79)"/>
    <n v="79"/>
    <s v="2014-09-14 Mannix Owen(24)"/>
    <x v="60"/>
    <n v="6.99"/>
    <n v="1"/>
    <s v="www"/>
    <d v="2014-09-14T10:28:35"/>
    <d v="2014-09-14T00:00:00"/>
    <x v="8"/>
    <n v="6.99"/>
  </r>
  <r>
    <s v="0 Original"/>
    <s v="(855)"/>
    <n v="855"/>
    <s v="2014-09-14 Jonah Griffin(243)"/>
    <x v="10"/>
    <n v="8.99"/>
    <n v="2"/>
    <s v="www"/>
    <d v="2014-09-14T12:51:50"/>
    <d v="2014-09-14T00:00:00"/>
    <x v="8"/>
    <n v="17.98"/>
  </r>
  <r>
    <s v="0 Original"/>
    <s v="(856)"/>
    <n v="856"/>
    <s v="2014-09-14 Jonah Griffin(243)"/>
    <x v="33"/>
    <n v="4.99"/>
    <n v="2"/>
    <s v="www"/>
    <d v="2014-09-14T12:51:50"/>
    <d v="2014-09-14T00:00:00"/>
    <x v="8"/>
    <n v="9.98"/>
  </r>
  <r>
    <s v="0 Original"/>
    <s v="(2168)"/>
    <n v="2168"/>
    <s v="2014-09-14 Ivy Livingston(638)"/>
    <x v="26"/>
    <n v="6.99"/>
    <n v="1"/>
    <s v="www"/>
    <d v="2014-09-14T19:36:31"/>
    <d v="2014-09-14T00:00:00"/>
    <x v="8"/>
    <n v="6.99"/>
  </r>
  <r>
    <s v="0 Original"/>
    <s v="(2169)"/>
    <n v="2169"/>
    <s v="2014-09-14 Ivy Livingston(638)"/>
    <x v="16"/>
    <n v="6.99"/>
    <n v="1"/>
    <s v="www"/>
    <d v="2014-09-14T19:36:31"/>
    <d v="2014-09-14T00:00:00"/>
    <x v="8"/>
    <n v="6.99"/>
  </r>
  <r>
    <s v="0 Original"/>
    <s v="(2170)"/>
    <n v="2170"/>
    <s v="2014-09-14 Ivy Livingston(638)"/>
    <x v="66"/>
    <n v="9.99"/>
    <n v="1"/>
    <s v="www"/>
    <d v="2014-09-14T19:36:31"/>
    <d v="2014-09-14T00:00:00"/>
    <x v="8"/>
    <n v="9.99"/>
  </r>
  <r>
    <s v="0 Original"/>
    <s v="(162)"/>
    <n v="162"/>
    <s v="2014-09-16 Lucius Gallagher(46)"/>
    <x v="49"/>
    <n v="8.99"/>
    <n v="1"/>
    <s v="www"/>
    <d v="2014-09-16T01:22:24"/>
    <d v="2014-09-16T00:00:00"/>
    <x v="8"/>
    <n v="8.99"/>
  </r>
  <r>
    <s v="0 Original"/>
    <s v="(163)"/>
    <n v="163"/>
    <s v="2014-09-16 Lucius Gallagher(46)"/>
    <x v="56"/>
    <n v="6.99"/>
    <n v="1"/>
    <s v="www"/>
    <d v="2014-09-16T01:22:24"/>
    <d v="2014-09-16T00:00:00"/>
    <x v="8"/>
    <n v="6.99"/>
  </r>
  <r>
    <s v="0 Original"/>
    <s v="(164)"/>
    <n v="164"/>
    <s v="2014-09-16 Lucius Gallagher(46)"/>
    <x v="113"/>
    <n v="9.99"/>
    <n v="1"/>
    <s v="www"/>
    <d v="2014-09-16T01:22:24"/>
    <d v="2014-09-16T00:00:00"/>
    <x v="8"/>
    <n v="9.99"/>
  </r>
  <r>
    <s v="0 Original"/>
    <s v="(165)"/>
    <n v="165"/>
    <s v="2014-09-16 Lucius Gallagher(46)"/>
    <x v="27"/>
    <n v="9.99"/>
    <n v="1"/>
    <s v="www"/>
    <d v="2014-09-16T01:22:24"/>
    <d v="2014-09-16T00:00:00"/>
    <x v="8"/>
    <n v="9.99"/>
  </r>
  <r>
    <s v="0 Original"/>
    <s v="(166)"/>
    <n v="166"/>
    <s v="2014-09-16 Lucius Gallagher(46)"/>
    <x v="154"/>
    <n v="5.99"/>
    <n v="2"/>
    <s v="www"/>
    <d v="2014-09-16T01:22:24"/>
    <d v="2014-09-16T00:00:00"/>
    <x v="8"/>
    <n v="11.98"/>
  </r>
  <r>
    <s v="0 Original"/>
    <s v="(167)"/>
    <n v="167"/>
    <s v="2014-09-16 Lucius Gallagher(46)"/>
    <x v="94"/>
    <n v="7.99"/>
    <n v="2"/>
    <s v="www"/>
    <d v="2014-09-16T01:22:24"/>
    <d v="2014-09-16T00:00:00"/>
    <x v="8"/>
    <n v="15.98"/>
  </r>
  <r>
    <s v="0 Original"/>
    <s v="(168)"/>
    <n v="168"/>
    <s v="2014-09-16 Lucius Gallagher(46)"/>
    <x v="95"/>
    <n v="7.99"/>
    <n v="1"/>
    <s v="www"/>
    <d v="2014-09-16T01:22:24"/>
    <d v="2014-09-16T00:00:00"/>
    <x v="8"/>
    <n v="7.99"/>
  </r>
  <r>
    <s v="0 Original"/>
    <s v="(169)"/>
    <n v="169"/>
    <s v="2014-09-16 Lucius Gallagher(46)"/>
    <x v="3"/>
    <n v="7.99"/>
    <n v="1"/>
    <s v="www"/>
    <d v="2014-09-16T01:22:24"/>
    <d v="2014-09-16T00:00:00"/>
    <x v="8"/>
    <n v="7.99"/>
  </r>
  <r>
    <s v="0 Original"/>
    <s v="(1441)"/>
    <n v="1441"/>
    <s v="2014-09-17 Yoshi Bennett(415)"/>
    <x v="42"/>
    <n v="5.99"/>
    <n v="1"/>
    <s v="www"/>
    <d v="2014-09-17T08:36:29"/>
    <d v="2014-09-17T00:00:00"/>
    <x v="8"/>
    <n v="5.99"/>
  </r>
  <r>
    <s v="0 Original"/>
    <s v="(1442)"/>
    <n v="1442"/>
    <s v="2014-09-17 Yoshi Bennett(415)"/>
    <x v="4"/>
    <n v="6.99"/>
    <n v="2"/>
    <s v="www"/>
    <d v="2014-09-17T08:36:29"/>
    <d v="2014-09-17T00:00:00"/>
    <x v="8"/>
    <n v="13.98"/>
  </r>
  <r>
    <s v="0 Original"/>
    <s v="(1443)"/>
    <n v="1443"/>
    <s v="2014-09-17 Yoshi Bennett(415)"/>
    <x v="11"/>
    <n v="8.99"/>
    <n v="1"/>
    <s v="www"/>
    <d v="2014-09-17T08:36:29"/>
    <d v="2014-09-17T00:00:00"/>
    <x v="8"/>
    <n v="8.99"/>
  </r>
  <r>
    <s v="0 Original"/>
    <s v="(1444)"/>
    <n v="1444"/>
    <s v="2014-09-17 Yoshi Bennett(415)"/>
    <x v="65"/>
    <n v="4.99"/>
    <n v="1"/>
    <s v="www"/>
    <d v="2014-09-17T08:36:29"/>
    <d v="2014-09-17T00:00:00"/>
    <x v="8"/>
    <n v="4.99"/>
  </r>
  <r>
    <s v="0 Original"/>
    <s v="(1043)"/>
    <n v="1043"/>
    <s v="2014-09-17 Angelica Ortiz(297)"/>
    <x v="44"/>
    <n v="9.99"/>
    <n v="2"/>
    <s v="www"/>
    <d v="2014-09-17T21:58:03"/>
    <d v="2014-09-17T00:00:00"/>
    <x v="8"/>
    <n v="19.98"/>
  </r>
  <r>
    <s v="0 Original"/>
    <s v="(1044)"/>
    <n v="1044"/>
    <s v="2014-09-17 Angelica Ortiz(297)"/>
    <x v="28"/>
    <n v="5.99"/>
    <n v="1"/>
    <s v="www"/>
    <d v="2014-09-17T21:58:03"/>
    <d v="2014-09-17T00:00:00"/>
    <x v="8"/>
    <n v="5.99"/>
  </r>
  <r>
    <s v="0 Original"/>
    <s v="(1045)"/>
    <n v="1045"/>
    <s v="2014-09-17 Angelica Ortiz(297)"/>
    <x v="58"/>
    <n v="4.99"/>
    <n v="1"/>
    <s v="www"/>
    <d v="2014-09-17T21:58:03"/>
    <d v="2014-09-17T00:00:00"/>
    <x v="8"/>
    <n v="4.99"/>
  </r>
  <r>
    <s v="0 Original"/>
    <s v="(1348)"/>
    <n v="1348"/>
    <s v="2014-09-18 Stuart Vega(392)"/>
    <x v="36"/>
    <n v="6.99"/>
    <n v="1"/>
    <s v="www"/>
    <d v="2014-09-18T00:49:44"/>
    <d v="2014-09-18T00:00:00"/>
    <x v="8"/>
    <n v="6.99"/>
  </r>
  <r>
    <s v="0 Original"/>
    <s v="(1349)"/>
    <n v="1349"/>
    <s v="2014-09-18 Stuart Vega(392)"/>
    <x v="47"/>
    <n v="6.99"/>
    <n v="2"/>
    <s v="www"/>
    <d v="2014-09-18T00:49:44"/>
    <d v="2014-09-18T00:00:00"/>
    <x v="8"/>
    <n v="13.98"/>
  </r>
  <r>
    <s v="0 Original"/>
    <s v="(364)"/>
    <n v="364"/>
    <s v="2014-09-18 Irene Carver(98)"/>
    <x v="98"/>
    <n v="5.99"/>
    <n v="2"/>
    <s v="www"/>
    <d v="2014-09-18T03:42:50"/>
    <d v="2014-09-18T00:00:00"/>
    <x v="8"/>
    <n v="11.98"/>
  </r>
  <r>
    <s v="0 Original"/>
    <s v="(1386)"/>
    <n v="1386"/>
    <s v="2014-09-18 Zeus Trujillo(402)"/>
    <x v="14"/>
    <n v="7.99"/>
    <n v="2"/>
    <s v="www"/>
    <d v="2014-09-18T09:11:51"/>
    <d v="2014-09-18T00:00:00"/>
    <x v="8"/>
    <n v="15.98"/>
  </r>
  <r>
    <s v="0 Original"/>
    <s v="(1387)"/>
    <n v="1387"/>
    <s v="2014-09-18 Zeus Trujillo(402)"/>
    <x v="28"/>
    <n v="5.99"/>
    <n v="1"/>
    <s v="www"/>
    <d v="2014-09-18T09:11:51"/>
    <d v="2014-09-18T00:00:00"/>
    <x v="8"/>
    <n v="5.99"/>
  </r>
  <r>
    <s v="0 Original"/>
    <s v="(251)"/>
    <n v="251"/>
    <s v="2014-09-21 Angelica Ortiz(69)"/>
    <x v="153"/>
    <n v="9.99"/>
    <n v="1"/>
    <s v="www"/>
    <d v="2014-09-21T06:30:53"/>
    <d v="2014-09-21T00:00:00"/>
    <x v="8"/>
    <n v="9.99"/>
  </r>
  <r>
    <s v="0 Original"/>
    <s v="(1232)"/>
    <n v="1232"/>
    <s v="2014-09-21 Claudia Crane(359)"/>
    <x v="59"/>
    <n v="6.99"/>
    <n v="2"/>
    <s v="www"/>
    <d v="2014-09-21T22:14:38"/>
    <d v="2014-09-21T00:00:00"/>
    <x v="8"/>
    <n v="13.98"/>
  </r>
  <r>
    <s v="0 Original"/>
    <s v="(1233)"/>
    <n v="1233"/>
    <s v="2014-09-21 Claudia Crane(359)"/>
    <x v="47"/>
    <n v="6.99"/>
    <n v="2"/>
    <s v="www"/>
    <d v="2014-09-21T22:14:38"/>
    <d v="2014-09-21T00:00:00"/>
    <x v="8"/>
    <n v="13.98"/>
  </r>
  <r>
    <s v="0 Original"/>
    <s v="(1234)"/>
    <n v="1234"/>
    <s v="2014-09-21 Claudia Crane(359)"/>
    <x v="59"/>
    <n v="6.99"/>
    <n v="1"/>
    <s v="www"/>
    <d v="2014-09-21T22:14:38"/>
    <d v="2014-09-21T00:00:00"/>
    <x v="8"/>
    <n v="6.99"/>
  </r>
  <r>
    <s v="0 Original"/>
    <s v="(1235)"/>
    <n v="1235"/>
    <s v="2014-09-21 Claudia Crane(359)"/>
    <x v="31"/>
    <n v="8.99"/>
    <n v="1"/>
    <s v="www"/>
    <d v="2014-09-21T22:14:38"/>
    <d v="2014-09-21T00:00:00"/>
    <x v="8"/>
    <n v="8.99"/>
  </r>
  <r>
    <s v="0 Original"/>
    <s v="(3271)"/>
    <n v="3271"/>
    <s v="2014-09-22 John Drake(990)"/>
    <x v="7"/>
    <n v="9.99"/>
    <n v="1"/>
    <s v="www"/>
    <d v="2014-09-22T19:43:44"/>
    <d v="2014-09-22T00:00:00"/>
    <x v="8"/>
    <n v="9.99"/>
  </r>
  <r>
    <s v="0 Original"/>
    <s v="(3272)"/>
    <n v="3272"/>
    <s v="2014-09-22 John Drake(990)"/>
    <x v="9"/>
    <n v="7.99"/>
    <n v="1"/>
    <s v="www"/>
    <d v="2014-09-22T19:43:44"/>
    <d v="2014-09-22T00:00:00"/>
    <x v="8"/>
    <n v="7.99"/>
  </r>
  <r>
    <s v="0 Original"/>
    <s v="(3273)"/>
    <n v="3273"/>
    <s v="2014-09-22 John Drake(990)"/>
    <x v="16"/>
    <n v="6.99"/>
    <n v="1"/>
    <s v="www"/>
    <d v="2014-09-22T19:43:44"/>
    <d v="2014-09-22T00:00:00"/>
    <x v="8"/>
    <n v="6.99"/>
  </r>
  <r>
    <s v="0 Original"/>
    <s v="(1606)"/>
    <n v="1606"/>
    <s v="2014-09-23 Ferris Erickson(463)"/>
    <x v="25"/>
    <n v="9.99"/>
    <n v="1"/>
    <s v="www"/>
    <d v="2014-09-23T02:31:43"/>
    <d v="2014-09-23T00:00:00"/>
    <x v="8"/>
    <n v="9.99"/>
  </r>
  <r>
    <s v="0 Original"/>
    <s v="(1607)"/>
    <n v="1607"/>
    <s v="2014-09-23 Ferris Erickson(463)"/>
    <x v="66"/>
    <n v="9.99"/>
    <n v="1"/>
    <s v="www"/>
    <d v="2014-09-23T02:31:43"/>
    <d v="2014-09-23T00:00:00"/>
    <x v="8"/>
    <n v="9.99"/>
  </r>
  <r>
    <s v="0 Original"/>
    <s v="(1608)"/>
    <n v="1608"/>
    <s v="2014-09-23 Ferris Erickson(463)"/>
    <x v="49"/>
    <n v="8.99"/>
    <n v="2"/>
    <s v="www"/>
    <d v="2014-09-23T02:31:43"/>
    <d v="2014-09-23T00:00:00"/>
    <x v="8"/>
    <n v="17.98"/>
  </r>
  <r>
    <s v="0 Original"/>
    <s v="(1609)"/>
    <n v="1609"/>
    <s v="2014-09-23 Ferris Erickson(463)"/>
    <x v="9"/>
    <n v="7.99"/>
    <n v="1"/>
    <s v="www"/>
    <d v="2014-09-23T02:31:43"/>
    <d v="2014-09-23T00:00:00"/>
    <x v="8"/>
    <n v="7.99"/>
  </r>
  <r>
    <s v="0 Original"/>
    <s v="(427)"/>
    <n v="427"/>
    <s v="2014-09-23 Shelly Bridges(118)"/>
    <x v="155"/>
    <n v="8.99"/>
    <n v="1"/>
    <s v="www"/>
    <d v="2014-09-23T12:51:11"/>
    <d v="2014-09-23T00:00:00"/>
    <x v="8"/>
    <n v="8.99"/>
  </r>
  <r>
    <s v="0 Original"/>
    <s v="(428)"/>
    <n v="428"/>
    <s v="2014-09-23 Shelly Bridges(118)"/>
    <x v="96"/>
    <n v="4.99"/>
    <n v="1"/>
    <s v="www"/>
    <d v="2014-09-23T12:51:11"/>
    <d v="2014-09-23T00:00:00"/>
    <x v="8"/>
    <n v="4.99"/>
  </r>
  <r>
    <s v="0 Original"/>
    <s v="(429)"/>
    <n v="429"/>
    <s v="2014-09-23 Shelly Bridges(118)"/>
    <x v="128"/>
    <n v="8.99"/>
    <n v="1"/>
    <s v="www"/>
    <d v="2014-09-23T12:51:11"/>
    <d v="2014-09-23T00:00:00"/>
    <x v="8"/>
    <n v="8.99"/>
  </r>
  <r>
    <s v="0 Original"/>
    <s v="(430)"/>
    <n v="430"/>
    <s v="2014-09-23 Shelly Bridges(118)"/>
    <x v="34"/>
    <n v="8.99"/>
    <n v="2"/>
    <s v="www"/>
    <d v="2014-09-23T12:51:11"/>
    <d v="2014-09-23T00:00:00"/>
    <x v="8"/>
    <n v="17.98"/>
  </r>
  <r>
    <s v="0 Original"/>
    <s v="(431)"/>
    <n v="431"/>
    <s v="2014-09-23 Shelly Bridges(118)"/>
    <x v="119"/>
    <n v="4.99"/>
    <n v="1"/>
    <s v="www"/>
    <d v="2014-09-23T12:51:11"/>
    <d v="2014-09-23T00:00:00"/>
    <x v="8"/>
    <n v="4.99"/>
  </r>
  <r>
    <s v="0 Original"/>
    <s v="(2357)"/>
    <n v="2357"/>
    <s v="2014-09-23 Donovan Gomez(702)"/>
    <x v="8"/>
    <n v="4.99"/>
    <n v="2"/>
    <s v="www"/>
    <d v="2014-09-23T19:33:29"/>
    <d v="2014-09-23T00:00:00"/>
    <x v="8"/>
    <n v="9.98"/>
  </r>
  <r>
    <s v="0 Original"/>
    <s v="(2358)"/>
    <n v="2358"/>
    <s v="2014-09-23 Donovan Gomez(702)"/>
    <x v="7"/>
    <n v="9.99"/>
    <n v="1"/>
    <s v="www"/>
    <d v="2014-09-23T19:33:29"/>
    <d v="2014-09-23T00:00:00"/>
    <x v="8"/>
    <n v="9.99"/>
  </r>
  <r>
    <s v="0 Original"/>
    <s v="(3000)"/>
    <n v="3000"/>
    <s v="2014-09-24 Madeline Reynolds(903)"/>
    <x v="30"/>
    <n v="6.99"/>
    <n v="2"/>
    <s v="www"/>
    <d v="2014-09-24T16:54:01"/>
    <d v="2014-09-24T00:00:00"/>
    <x v="8"/>
    <n v="13.98"/>
  </r>
  <r>
    <s v="0 Original"/>
    <s v="(3001)"/>
    <n v="3001"/>
    <s v="2014-09-24 Madeline Reynolds(903)"/>
    <x v="23"/>
    <n v="9.99"/>
    <n v="1"/>
    <s v="www"/>
    <d v="2014-09-24T16:54:01"/>
    <d v="2014-09-24T00:00:00"/>
    <x v="8"/>
    <n v="9.99"/>
  </r>
  <r>
    <s v="0 Original"/>
    <s v="(3002)"/>
    <n v="3002"/>
    <s v="2014-09-24 Madeline Reynolds(903)"/>
    <x v="24"/>
    <n v="7.99"/>
    <n v="1"/>
    <s v="www"/>
    <d v="2014-09-24T16:54:01"/>
    <d v="2014-09-24T00:00:00"/>
    <x v="8"/>
    <n v="7.99"/>
  </r>
  <r>
    <s v="0 Original"/>
    <s v="(2426)"/>
    <n v="2426"/>
    <s v="2014-09-25 Cameron Rivera(726)"/>
    <x v="30"/>
    <n v="6.99"/>
    <n v="1"/>
    <s v="www"/>
    <d v="2014-09-25T19:02:44"/>
    <d v="2014-09-25T00:00:00"/>
    <x v="8"/>
    <n v="6.99"/>
  </r>
  <r>
    <s v="0 Original"/>
    <s v="(2427)"/>
    <n v="2427"/>
    <s v="2014-09-25 Cameron Rivera(726)"/>
    <x v="16"/>
    <n v="6.99"/>
    <n v="2"/>
    <s v="www"/>
    <d v="2014-09-25T19:02:44"/>
    <d v="2014-09-25T00:00:00"/>
    <x v="8"/>
    <n v="13.98"/>
  </r>
  <r>
    <s v="0 Original"/>
    <s v="(2428)"/>
    <n v="2428"/>
    <s v="2014-09-25 Cameron Rivera(726)"/>
    <x v="8"/>
    <n v="4.99"/>
    <n v="2"/>
    <s v="www"/>
    <d v="2014-09-25T19:02:44"/>
    <d v="2014-09-25T00:00:00"/>
    <x v="8"/>
    <n v="9.98"/>
  </r>
  <r>
    <s v="0 Original"/>
    <s v="(3146)"/>
    <n v="3146"/>
    <s v="2014-09-25 Bernard Cash(948)"/>
    <x v="8"/>
    <n v="4.99"/>
    <n v="2"/>
    <s v="www"/>
    <d v="2014-09-25T19:43:46"/>
    <d v="2014-09-25T00:00:00"/>
    <x v="8"/>
    <n v="9.98"/>
  </r>
  <r>
    <s v="0 Original"/>
    <s v="(3147)"/>
    <n v="3147"/>
    <s v="2014-09-25 Bernard Cash(948)"/>
    <x v="6"/>
    <n v="5.99"/>
    <n v="1"/>
    <s v="www"/>
    <d v="2014-09-25T19:43:46"/>
    <d v="2014-09-25T00:00:00"/>
    <x v="8"/>
    <n v="5.99"/>
  </r>
  <r>
    <s v="0 Original"/>
    <s v="(530)"/>
    <n v="530"/>
    <s v="2014-09-26 Doris Valdez(149)"/>
    <x v="98"/>
    <n v="5.99"/>
    <n v="1"/>
    <s v="www"/>
    <d v="2014-09-26T21:41:23"/>
    <d v="2014-09-26T00:00:00"/>
    <x v="8"/>
    <n v="5.99"/>
  </r>
  <r>
    <s v="0 Original"/>
    <s v="(531)"/>
    <n v="531"/>
    <s v="2014-09-26 Doris Valdez(149)"/>
    <x v="62"/>
    <n v="8.99"/>
    <n v="2"/>
    <s v="www"/>
    <d v="2014-09-26T21:41:23"/>
    <d v="2014-09-26T00:00:00"/>
    <x v="8"/>
    <n v="17.98"/>
  </r>
  <r>
    <s v="0 Original"/>
    <s v="(532)"/>
    <n v="532"/>
    <s v="2014-09-26 Doris Valdez(149)"/>
    <x v="64"/>
    <n v="6.99"/>
    <n v="1"/>
    <s v="www"/>
    <d v="2014-09-26T21:41:23"/>
    <d v="2014-09-26T00:00:00"/>
    <x v="8"/>
    <n v="6.99"/>
  </r>
  <r>
    <s v="0 Original"/>
    <s v="(1300)"/>
    <n v="1300"/>
    <s v="2014-09-27 Wade Coleman(378)"/>
    <x v="15"/>
    <n v="8.99"/>
    <n v="1"/>
    <s v="www"/>
    <d v="2014-09-27T02:54:20"/>
    <d v="2014-09-27T00:00:00"/>
    <x v="8"/>
    <n v="8.99"/>
  </r>
  <r>
    <s v="0 Original"/>
    <s v="(1301)"/>
    <n v="1301"/>
    <s v="2014-09-27 Wade Coleman(378)"/>
    <x v="13"/>
    <n v="8.99"/>
    <n v="2"/>
    <s v="www"/>
    <d v="2014-09-27T02:54:20"/>
    <d v="2014-09-27T00:00:00"/>
    <x v="8"/>
    <n v="17.98"/>
  </r>
  <r>
    <s v="0 Original"/>
    <s v="(1302)"/>
    <n v="1302"/>
    <s v="2014-09-27 Wade Coleman(378)"/>
    <x v="33"/>
    <n v="4.99"/>
    <n v="1"/>
    <s v="www"/>
    <d v="2014-09-27T02:54:20"/>
    <d v="2014-09-27T00:00:00"/>
    <x v="8"/>
    <n v="4.99"/>
  </r>
  <r>
    <s v="0 Original"/>
    <s v="(1303)"/>
    <n v="1303"/>
    <s v="2014-09-27 Wade Coleman(378)"/>
    <x v="25"/>
    <n v="9.99"/>
    <n v="1"/>
    <s v="www"/>
    <d v="2014-09-27T02:54:20"/>
    <d v="2014-09-27T00:00:00"/>
    <x v="8"/>
    <n v="9.99"/>
  </r>
  <r>
    <s v="0 Original"/>
    <s v="(1304)"/>
    <n v="1304"/>
    <s v="2014-09-27 Wade Coleman(378)"/>
    <x v="82"/>
    <n v="5.99"/>
    <n v="1"/>
    <s v="www"/>
    <d v="2014-09-27T02:54:20"/>
    <d v="2014-09-27T00:00:00"/>
    <x v="8"/>
    <n v="5.99"/>
  </r>
  <r>
    <s v="0 Original"/>
    <s v="(3166)"/>
    <n v="3166"/>
    <s v="2014-09-27 Cameron Rivera(955)"/>
    <x v="25"/>
    <n v="9.99"/>
    <n v="2"/>
    <s v="www"/>
    <d v="2014-09-27T20:29:54"/>
    <d v="2014-09-27T00:00:00"/>
    <x v="8"/>
    <n v="19.98"/>
  </r>
  <r>
    <s v="0 Original"/>
    <s v="(3167)"/>
    <n v="3167"/>
    <s v="2014-09-27 Cameron Rivera(955)"/>
    <x v="30"/>
    <n v="6.99"/>
    <n v="2"/>
    <s v="www"/>
    <d v="2014-09-27T20:29:54"/>
    <d v="2014-09-27T00:00:00"/>
    <x v="8"/>
    <n v="13.98"/>
  </r>
  <r>
    <s v="0 Original"/>
    <s v="(1114)"/>
    <n v="1114"/>
    <s v="2014-09-27 Lionel Vargas(323)"/>
    <x v="13"/>
    <n v="8.99"/>
    <n v="1"/>
    <s v="www"/>
    <d v="2014-09-27T21:35:31"/>
    <d v="2014-09-27T00:00:00"/>
    <x v="8"/>
    <n v="8.99"/>
  </r>
  <r>
    <s v="0 Original"/>
    <s v="(1115)"/>
    <n v="1115"/>
    <s v="2014-09-27 Lionel Vargas(323)"/>
    <x v="59"/>
    <n v="6.99"/>
    <n v="1"/>
    <s v="www"/>
    <d v="2014-09-27T21:35:31"/>
    <d v="2014-09-27T00:00:00"/>
    <x v="8"/>
    <n v="6.99"/>
  </r>
  <r>
    <s v="0 Original"/>
    <s v="(1116)"/>
    <n v="1116"/>
    <s v="2014-09-27 Lionel Vargas(323)"/>
    <x v="43"/>
    <n v="4.99"/>
    <n v="1"/>
    <s v="www"/>
    <d v="2014-09-27T21:35:31"/>
    <d v="2014-09-27T00:00:00"/>
    <x v="8"/>
    <n v="4.99"/>
  </r>
  <r>
    <s v="0 Original"/>
    <s v="(1356)"/>
    <n v="1356"/>
    <s v="2014-09-28 Harrison Klein(394)"/>
    <x v="42"/>
    <n v="5.99"/>
    <n v="1"/>
    <s v="www"/>
    <d v="2014-09-28T02:10:02"/>
    <d v="2014-09-28T00:00:00"/>
    <x v="8"/>
    <n v="5.99"/>
  </r>
  <r>
    <s v="0 Original"/>
    <s v="(1357)"/>
    <n v="1357"/>
    <s v="2014-09-28 Harrison Klein(394)"/>
    <x v="34"/>
    <n v="8.99"/>
    <n v="1"/>
    <s v="www"/>
    <d v="2014-09-28T02:10:02"/>
    <d v="2014-09-28T00:00:00"/>
    <x v="8"/>
    <n v="8.99"/>
  </r>
  <r>
    <s v="0 Original"/>
    <s v="(1358)"/>
    <n v="1358"/>
    <s v="2014-09-28 Harrison Klein(394)"/>
    <x v="58"/>
    <n v="4.99"/>
    <n v="1"/>
    <s v="www"/>
    <d v="2014-09-28T02:10:02"/>
    <d v="2014-09-28T00:00:00"/>
    <x v="8"/>
    <n v="4.99"/>
  </r>
  <r>
    <s v="0 Original"/>
    <s v="(1359)"/>
    <n v="1359"/>
    <s v="2014-09-28 Harrison Klein(394)"/>
    <x v="57"/>
    <n v="4.99"/>
    <n v="1"/>
    <s v="www"/>
    <d v="2014-09-28T02:10:02"/>
    <d v="2014-09-28T00:00:00"/>
    <x v="8"/>
    <n v="4.99"/>
  </r>
  <r>
    <s v="0 Original"/>
    <s v="(1736)"/>
    <n v="1736"/>
    <s v="2014-09-28 Blossom Mosley(510)"/>
    <x v="29"/>
    <n v="4.99"/>
    <n v="1"/>
    <s v="www"/>
    <d v="2014-09-28T07:13:32"/>
    <d v="2014-09-28T00:00:00"/>
    <x v="8"/>
    <n v="4.99"/>
  </r>
  <r>
    <s v="0 Original"/>
    <s v="(1737)"/>
    <n v="1737"/>
    <s v="2014-09-28 Blossom Mosley(510)"/>
    <x v="26"/>
    <n v="6.99"/>
    <n v="2"/>
    <s v="www"/>
    <d v="2014-09-28T07:13:32"/>
    <d v="2014-09-28T00:00:00"/>
    <x v="8"/>
    <n v="13.98"/>
  </r>
  <r>
    <s v="0 Original"/>
    <s v="(1738)"/>
    <n v="1738"/>
    <s v="2014-09-28 Blossom Mosley(510)"/>
    <x v="17"/>
    <n v="9.99"/>
    <n v="1"/>
    <s v="www"/>
    <d v="2014-09-28T07:13:32"/>
    <d v="2014-09-28T00:00:00"/>
    <x v="8"/>
    <n v="9.99"/>
  </r>
  <r>
    <s v="0 Original"/>
    <s v="(1739)"/>
    <n v="1739"/>
    <s v="2014-09-28 Blossom Mosley(510)"/>
    <x v="86"/>
    <n v="9.99"/>
    <n v="1"/>
    <s v="www"/>
    <d v="2014-09-28T07:13:32"/>
    <d v="2014-09-28T00:00:00"/>
    <x v="8"/>
    <n v="9.99"/>
  </r>
  <r>
    <s v="0 Original"/>
    <s v="(3117)"/>
    <n v="3117"/>
    <s v="2014-09-28 Donovan Gomez(939)"/>
    <x v="24"/>
    <n v="7.99"/>
    <n v="1"/>
    <s v="www"/>
    <d v="2014-09-28T10:57:13"/>
    <d v="2014-09-28T00:00:00"/>
    <x v="8"/>
    <n v="7.99"/>
  </r>
  <r>
    <s v="0 Original"/>
    <s v="(3118)"/>
    <n v="3118"/>
    <s v="2014-09-28 Donovan Gomez(939)"/>
    <x v="7"/>
    <n v="9.99"/>
    <n v="1"/>
    <s v="www"/>
    <d v="2014-09-28T10:57:13"/>
    <d v="2014-09-28T00:00:00"/>
    <x v="8"/>
    <n v="9.99"/>
  </r>
  <r>
    <s v="0 Original"/>
    <s v="(3119)"/>
    <n v="3119"/>
    <s v="2014-09-28 Donovan Gomez(939)"/>
    <x v="8"/>
    <n v="4.99"/>
    <n v="2"/>
    <s v="www"/>
    <d v="2014-09-28T10:57:13"/>
    <d v="2014-09-28T00:00:00"/>
    <x v="8"/>
    <n v="9.98"/>
  </r>
  <r>
    <s v="0 Original"/>
    <s v="(3120)"/>
    <n v="3120"/>
    <s v="2014-09-28 Donovan Gomez(939)"/>
    <x v="9"/>
    <n v="7.99"/>
    <n v="1"/>
    <s v="www"/>
    <d v="2014-09-28T10:57:13"/>
    <d v="2014-09-28T00:00:00"/>
    <x v="8"/>
    <n v="7.99"/>
  </r>
  <r>
    <s v="0 Original"/>
    <s v="(2565)"/>
    <n v="2565"/>
    <s v="2014-09-28 Donovan Gomez(774)"/>
    <x v="25"/>
    <n v="9.99"/>
    <n v="2"/>
    <s v="www"/>
    <d v="2014-09-28T17:14:58"/>
    <d v="2014-09-28T00:00:00"/>
    <x v="8"/>
    <n v="19.98"/>
  </r>
  <r>
    <s v="0 Original"/>
    <s v="(2566)"/>
    <n v="2566"/>
    <s v="2014-09-28 Donovan Gomez(774)"/>
    <x v="23"/>
    <n v="9.99"/>
    <n v="1"/>
    <s v="www"/>
    <d v="2014-09-28T17:14:58"/>
    <d v="2014-09-28T00:00:00"/>
    <x v="8"/>
    <n v="9.99"/>
  </r>
  <r>
    <s v="0 Original"/>
    <s v="(889)"/>
    <n v="889"/>
    <s v="2014-09-28 April Buckley(254)"/>
    <x v="15"/>
    <n v="8.99"/>
    <n v="2"/>
    <s v="www"/>
    <d v="2014-09-28T23:09:36"/>
    <d v="2014-09-28T00:00:00"/>
    <x v="8"/>
    <n v="17.98"/>
  </r>
  <r>
    <s v="0 Original"/>
    <s v="(890)"/>
    <n v="890"/>
    <s v="2014-09-28 April Buckley(254)"/>
    <x v="57"/>
    <n v="4.99"/>
    <n v="2"/>
    <s v="www"/>
    <d v="2014-09-28T23:09:36"/>
    <d v="2014-09-28T00:00:00"/>
    <x v="8"/>
    <n v="9.98"/>
  </r>
  <r>
    <s v="0 Original"/>
    <s v="(891)"/>
    <n v="891"/>
    <s v="2014-09-28 April Buckley(254)"/>
    <x v="86"/>
    <n v="9.99"/>
    <n v="1"/>
    <s v="www"/>
    <d v="2014-09-28T23:09:36"/>
    <d v="2014-09-28T00:00:00"/>
    <x v="8"/>
    <n v="9.99"/>
  </r>
  <r>
    <s v="0 Original"/>
    <s v="(892)"/>
    <n v="892"/>
    <s v="2014-09-28 April Buckley(254)"/>
    <x v="49"/>
    <n v="8.99"/>
    <n v="1"/>
    <s v="www"/>
    <d v="2014-09-28T23:09:36"/>
    <d v="2014-09-28T00:00:00"/>
    <x v="8"/>
    <n v="8.99"/>
  </r>
  <r>
    <s v="0 Original"/>
    <s v="(893)"/>
    <n v="893"/>
    <s v="2014-09-28 April Buckley(254)"/>
    <x v="42"/>
    <n v="5.99"/>
    <n v="1"/>
    <s v="www"/>
    <d v="2014-09-28T23:09:36"/>
    <d v="2014-09-28T00:00:00"/>
    <x v="8"/>
    <n v="5.99"/>
  </r>
  <r>
    <s v="0 Original"/>
    <s v="(894)"/>
    <n v="894"/>
    <s v="2014-09-28 April Buckley(254)"/>
    <x v="65"/>
    <n v="4.99"/>
    <n v="1"/>
    <s v="www"/>
    <d v="2014-09-28T23:09:36"/>
    <d v="2014-09-28T00:00:00"/>
    <x v="8"/>
    <n v="4.99"/>
  </r>
  <r>
    <s v="0 Original"/>
    <s v="(1661)"/>
    <n v="1661"/>
    <s v="2014-09-30 Lionel Vargas(483)"/>
    <x v="26"/>
    <n v="6.99"/>
    <n v="2"/>
    <s v="www"/>
    <d v="2014-09-30T01:17:43"/>
    <d v="2014-09-30T00:00:00"/>
    <x v="8"/>
    <n v="13.98"/>
  </r>
  <r>
    <s v="0 Original"/>
    <s v="(1662)"/>
    <n v="1662"/>
    <s v="2014-09-30 Lionel Vargas(483)"/>
    <x v="12"/>
    <n v="8.99"/>
    <n v="1"/>
    <s v="www"/>
    <d v="2014-09-30T01:17:43"/>
    <d v="2014-09-30T00:00:00"/>
    <x v="8"/>
    <n v="8.99"/>
  </r>
  <r>
    <s v="0 Original"/>
    <s v="(727)"/>
    <n v="727"/>
    <s v="2014-09-30 Zeus Trujillo(206)"/>
    <x v="25"/>
    <n v="9.99"/>
    <n v="1"/>
    <s v="www"/>
    <d v="2014-09-30T22:49:55"/>
    <d v="2014-09-30T00:00:00"/>
    <x v="8"/>
    <n v="9.99"/>
  </r>
  <r>
    <s v="0 Original"/>
    <s v="(728)"/>
    <n v="728"/>
    <s v="2014-09-30 Zeus Trujillo(206)"/>
    <x v="29"/>
    <n v="4.99"/>
    <n v="1"/>
    <s v="www"/>
    <d v="2014-09-30T22:49:55"/>
    <d v="2014-09-30T00:00:00"/>
    <x v="8"/>
    <n v="4.99"/>
  </r>
  <r>
    <s v="0 Original"/>
    <s v="(729)"/>
    <n v="729"/>
    <s v="2014-09-30 Zeus Trujillo(206)"/>
    <x v="11"/>
    <n v="8.99"/>
    <n v="2"/>
    <s v="www"/>
    <d v="2014-09-30T22:49:55"/>
    <d v="2014-09-30T00:00:00"/>
    <x v="8"/>
    <n v="17.98"/>
  </r>
  <r>
    <s v="0 Original"/>
    <s v="(1392)"/>
    <n v="1392"/>
    <s v="2014-10-02 Adrian Dodson(405)"/>
    <x v="2"/>
    <n v="7.99"/>
    <n v="2"/>
    <s v="www"/>
    <d v="2014-10-02T09:16:33"/>
    <d v="2014-10-02T00:00:00"/>
    <x v="9"/>
    <n v="15.98"/>
  </r>
  <r>
    <s v="0 Original"/>
    <s v="(1393)"/>
    <n v="1393"/>
    <s v="2014-10-02 Adrian Dodson(405)"/>
    <x v="20"/>
    <n v="7.99"/>
    <n v="1"/>
    <s v="www"/>
    <d v="2014-10-02T09:16:33"/>
    <d v="2014-10-02T00:00:00"/>
    <x v="9"/>
    <n v="7.99"/>
  </r>
  <r>
    <s v="0 Original"/>
    <s v="(1394)"/>
    <n v="1394"/>
    <s v="2014-10-02 Adrian Dodson(405)"/>
    <x v="22"/>
    <n v="6.99"/>
    <n v="2"/>
    <s v="www"/>
    <d v="2014-10-02T09:16:33"/>
    <d v="2014-10-02T00:00:00"/>
    <x v="9"/>
    <n v="13.98"/>
  </r>
  <r>
    <s v="0 Original"/>
    <s v="(1395)"/>
    <n v="1395"/>
    <s v="2014-10-02 Adrian Dodson(405)"/>
    <x v="1"/>
    <n v="7.99"/>
    <n v="1"/>
    <s v="www"/>
    <d v="2014-10-02T09:16:33"/>
    <d v="2014-10-02T00:00:00"/>
    <x v="9"/>
    <n v="7.99"/>
  </r>
  <r>
    <s v="0 Original"/>
    <s v="(1396)"/>
    <n v="1396"/>
    <s v="2014-10-02 Adrian Dodson(405)"/>
    <x v="47"/>
    <n v="6.99"/>
    <n v="1"/>
    <s v="www"/>
    <d v="2014-10-02T09:16:33"/>
    <d v="2014-10-02T00:00:00"/>
    <x v="9"/>
    <n v="6.99"/>
  </r>
  <r>
    <s v="0 Original"/>
    <s v="(1397)"/>
    <n v="1397"/>
    <s v="2014-10-02 Adrian Dodson(405)"/>
    <x v="57"/>
    <n v="4.99"/>
    <n v="2"/>
    <s v="www"/>
    <d v="2014-10-02T09:16:33"/>
    <d v="2014-10-02T00:00:00"/>
    <x v="9"/>
    <n v="9.98"/>
  </r>
  <r>
    <s v="0 Original"/>
    <s v="(1398)"/>
    <n v="1398"/>
    <s v="2014-10-02 Adrian Dodson(405)"/>
    <x v="35"/>
    <n v="9.99"/>
    <n v="2"/>
    <s v="www"/>
    <d v="2014-10-02T09:16:33"/>
    <d v="2014-10-02T00:00:00"/>
    <x v="9"/>
    <n v="19.98"/>
  </r>
  <r>
    <s v="0 Original"/>
    <s v="(299)"/>
    <n v="299"/>
    <s v="2014-10-02 Iona Simpson(81)"/>
    <x v="18"/>
    <n v="5.99"/>
    <n v="1"/>
    <s v="www"/>
    <d v="2014-10-02T15:15:53"/>
    <d v="2014-10-02T00:00:00"/>
    <x v="9"/>
    <n v="5.99"/>
  </r>
  <r>
    <s v="0 Original"/>
    <s v="(300)"/>
    <n v="300"/>
    <s v="2014-10-02 Iona Simpson(81)"/>
    <x v="30"/>
    <n v="6.99"/>
    <n v="2"/>
    <s v="www"/>
    <d v="2014-10-02T15:15:53"/>
    <d v="2014-10-02T00:00:00"/>
    <x v="9"/>
    <n v="13.98"/>
  </r>
  <r>
    <s v="0 Original"/>
    <s v="(301)"/>
    <n v="301"/>
    <s v="2014-10-02 Iona Simpson(81)"/>
    <x v="152"/>
    <n v="4.99"/>
    <n v="1"/>
    <s v="www"/>
    <d v="2014-10-02T15:15:53"/>
    <d v="2014-10-02T00:00:00"/>
    <x v="9"/>
    <n v="4.99"/>
  </r>
  <r>
    <s v="0 Original"/>
    <s v="(302)"/>
    <n v="302"/>
    <s v="2014-10-02 Iona Simpson(81)"/>
    <x v="1"/>
    <n v="7.99"/>
    <n v="1"/>
    <s v="www"/>
    <d v="2014-10-02T15:15:53"/>
    <d v="2014-10-02T00:00:00"/>
    <x v="9"/>
    <n v="7.99"/>
  </r>
  <r>
    <s v="0 Original"/>
    <s v="(303)"/>
    <n v="303"/>
    <s v="2014-10-02 Iona Simpson(81)"/>
    <x v="14"/>
    <n v="7.99"/>
    <n v="1"/>
    <s v="www"/>
    <d v="2014-10-02T15:15:53"/>
    <d v="2014-10-02T00:00:00"/>
    <x v="9"/>
    <n v="7.99"/>
  </r>
  <r>
    <s v="0 Original"/>
    <s v="(304)"/>
    <n v="304"/>
    <s v="2014-10-02 Iona Simpson(81)"/>
    <x v="92"/>
    <n v="7.99"/>
    <n v="1"/>
    <s v="www"/>
    <d v="2014-10-02T15:15:53"/>
    <d v="2014-10-02T00:00:00"/>
    <x v="9"/>
    <n v="7.99"/>
  </r>
  <r>
    <s v="0 Original"/>
    <s v="(305)"/>
    <n v="305"/>
    <s v="2014-10-02 Iona Simpson(81)"/>
    <x v="64"/>
    <n v="6.99"/>
    <n v="1"/>
    <s v="www"/>
    <d v="2014-10-02T15:15:53"/>
    <d v="2014-10-02T00:00:00"/>
    <x v="9"/>
    <n v="6.99"/>
  </r>
  <r>
    <s v="0 Original"/>
    <s v="(306)"/>
    <n v="306"/>
    <s v="2014-10-02 Iona Simpson(81)"/>
    <x v="114"/>
    <n v="8.99"/>
    <n v="1"/>
    <s v="www"/>
    <d v="2014-10-02T15:15:53"/>
    <d v="2014-10-02T00:00:00"/>
    <x v="9"/>
    <n v="8.99"/>
  </r>
  <r>
    <s v="0 Original"/>
    <s v="(3329)"/>
    <n v="3329"/>
    <s v="2014-10-03 Christine Medina(1008)"/>
    <x v="23"/>
    <n v="9.99"/>
    <n v="1"/>
    <s v="www"/>
    <d v="2014-10-03T00:55:55"/>
    <d v="2014-10-03T00:00:00"/>
    <x v="9"/>
    <n v="9.99"/>
  </r>
  <r>
    <s v="0 Original"/>
    <s v="(3330)"/>
    <n v="3330"/>
    <s v="2014-10-03 Christine Medina(1008)"/>
    <x v="7"/>
    <n v="9.99"/>
    <n v="1"/>
    <s v="www"/>
    <d v="2014-10-03T00:55:55"/>
    <d v="2014-10-03T00:00:00"/>
    <x v="9"/>
    <n v="9.99"/>
  </r>
  <r>
    <s v="0 Original"/>
    <s v="(3331)"/>
    <n v="3331"/>
    <s v="2014-10-03 Christine Medina(1008)"/>
    <x v="6"/>
    <n v="5.99"/>
    <n v="1"/>
    <s v="www"/>
    <d v="2014-10-03T00:55:55"/>
    <d v="2014-10-03T00:00:00"/>
    <x v="9"/>
    <n v="5.99"/>
  </r>
  <r>
    <s v="0 Original"/>
    <s v="(3332)"/>
    <n v="3332"/>
    <s v="2014-10-03 Christine Medina(1008)"/>
    <x v="16"/>
    <n v="6.99"/>
    <n v="1"/>
    <s v="www"/>
    <d v="2014-10-03T00:55:55"/>
    <d v="2014-10-03T00:00:00"/>
    <x v="9"/>
    <n v="6.99"/>
  </r>
  <r>
    <s v="0 Original"/>
    <s v="(2526)"/>
    <n v="2526"/>
    <s v="2014-10-05 Cameron Rivera(759)"/>
    <x v="16"/>
    <n v="6.99"/>
    <n v="1"/>
    <s v="www"/>
    <d v="2014-10-05T18:38:14"/>
    <d v="2014-10-05T00:00:00"/>
    <x v="9"/>
    <n v="6.99"/>
  </r>
  <r>
    <s v="0 Original"/>
    <s v="(3179)"/>
    <n v="3179"/>
    <s v="2014-10-06 Bernard Cash(958)"/>
    <x v="9"/>
    <n v="7.99"/>
    <n v="1"/>
    <s v="www"/>
    <d v="2014-10-06T02:26:52"/>
    <d v="2014-10-06T00:00:00"/>
    <x v="9"/>
    <n v="7.99"/>
  </r>
  <r>
    <s v="0 Original"/>
    <s v="(3180)"/>
    <n v="3180"/>
    <s v="2014-10-06 Bernard Cash(958)"/>
    <x v="9"/>
    <n v="7.99"/>
    <n v="1"/>
    <s v="www"/>
    <d v="2014-10-06T02:26:52"/>
    <d v="2014-10-06T00:00:00"/>
    <x v="9"/>
    <n v="7.99"/>
  </r>
  <r>
    <s v="0 Original"/>
    <s v="(3181)"/>
    <n v="3181"/>
    <s v="2014-10-06 Bernard Cash(958)"/>
    <x v="41"/>
    <n v="4.99"/>
    <n v="1"/>
    <s v="www"/>
    <d v="2014-10-06T02:26:52"/>
    <d v="2014-10-06T00:00:00"/>
    <x v="9"/>
    <n v="4.99"/>
  </r>
  <r>
    <s v="0 Original"/>
    <s v="(3770)"/>
    <n v="3770"/>
    <s v="2014-10-06 Ora Mann(1143)"/>
    <x v="16"/>
    <n v="6.99"/>
    <n v="1"/>
    <s v="www"/>
    <d v="2014-10-06T05:08:39"/>
    <d v="2014-10-06T00:00:00"/>
    <x v="9"/>
    <n v="6.99"/>
  </r>
  <r>
    <s v="0 Original"/>
    <s v="(3771)"/>
    <n v="3771"/>
    <s v="2014-10-06 Ora Mann(1143)"/>
    <x v="7"/>
    <n v="9.99"/>
    <n v="1"/>
    <s v="www"/>
    <d v="2014-10-06T05:08:39"/>
    <d v="2014-10-06T00:00:00"/>
    <x v="9"/>
    <n v="9.99"/>
  </r>
  <r>
    <s v="0 Original"/>
    <s v="(3772)"/>
    <n v="3772"/>
    <s v="2014-10-06 Ora Mann(1143)"/>
    <x v="7"/>
    <n v="9.99"/>
    <n v="2"/>
    <s v="www"/>
    <d v="2014-10-06T05:08:39"/>
    <d v="2014-10-06T00:00:00"/>
    <x v="9"/>
    <n v="19.98"/>
  </r>
  <r>
    <s v="0 Original"/>
    <s v="(1095)"/>
    <n v="1095"/>
    <s v="2014-10-06 Alma Salas(314)"/>
    <x v="65"/>
    <n v="4.99"/>
    <n v="1"/>
    <s v="www"/>
    <d v="2014-10-06T11:04:39"/>
    <d v="2014-10-06T00:00:00"/>
    <x v="9"/>
    <n v="4.99"/>
  </r>
  <r>
    <s v="0 Original"/>
    <s v="(759)"/>
    <n v="759"/>
    <s v="2014-10-06 Lois Valdez(215)"/>
    <x v="42"/>
    <n v="5.99"/>
    <n v="2"/>
    <s v="www"/>
    <d v="2014-10-06T14:56:55"/>
    <d v="2014-10-06T00:00:00"/>
    <x v="9"/>
    <n v="11.98"/>
  </r>
  <r>
    <s v="0 Original"/>
    <s v="(760)"/>
    <n v="760"/>
    <s v="2014-10-06 Lois Valdez(215)"/>
    <x v="107"/>
    <n v="8.99"/>
    <n v="2"/>
    <s v="www"/>
    <d v="2014-10-06T14:56:55"/>
    <d v="2014-10-06T00:00:00"/>
    <x v="9"/>
    <n v="17.98"/>
  </r>
  <r>
    <s v="0 Original"/>
    <s v="(2011)"/>
    <n v="2011"/>
    <s v="2014-10-06 Ulysses Hudson(592)"/>
    <x v="43"/>
    <n v="4.99"/>
    <n v="1"/>
    <s v="www"/>
    <d v="2014-10-06T23:18:36"/>
    <d v="2014-10-06T00:00:00"/>
    <x v="9"/>
    <n v="4.99"/>
  </r>
  <r>
    <s v="0 Original"/>
    <s v="(2012)"/>
    <n v="2012"/>
    <s v="2014-10-06 Ulysses Hudson(592)"/>
    <x v="66"/>
    <n v="9.99"/>
    <n v="2"/>
    <s v="www"/>
    <d v="2014-10-06T23:18:36"/>
    <d v="2014-10-06T00:00:00"/>
    <x v="9"/>
    <n v="19.98"/>
  </r>
  <r>
    <s v="0 Original"/>
    <s v="(2013)"/>
    <n v="2013"/>
    <s v="2014-10-06 Ulysses Hudson(592)"/>
    <x v="25"/>
    <n v="9.99"/>
    <n v="2"/>
    <s v="www"/>
    <d v="2014-10-06T23:18:36"/>
    <d v="2014-10-06T00:00:00"/>
    <x v="9"/>
    <n v="19.98"/>
  </r>
  <r>
    <s v="0 Original"/>
    <s v="(2014)"/>
    <n v="2014"/>
    <s v="2014-10-06 Ulysses Hudson(592)"/>
    <x v="82"/>
    <n v="5.99"/>
    <n v="1"/>
    <s v="www"/>
    <d v="2014-10-06T23:18:36"/>
    <d v="2014-10-06T00:00:00"/>
    <x v="9"/>
    <n v="5.99"/>
  </r>
  <r>
    <s v="0 Original"/>
    <s v="(2015)"/>
    <n v="2015"/>
    <s v="2014-10-06 Ulysses Hudson(592)"/>
    <x v="7"/>
    <n v="9.99"/>
    <n v="2"/>
    <s v="www"/>
    <d v="2014-10-06T23:18:36"/>
    <d v="2014-10-06T00:00:00"/>
    <x v="9"/>
    <n v="19.98"/>
  </r>
  <r>
    <s v="0 Original"/>
    <s v="(2016)"/>
    <n v="2016"/>
    <s v="2014-10-06 Ulysses Hudson(592)"/>
    <x v="5"/>
    <n v="9.99"/>
    <n v="1"/>
    <s v="www"/>
    <d v="2014-10-06T23:18:36"/>
    <d v="2014-10-06T00:00:00"/>
    <x v="9"/>
    <n v="9.99"/>
  </r>
  <r>
    <s v="0 Original"/>
    <s v="(2017)"/>
    <n v="2017"/>
    <s v="2014-10-06 Ulysses Hudson(592)"/>
    <x v="31"/>
    <n v="8.99"/>
    <n v="1"/>
    <s v="www"/>
    <d v="2014-10-06T23:18:36"/>
    <d v="2014-10-06T00:00:00"/>
    <x v="9"/>
    <n v="8.99"/>
  </r>
  <r>
    <s v="0 Original"/>
    <s v="(3533)"/>
    <n v="3533"/>
    <s v="2014-10-08 John Drake(1068)"/>
    <x v="7"/>
    <n v="9.99"/>
    <n v="1"/>
    <s v="www"/>
    <d v="2014-10-08T19:51:24"/>
    <d v="2014-10-08T00:00:00"/>
    <x v="9"/>
    <n v="9.99"/>
  </r>
  <r>
    <s v="0 Original"/>
    <s v="(3534)"/>
    <n v="3534"/>
    <s v="2014-10-08 John Drake(1068)"/>
    <x v="16"/>
    <n v="6.99"/>
    <n v="2"/>
    <s v="www"/>
    <d v="2014-10-08T19:51:24"/>
    <d v="2014-10-08T00:00:00"/>
    <x v="9"/>
    <n v="13.98"/>
  </r>
  <r>
    <s v="0 Original"/>
    <s v="(3535)"/>
    <n v="3535"/>
    <s v="2014-10-08 John Drake(1068)"/>
    <x v="24"/>
    <n v="7.99"/>
    <n v="1"/>
    <s v="www"/>
    <d v="2014-10-08T19:51:24"/>
    <d v="2014-10-08T00:00:00"/>
    <x v="9"/>
    <n v="7.99"/>
  </r>
  <r>
    <s v="0 Original"/>
    <s v="(683)"/>
    <n v="683"/>
    <s v="2014-10-09 Claudia Crane(195)"/>
    <x v="46"/>
    <n v="5.99"/>
    <n v="1"/>
    <s v="www"/>
    <d v="2014-10-09T21:15:06"/>
    <d v="2014-10-09T00:00:00"/>
    <x v="9"/>
    <n v="5.99"/>
  </r>
  <r>
    <s v="0 Original"/>
    <s v="(684)"/>
    <n v="684"/>
    <s v="2014-10-09 Claudia Crane(195)"/>
    <x v="150"/>
    <n v="8.99"/>
    <n v="1"/>
    <s v="www"/>
    <d v="2014-10-09T21:15:06"/>
    <d v="2014-10-09T00:00:00"/>
    <x v="9"/>
    <n v="8.99"/>
  </r>
  <r>
    <s v="0 Original"/>
    <s v="(685)"/>
    <n v="685"/>
    <s v="2014-10-09 Claudia Crane(195)"/>
    <x v="115"/>
    <n v="8.99"/>
    <n v="1"/>
    <s v="www"/>
    <d v="2014-10-09T21:15:06"/>
    <d v="2014-10-09T00:00:00"/>
    <x v="9"/>
    <n v="8.99"/>
  </r>
  <r>
    <s v="0 Original"/>
    <s v="(686)"/>
    <n v="686"/>
    <s v="2014-10-09 Claudia Crane(195)"/>
    <x v="113"/>
    <n v="9.99"/>
    <n v="2"/>
    <s v="www"/>
    <d v="2014-10-09T21:15:06"/>
    <d v="2014-10-09T00:00:00"/>
    <x v="9"/>
    <n v="19.98"/>
  </r>
  <r>
    <s v="0 Original"/>
    <s v="(687)"/>
    <n v="687"/>
    <s v="2014-10-09 Claudia Crane(195)"/>
    <x v="34"/>
    <n v="8.99"/>
    <n v="1"/>
    <s v="www"/>
    <d v="2014-10-09T21:15:06"/>
    <d v="2014-10-09T00:00:00"/>
    <x v="9"/>
    <n v="8.99"/>
  </r>
  <r>
    <s v="0 Original"/>
    <s v="(2898)"/>
    <n v="2898"/>
    <s v="2014-10-10 Prescott Nelson(873)"/>
    <x v="6"/>
    <n v="5.99"/>
    <n v="1"/>
    <s v="www"/>
    <d v="2014-10-10T07:35:07"/>
    <d v="2014-10-10T00:00:00"/>
    <x v="9"/>
    <n v="5.99"/>
  </r>
  <r>
    <s v="0 Original"/>
    <s v="(2899)"/>
    <n v="2899"/>
    <s v="2014-10-10 Prescott Nelson(873)"/>
    <x v="41"/>
    <n v="4.99"/>
    <n v="1"/>
    <s v="www"/>
    <d v="2014-10-10T07:35:07"/>
    <d v="2014-10-10T00:00:00"/>
    <x v="9"/>
    <n v="4.99"/>
  </r>
  <r>
    <s v="0 Original"/>
    <s v="(2900)"/>
    <n v="2900"/>
    <s v="2014-10-10 Prescott Nelson(873)"/>
    <x v="30"/>
    <n v="6.99"/>
    <n v="1"/>
    <s v="www"/>
    <d v="2014-10-10T07:35:07"/>
    <d v="2014-10-10T00:00:00"/>
    <x v="9"/>
    <n v="6.99"/>
  </r>
  <r>
    <s v="0 Original"/>
    <s v="(2901)"/>
    <n v="2901"/>
    <s v="2014-10-10 Prescott Nelson(873)"/>
    <x v="25"/>
    <n v="9.99"/>
    <n v="2"/>
    <s v="www"/>
    <d v="2014-10-10T07:35:07"/>
    <d v="2014-10-10T00:00:00"/>
    <x v="9"/>
    <n v="19.98"/>
  </r>
  <r>
    <s v="0 Original"/>
    <s v="(3392)"/>
    <n v="3392"/>
    <s v="2014-10-10 Christine Medina(1025)"/>
    <x v="24"/>
    <n v="7.99"/>
    <n v="2"/>
    <s v="www"/>
    <d v="2014-10-10T11:33:34"/>
    <d v="2014-10-10T00:00:00"/>
    <x v="9"/>
    <n v="15.98"/>
  </r>
  <r>
    <s v="0 Original"/>
    <s v="(3393)"/>
    <n v="3393"/>
    <s v="2014-10-10 Christine Medina(1025)"/>
    <x v="30"/>
    <n v="6.99"/>
    <n v="1"/>
    <s v="www"/>
    <d v="2014-10-10T11:33:34"/>
    <d v="2014-10-10T00:00:00"/>
    <x v="9"/>
    <n v="6.99"/>
  </r>
  <r>
    <s v="0 Original"/>
    <s v="(3394)"/>
    <n v="3394"/>
    <s v="2014-10-10 Christine Medina(1025)"/>
    <x v="23"/>
    <n v="9.99"/>
    <n v="1"/>
    <s v="www"/>
    <d v="2014-10-10T11:33:34"/>
    <d v="2014-10-10T00:00:00"/>
    <x v="9"/>
    <n v="9.99"/>
  </r>
  <r>
    <s v="0 Original"/>
    <s v="(3395)"/>
    <n v="3395"/>
    <s v="2014-10-10 Christine Medina(1025)"/>
    <x v="7"/>
    <n v="9.99"/>
    <n v="2"/>
    <s v="www"/>
    <d v="2014-10-10T11:33:34"/>
    <d v="2014-10-10T00:00:00"/>
    <x v="9"/>
    <n v="19.98"/>
  </r>
  <r>
    <s v="0 Original"/>
    <s v="(3396)"/>
    <n v="3396"/>
    <s v="2014-10-10 Christine Medina(1025)"/>
    <x v="9"/>
    <n v="7.99"/>
    <n v="1"/>
    <s v="www"/>
    <d v="2014-10-10T11:33:34"/>
    <d v="2014-10-10T00:00:00"/>
    <x v="9"/>
    <n v="7.99"/>
  </r>
  <r>
    <s v="0 Original"/>
    <s v="(3397)"/>
    <n v="3397"/>
    <s v="2014-10-10 Christine Medina(1025)"/>
    <x v="6"/>
    <n v="5.99"/>
    <n v="2"/>
    <s v="www"/>
    <d v="2014-10-10T11:33:34"/>
    <d v="2014-10-10T00:00:00"/>
    <x v="9"/>
    <n v="11.98"/>
  </r>
  <r>
    <s v="0 Original"/>
    <s v="(2240)"/>
    <n v="2240"/>
    <s v="2014-10-10 Nayda Shields(660)"/>
    <x v="49"/>
    <n v="8.99"/>
    <n v="1"/>
    <s v="www"/>
    <d v="2014-10-10T15:58:33"/>
    <d v="2014-10-10T00:00:00"/>
    <x v="9"/>
    <n v="8.99"/>
  </r>
  <r>
    <s v="0 Original"/>
    <s v="(2241)"/>
    <n v="2241"/>
    <s v="2014-10-10 Nayda Shields(660)"/>
    <x v="33"/>
    <n v="4.99"/>
    <n v="1"/>
    <s v="www"/>
    <d v="2014-10-10T15:58:33"/>
    <d v="2014-10-10T00:00:00"/>
    <x v="9"/>
    <n v="4.99"/>
  </r>
  <r>
    <s v="0 Original"/>
    <s v="(2242)"/>
    <n v="2242"/>
    <s v="2014-10-10 Nayda Shields(660)"/>
    <x v="13"/>
    <n v="8.99"/>
    <n v="2"/>
    <s v="www"/>
    <d v="2014-10-10T15:58:33"/>
    <d v="2014-10-10T00:00:00"/>
    <x v="9"/>
    <n v="17.98"/>
  </r>
  <r>
    <s v="0 Original"/>
    <s v="(3706)"/>
    <n v="3706"/>
    <s v="2014-10-11 John Drake(1124)"/>
    <x v="8"/>
    <n v="4.99"/>
    <n v="1"/>
    <s v="www"/>
    <d v="2014-10-11T00:09:40"/>
    <d v="2014-10-11T00:00:00"/>
    <x v="9"/>
    <n v="4.99"/>
  </r>
  <r>
    <s v="0 Original"/>
    <s v="(3707)"/>
    <n v="3707"/>
    <s v="2014-10-11 John Drake(1124)"/>
    <x v="16"/>
    <n v="6.99"/>
    <n v="1"/>
    <s v="www"/>
    <d v="2014-10-11T00:09:40"/>
    <d v="2014-10-11T00:00:00"/>
    <x v="9"/>
    <n v="6.99"/>
  </r>
  <r>
    <s v="0 Original"/>
    <s v="(3708)"/>
    <n v="3708"/>
    <s v="2014-10-11 John Drake(1124)"/>
    <x v="25"/>
    <n v="9.99"/>
    <n v="1"/>
    <s v="www"/>
    <d v="2014-10-11T00:09:40"/>
    <d v="2014-10-11T00:00:00"/>
    <x v="9"/>
    <n v="9.99"/>
  </r>
  <r>
    <s v="0 Original"/>
    <s v="(3709)"/>
    <n v="3709"/>
    <s v="2014-10-11 John Drake(1124)"/>
    <x v="23"/>
    <n v="9.99"/>
    <n v="2"/>
    <s v="www"/>
    <d v="2014-10-11T00:09:40"/>
    <d v="2014-10-11T00:00:00"/>
    <x v="9"/>
    <n v="19.98"/>
  </r>
  <r>
    <s v="0 Original"/>
    <s v="(106)"/>
    <n v="106"/>
    <s v="2014-10-11 Lucius Gallagher(32)"/>
    <x v="114"/>
    <n v="8.99"/>
    <n v="2"/>
    <s v="www"/>
    <d v="2014-10-11T09:22:38"/>
    <d v="2014-10-11T00:00:00"/>
    <x v="9"/>
    <n v="17.98"/>
  </r>
  <r>
    <s v="0 Original"/>
    <s v="(107)"/>
    <n v="107"/>
    <s v="2014-10-11 Lucius Gallagher(32)"/>
    <x v="33"/>
    <n v="4.99"/>
    <n v="1"/>
    <s v="www"/>
    <d v="2014-10-11T09:22:38"/>
    <d v="2014-10-11T00:00:00"/>
    <x v="9"/>
    <n v="4.99"/>
  </r>
  <r>
    <s v="0 Original"/>
    <s v="(108)"/>
    <n v="108"/>
    <s v="2014-10-11 Lucius Gallagher(32)"/>
    <x v="16"/>
    <n v="6.99"/>
    <n v="1"/>
    <s v="www"/>
    <d v="2014-10-11T09:22:38"/>
    <d v="2014-10-11T00:00:00"/>
    <x v="9"/>
    <n v="6.99"/>
  </r>
  <r>
    <s v="0 Original"/>
    <s v="(109)"/>
    <n v="109"/>
    <s v="2014-10-11 Lucius Gallagher(32)"/>
    <x v="104"/>
    <n v="4.99"/>
    <n v="1"/>
    <s v="www"/>
    <d v="2014-10-11T09:22:38"/>
    <d v="2014-10-11T00:00:00"/>
    <x v="9"/>
    <n v="4.99"/>
  </r>
  <r>
    <s v="0 Original"/>
    <s v="(2882)"/>
    <n v="2882"/>
    <s v="2014-10-12 Nayda Shields(867)"/>
    <x v="30"/>
    <n v="6.99"/>
    <n v="1"/>
    <s v="www"/>
    <d v="2014-10-12T02:22:03"/>
    <d v="2014-10-12T00:00:00"/>
    <x v="9"/>
    <n v="6.99"/>
  </r>
  <r>
    <s v="0 Original"/>
    <s v="(2883)"/>
    <n v="2883"/>
    <s v="2014-10-12 Nayda Shields(867)"/>
    <x v="8"/>
    <n v="4.99"/>
    <n v="1"/>
    <s v="www"/>
    <d v="2014-10-12T02:22:03"/>
    <d v="2014-10-12T00:00:00"/>
    <x v="9"/>
    <n v="4.99"/>
  </r>
  <r>
    <s v="0 Original"/>
    <s v="(3924)"/>
    <n v="3924"/>
    <s v="2014-10-13 Donovan Gomez(1188)"/>
    <x v="41"/>
    <n v="4.99"/>
    <n v="2"/>
    <s v="www"/>
    <d v="2014-10-13T13:02:36"/>
    <d v="2014-10-13T00:00:00"/>
    <x v="9"/>
    <n v="9.98"/>
  </r>
  <r>
    <s v="0 Original"/>
    <s v="(3925)"/>
    <n v="3925"/>
    <s v="2014-10-13 Donovan Gomez(1188)"/>
    <x v="6"/>
    <n v="5.99"/>
    <n v="2"/>
    <s v="www"/>
    <d v="2014-10-13T13:02:36"/>
    <d v="2014-10-13T00:00:00"/>
    <x v="9"/>
    <n v="11.98"/>
  </r>
  <r>
    <s v="0 Original"/>
    <s v="(403)"/>
    <n v="403"/>
    <s v="2014-10-13 Christine Medina(112)"/>
    <x v="8"/>
    <n v="4.99"/>
    <n v="1"/>
    <s v="www"/>
    <d v="2014-10-13T18:13:36"/>
    <d v="2014-10-13T00:00:00"/>
    <x v="9"/>
    <n v="4.99"/>
  </r>
  <r>
    <s v="0 Original"/>
    <s v="(404)"/>
    <n v="404"/>
    <s v="2014-10-13 Christine Medina(112)"/>
    <x v="155"/>
    <n v="8.99"/>
    <n v="1"/>
    <s v="www"/>
    <d v="2014-10-13T18:13:36"/>
    <d v="2014-10-13T00:00:00"/>
    <x v="9"/>
    <n v="8.99"/>
  </r>
  <r>
    <s v="0 Original"/>
    <s v="(405)"/>
    <n v="405"/>
    <s v="2014-10-13 Christine Medina(112)"/>
    <x v="156"/>
    <n v="5.99"/>
    <n v="1"/>
    <s v="www"/>
    <d v="2014-10-13T18:13:36"/>
    <d v="2014-10-13T00:00:00"/>
    <x v="9"/>
    <n v="5.99"/>
  </r>
  <r>
    <s v="0 Original"/>
    <s v="(3476)"/>
    <n v="3476"/>
    <s v="2014-10-14 Madeline Reynolds(1050)"/>
    <x v="8"/>
    <n v="4.99"/>
    <n v="1"/>
    <s v="www"/>
    <d v="2014-10-14T03:09:30"/>
    <d v="2014-10-14T00:00:00"/>
    <x v="9"/>
    <n v="4.99"/>
  </r>
  <r>
    <s v="0 Original"/>
    <s v="(3477)"/>
    <n v="3477"/>
    <s v="2014-10-14 Madeline Reynolds(1050)"/>
    <x v="9"/>
    <n v="7.99"/>
    <n v="1"/>
    <s v="www"/>
    <d v="2014-10-14T03:09:30"/>
    <d v="2014-10-14T00:00:00"/>
    <x v="9"/>
    <n v="7.99"/>
  </r>
  <r>
    <s v="0 Original"/>
    <s v="(3478)"/>
    <n v="3478"/>
    <s v="2014-10-14 Madeline Reynolds(1050)"/>
    <x v="16"/>
    <n v="6.99"/>
    <n v="1"/>
    <s v="www"/>
    <d v="2014-10-14T03:09:30"/>
    <d v="2014-10-14T00:00:00"/>
    <x v="9"/>
    <n v="6.99"/>
  </r>
  <r>
    <s v="0 Original"/>
    <s v="(3479)"/>
    <n v="3479"/>
    <s v="2014-10-14 Madeline Reynolds(1050)"/>
    <x v="23"/>
    <n v="9.99"/>
    <n v="1"/>
    <s v="www"/>
    <d v="2014-10-14T03:09:30"/>
    <d v="2014-10-14T00:00:00"/>
    <x v="9"/>
    <n v="9.99"/>
  </r>
  <r>
    <s v="0 Original"/>
    <s v="(3480)"/>
    <n v="3480"/>
    <s v="2014-10-14 Madeline Reynolds(1050)"/>
    <x v="6"/>
    <n v="5.99"/>
    <n v="1"/>
    <s v="www"/>
    <d v="2014-10-14T03:09:30"/>
    <d v="2014-10-14T00:00:00"/>
    <x v="9"/>
    <n v="5.99"/>
  </r>
  <r>
    <s v="0 Original"/>
    <s v="(1705)"/>
    <n v="1705"/>
    <s v="2014-10-14 Anne Slater(500)"/>
    <x v="20"/>
    <n v="7.99"/>
    <n v="1"/>
    <s v="www"/>
    <d v="2014-10-14T09:18:16"/>
    <d v="2014-10-14T00:00:00"/>
    <x v="9"/>
    <n v="7.99"/>
  </r>
  <r>
    <s v="0 Original"/>
    <s v="(3055)"/>
    <n v="3055"/>
    <s v="2014-10-15 Christine Medina(919)"/>
    <x v="16"/>
    <n v="6.99"/>
    <n v="1"/>
    <s v="www"/>
    <d v="2014-10-15T03:15:39"/>
    <d v="2014-10-15T00:00:00"/>
    <x v="9"/>
    <n v="6.99"/>
  </r>
  <r>
    <s v="0 Original"/>
    <s v="(3056)"/>
    <n v="3056"/>
    <s v="2014-10-15 Christine Medina(919)"/>
    <x v="23"/>
    <n v="9.99"/>
    <n v="1"/>
    <s v="www"/>
    <d v="2014-10-15T03:15:39"/>
    <d v="2014-10-15T00:00:00"/>
    <x v="9"/>
    <n v="9.99"/>
  </r>
  <r>
    <s v="0 Original"/>
    <s v="(3419)"/>
    <n v="3419"/>
    <s v="2014-10-15 Belle Short(1033)"/>
    <x v="6"/>
    <n v="5.99"/>
    <n v="2"/>
    <s v="www"/>
    <d v="2014-10-15T13:07:18"/>
    <d v="2014-10-15T00:00:00"/>
    <x v="9"/>
    <n v="11.98"/>
  </r>
  <r>
    <s v="0 Original"/>
    <s v="(3420)"/>
    <n v="3420"/>
    <s v="2014-10-15 Belle Short(1033)"/>
    <x v="7"/>
    <n v="9.99"/>
    <n v="1"/>
    <s v="www"/>
    <d v="2014-10-15T13:07:18"/>
    <d v="2014-10-15T00:00:00"/>
    <x v="9"/>
    <n v="9.99"/>
  </r>
  <r>
    <s v="0 Original"/>
    <s v="(3421)"/>
    <n v="3421"/>
    <s v="2014-10-15 Belle Short(1033)"/>
    <x v="9"/>
    <n v="7.99"/>
    <n v="2"/>
    <s v="www"/>
    <d v="2014-10-15T13:07:18"/>
    <d v="2014-10-15T00:00:00"/>
    <x v="9"/>
    <n v="15.98"/>
  </r>
  <r>
    <s v="0 Original"/>
    <s v="(3422)"/>
    <n v="3422"/>
    <s v="2014-10-15 Belle Short(1033)"/>
    <x v="25"/>
    <n v="9.99"/>
    <n v="2"/>
    <s v="www"/>
    <d v="2014-10-15T13:07:18"/>
    <d v="2014-10-15T00:00:00"/>
    <x v="9"/>
    <n v="19.98"/>
  </r>
  <r>
    <s v="0 Original"/>
    <s v="(3423)"/>
    <n v="3423"/>
    <s v="2014-10-15 Belle Short(1033)"/>
    <x v="7"/>
    <n v="9.99"/>
    <n v="1"/>
    <s v="www"/>
    <d v="2014-10-15T13:07:18"/>
    <d v="2014-10-15T00:00:00"/>
    <x v="9"/>
    <n v="9.99"/>
  </r>
  <r>
    <s v="0 Original"/>
    <s v="(3424)"/>
    <n v="3424"/>
    <s v="2014-10-15 Belle Short(1033)"/>
    <x v="6"/>
    <n v="5.99"/>
    <n v="1"/>
    <s v="www"/>
    <d v="2014-10-15T13:07:18"/>
    <d v="2014-10-15T00:00:00"/>
    <x v="9"/>
    <n v="5.99"/>
  </r>
  <r>
    <s v="0 Original"/>
    <s v="(3425)"/>
    <n v="3425"/>
    <s v="2014-10-15 Belle Short(1033)"/>
    <x v="25"/>
    <n v="9.99"/>
    <n v="1"/>
    <s v="www"/>
    <d v="2014-10-15T13:07:18"/>
    <d v="2014-10-15T00:00:00"/>
    <x v="9"/>
    <n v="9.99"/>
  </r>
  <r>
    <s v="0 Original"/>
    <s v="(2353)"/>
    <n v="2353"/>
    <s v="2014-10-15 Ulysses Hudson(700)"/>
    <x v="16"/>
    <n v="6.99"/>
    <n v="1"/>
    <s v="www"/>
    <d v="2014-10-15T22:32:35"/>
    <d v="2014-10-15T00:00:00"/>
    <x v="9"/>
    <n v="6.99"/>
  </r>
  <r>
    <s v="0 Original"/>
    <s v="(2354)"/>
    <n v="2354"/>
    <s v="2014-10-15 Ulysses Hudson(700)"/>
    <x v="2"/>
    <n v="7.99"/>
    <n v="1"/>
    <s v="www"/>
    <d v="2014-10-15T22:32:35"/>
    <d v="2014-10-15T00:00:00"/>
    <x v="9"/>
    <n v="7.99"/>
  </r>
  <r>
    <s v="0 Original"/>
    <s v="(2355)"/>
    <n v="2355"/>
    <s v="2014-10-15 Ulysses Hudson(700)"/>
    <x v="22"/>
    <n v="6.99"/>
    <n v="2"/>
    <s v="www"/>
    <d v="2014-10-15T22:32:35"/>
    <d v="2014-10-15T00:00:00"/>
    <x v="9"/>
    <n v="13.98"/>
  </r>
  <r>
    <s v="0 Original"/>
    <s v="(2539)"/>
    <n v="2539"/>
    <s v="2014-10-17 John Drake(763)"/>
    <x v="7"/>
    <n v="9.99"/>
    <n v="1"/>
    <s v="www"/>
    <d v="2014-10-17T10:16:47"/>
    <d v="2014-10-17T00:00:00"/>
    <x v="9"/>
    <n v="9.99"/>
  </r>
  <r>
    <s v="0 Original"/>
    <s v="(2540)"/>
    <n v="2540"/>
    <s v="2014-10-17 John Drake(763)"/>
    <x v="7"/>
    <n v="9.99"/>
    <n v="1"/>
    <s v="www"/>
    <d v="2014-10-17T10:16:47"/>
    <d v="2014-10-17T00:00:00"/>
    <x v="9"/>
    <n v="9.99"/>
  </r>
  <r>
    <s v="0 Original"/>
    <s v="(2541)"/>
    <n v="2541"/>
    <s v="2014-10-17 John Drake(763)"/>
    <x v="41"/>
    <n v="4.99"/>
    <n v="2"/>
    <s v="www"/>
    <d v="2014-10-17T10:16:47"/>
    <d v="2014-10-17T00:00:00"/>
    <x v="9"/>
    <n v="9.98"/>
  </r>
  <r>
    <s v="0 Original"/>
    <s v="(2542)"/>
    <n v="2542"/>
    <s v="2014-10-17 John Drake(763)"/>
    <x v="9"/>
    <n v="7.99"/>
    <n v="2"/>
    <s v="www"/>
    <d v="2014-10-17T10:16:47"/>
    <d v="2014-10-17T00:00:00"/>
    <x v="9"/>
    <n v="15.98"/>
  </r>
  <r>
    <s v="0 Original"/>
    <s v="(623)"/>
    <n v="623"/>
    <s v="2014-10-17 Vivian Mendoza(177)"/>
    <x v="87"/>
    <n v="8.99"/>
    <n v="2"/>
    <s v="www"/>
    <d v="2014-10-17T17:48:43"/>
    <d v="2014-10-17T00:00:00"/>
    <x v="9"/>
    <n v="17.98"/>
  </r>
  <r>
    <s v="0 Original"/>
    <s v="(624)"/>
    <n v="624"/>
    <s v="2014-10-17 Vivian Mendoza(177)"/>
    <x v="94"/>
    <n v="7.99"/>
    <n v="2"/>
    <s v="www"/>
    <d v="2014-10-17T17:48:43"/>
    <d v="2014-10-17T00:00:00"/>
    <x v="9"/>
    <n v="15.98"/>
  </r>
  <r>
    <s v="0 Original"/>
    <s v="(625)"/>
    <n v="625"/>
    <s v="2014-10-17 Vivian Mendoza(177)"/>
    <x v="98"/>
    <n v="5.99"/>
    <n v="1"/>
    <s v="www"/>
    <d v="2014-10-17T17:48:43"/>
    <d v="2014-10-17T00:00:00"/>
    <x v="9"/>
    <n v="5.99"/>
  </r>
  <r>
    <s v="0 Original"/>
    <s v="(3274)"/>
    <n v="3274"/>
    <s v="2014-10-18 Prescott Nelson(991)"/>
    <x v="9"/>
    <n v="7.99"/>
    <n v="2"/>
    <s v="www"/>
    <d v="2014-10-18T03:08:34"/>
    <d v="2014-10-18T00:00:00"/>
    <x v="9"/>
    <n v="15.98"/>
  </r>
  <r>
    <s v="0 Original"/>
    <s v="(3275)"/>
    <n v="3275"/>
    <s v="2014-10-18 Prescott Nelson(991)"/>
    <x v="16"/>
    <n v="6.99"/>
    <n v="1"/>
    <s v="www"/>
    <d v="2014-10-18T03:08:34"/>
    <d v="2014-10-18T00:00:00"/>
    <x v="9"/>
    <n v="6.99"/>
  </r>
  <r>
    <s v="0 Original"/>
    <s v="(1152)"/>
    <n v="1152"/>
    <s v="2014-10-19 Tate Lowery(336)"/>
    <x v="42"/>
    <n v="5.99"/>
    <n v="2"/>
    <s v="www"/>
    <d v="2014-10-19T04:04:48"/>
    <d v="2014-10-19T00:00:00"/>
    <x v="9"/>
    <n v="11.98"/>
  </r>
  <r>
    <s v="0 Original"/>
    <s v="(1153)"/>
    <n v="1153"/>
    <s v="2014-10-19 Tate Lowery(336)"/>
    <x v="17"/>
    <n v="9.99"/>
    <n v="1"/>
    <s v="www"/>
    <d v="2014-10-19T04:04:48"/>
    <d v="2014-10-19T00:00:00"/>
    <x v="9"/>
    <n v="9.99"/>
  </r>
  <r>
    <s v="0 Original"/>
    <s v="(2380)"/>
    <n v="2380"/>
    <s v="2014-10-19 Cameron Rivera(710)"/>
    <x v="30"/>
    <n v="6.99"/>
    <n v="1"/>
    <s v="www"/>
    <d v="2014-10-19T14:46:07"/>
    <d v="2014-10-19T00:00:00"/>
    <x v="9"/>
    <n v="6.99"/>
  </r>
  <r>
    <s v="0 Original"/>
    <s v="(2381)"/>
    <n v="2381"/>
    <s v="2014-10-19 Cameron Rivera(710)"/>
    <x v="23"/>
    <n v="9.99"/>
    <n v="1"/>
    <s v="www"/>
    <d v="2014-10-19T14:46:07"/>
    <d v="2014-10-19T00:00:00"/>
    <x v="9"/>
    <n v="9.99"/>
  </r>
  <r>
    <s v="0 Original"/>
    <s v="(981)"/>
    <n v="981"/>
    <s v="2014-10-19 Hanna Simpson(279)"/>
    <x v="10"/>
    <n v="8.99"/>
    <n v="1"/>
    <s v="www"/>
    <d v="2014-10-19T23:45:33"/>
    <d v="2014-10-19T00:00:00"/>
    <x v="9"/>
    <n v="8.99"/>
  </r>
  <r>
    <s v="0 Original"/>
    <s v="(982)"/>
    <n v="982"/>
    <s v="2014-10-19 Hanna Simpson(279)"/>
    <x v="33"/>
    <n v="4.99"/>
    <n v="1"/>
    <s v="www"/>
    <d v="2014-10-19T23:45:33"/>
    <d v="2014-10-19T00:00:00"/>
    <x v="9"/>
    <n v="4.99"/>
  </r>
  <r>
    <s v="0 Original"/>
    <s v="(983)"/>
    <n v="983"/>
    <s v="2014-10-19 Hanna Simpson(279)"/>
    <x v="9"/>
    <n v="7.99"/>
    <n v="1"/>
    <s v="www"/>
    <d v="2014-10-19T23:45:33"/>
    <d v="2014-10-19T00:00:00"/>
    <x v="9"/>
    <n v="7.99"/>
  </r>
  <r>
    <s v="0 Original"/>
    <s v="(984)"/>
    <n v="984"/>
    <s v="2014-10-19 Hanna Simpson(279)"/>
    <x v="33"/>
    <n v="4.99"/>
    <n v="1"/>
    <s v="www"/>
    <d v="2014-10-19T23:45:33"/>
    <d v="2014-10-19T00:00:00"/>
    <x v="9"/>
    <n v="4.99"/>
  </r>
  <r>
    <s v="0 Original"/>
    <s v="(985)"/>
    <n v="985"/>
    <s v="2014-10-19 Hanna Simpson(279)"/>
    <x v="44"/>
    <n v="9.99"/>
    <n v="1"/>
    <s v="www"/>
    <d v="2014-10-19T23:45:33"/>
    <d v="2014-10-19T00:00:00"/>
    <x v="9"/>
    <n v="9.99"/>
  </r>
  <r>
    <s v="0 Original"/>
    <s v="(1290)"/>
    <n v="1290"/>
    <s v="2014-10-20 Theodore Mills(376)"/>
    <x v="57"/>
    <n v="4.99"/>
    <n v="1"/>
    <s v="www"/>
    <d v="2014-10-20T01:01:00"/>
    <d v="2014-10-20T00:00:00"/>
    <x v="9"/>
    <n v="4.99"/>
  </r>
  <r>
    <s v="0 Original"/>
    <s v="(1291)"/>
    <n v="1291"/>
    <s v="2014-10-20 Theodore Mills(376)"/>
    <x v="7"/>
    <n v="9.99"/>
    <n v="1"/>
    <s v="www"/>
    <d v="2014-10-20T01:01:00"/>
    <d v="2014-10-20T00:00:00"/>
    <x v="9"/>
    <n v="9.99"/>
  </r>
  <r>
    <s v="0 Original"/>
    <s v="(1292)"/>
    <n v="1292"/>
    <s v="2014-10-20 Theodore Mills(376)"/>
    <x v="33"/>
    <n v="4.99"/>
    <n v="1"/>
    <s v="www"/>
    <d v="2014-10-20T01:01:00"/>
    <d v="2014-10-20T00:00:00"/>
    <x v="9"/>
    <n v="4.99"/>
  </r>
  <r>
    <s v="0 Original"/>
    <s v="(1293)"/>
    <n v="1293"/>
    <s v="2014-10-20 Theodore Mills(376)"/>
    <x v="42"/>
    <n v="5.99"/>
    <n v="1"/>
    <s v="www"/>
    <d v="2014-10-20T01:01:00"/>
    <d v="2014-10-20T00:00:00"/>
    <x v="9"/>
    <n v="5.99"/>
  </r>
  <r>
    <s v="0 Original"/>
    <s v="(1294)"/>
    <n v="1294"/>
    <s v="2014-10-20 Theodore Mills(376)"/>
    <x v="86"/>
    <n v="9.99"/>
    <n v="2"/>
    <s v="www"/>
    <d v="2014-10-20T01:01:00"/>
    <d v="2014-10-20T00:00:00"/>
    <x v="9"/>
    <n v="19.98"/>
  </r>
  <r>
    <s v="0 Original"/>
    <s v="(3572)"/>
    <n v="3572"/>
    <s v="2014-10-20 Christine Medina(1079)"/>
    <x v="9"/>
    <n v="7.99"/>
    <n v="1"/>
    <s v="www"/>
    <d v="2014-10-20T02:22:58"/>
    <d v="2014-10-20T00:00:00"/>
    <x v="9"/>
    <n v="7.99"/>
  </r>
  <r>
    <s v="0 Original"/>
    <s v="(3573)"/>
    <n v="3573"/>
    <s v="2014-10-20 Christine Medina(1079)"/>
    <x v="41"/>
    <n v="4.99"/>
    <n v="1"/>
    <s v="www"/>
    <d v="2014-10-20T02:22:58"/>
    <d v="2014-10-20T00:00:00"/>
    <x v="9"/>
    <n v="4.99"/>
  </r>
  <r>
    <s v="0 Original"/>
    <s v="(3574)"/>
    <n v="3574"/>
    <s v="2014-10-20 Christine Medina(1079)"/>
    <x v="25"/>
    <n v="9.99"/>
    <n v="1"/>
    <s v="www"/>
    <d v="2014-10-20T02:22:58"/>
    <d v="2014-10-20T00:00:00"/>
    <x v="9"/>
    <n v="9.99"/>
  </r>
  <r>
    <s v="0 Original"/>
    <s v="(3575)"/>
    <n v="3575"/>
    <s v="2014-10-20 Christine Medina(1079)"/>
    <x v="24"/>
    <n v="7.99"/>
    <n v="2"/>
    <s v="www"/>
    <d v="2014-10-20T02:22:58"/>
    <d v="2014-10-20T00:00:00"/>
    <x v="9"/>
    <n v="15.98"/>
  </r>
  <r>
    <s v="0 Original"/>
    <s v="(3621)"/>
    <n v="3621"/>
    <s v="2014-10-20 Christine Medina(1095)"/>
    <x v="6"/>
    <n v="5.99"/>
    <n v="1"/>
    <s v="www"/>
    <d v="2014-10-20T11:13:28"/>
    <d v="2014-10-20T00:00:00"/>
    <x v="9"/>
    <n v="5.99"/>
  </r>
  <r>
    <s v="0 Original"/>
    <s v="(3622)"/>
    <n v="3622"/>
    <s v="2014-10-20 Christine Medina(1095)"/>
    <x v="6"/>
    <n v="5.99"/>
    <n v="1"/>
    <s v="www"/>
    <d v="2014-10-20T11:13:28"/>
    <d v="2014-10-20T00:00:00"/>
    <x v="9"/>
    <n v="5.99"/>
  </r>
  <r>
    <s v="0 Original"/>
    <s v="(602)"/>
    <n v="602"/>
    <s v="2014-10-20 Uta Workman(172)"/>
    <x v="15"/>
    <n v="8.99"/>
    <n v="2"/>
    <s v="www"/>
    <d v="2014-10-20T22:45:28"/>
    <d v="2014-10-20T00:00:00"/>
    <x v="9"/>
    <n v="17.98"/>
  </r>
  <r>
    <s v="0 Original"/>
    <s v="(603)"/>
    <n v="603"/>
    <s v="2014-10-20 Uta Workman(172)"/>
    <x v="13"/>
    <n v="8.99"/>
    <n v="1"/>
    <s v="www"/>
    <d v="2014-10-20T22:45:28"/>
    <d v="2014-10-20T00:00:00"/>
    <x v="9"/>
    <n v="8.99"/>
  </r>
  <r>
    <s v="0 Original"/>
    <s v="(604)"/>
    <n v="604"/>
    <s v="2014-10-20 Uta Workman(172)"/>
    <x v="123"/>
    <n v="5.99"/>
    <n v="2"/>
    <s v="www"/>
    <d v="2014-10-20T22:45:28"/>
    <d v="2014-10-20T00:00:00"/>
    <x v="9"/>
    <n v="11.98"/>
  </r>
  <r>
    <s v="0 Original"/>
    <s v="(605)"/>
    <n v="605"/>
    <s v="2014-10-20 Uta Workman(172)"/>
    <x v="47"/>
    <n v="6.99"/>
    <n v="1"/>
    <s v="www"/>
    <d v="2014-10-20T22:45:28"/>
    <d v="2014-10-20T00:00:00"/>
    <x v="9"/>
    <n v="6.99"/>
  </r>
  <r>
    <s v="0 Original"/>
    <s v="(606)"/>
    <n v="606"/>
    <s v="2014-10-20 Uta Workman(172)"/>
    <x v="157"/>
    <n v="5.99"/>
    <n v="1"/>
    <s v="www"/>
    <d v="2014-10-20T22:45:28"/>
    <d v="2014-10-20T00:00:00"/>
    <x v="9"/>
    <n v="5.99"/>
  </r>
  <r>
    <s v="0 Original"/>
    <s v="(607)"/>
    <n v="607"/>
    <s v="2014-10-20 Uta Workman(172)"/>
    <x v="19"/>
    <n v="9.99"/>
    <n v="2"/>
    <s v="www"/>
    <d v="2014-10-20T22:45:28"/>
    <d v="2014-10-20T00:00:00"/>
    <x v="9"/>
    <n v="19.98"/>
  </r>
  <r>
    <s v="0 Original"/>
    <s v="(608)"/>
    <n v="608"/>
    <s v="2014-10-20 Uta Workman(172)"/>
    <x v="100"/>
    <n v="4.99"/>
    <n v="1"/>
    <s v="www"/>
    <d v="2014-10-20T22:45:28"/>
    <d v="2014-10-20T00:00:00"/>
    <x v="9"/>
    <n v="4.99"/>
  </r>
  <r>
    <s v="0 Original"/>
    <s v="(609)"/>
    <n v="609"/>
    <s v="2014-10-20 Uta Workman(172)"/>
    <x v="34"/>
    <n v="8.99"/>
    <n v="1"/>
    <s v="www"/>
    <d v="2014-10-20T22:45:28"/>
    <d v="2014-10-20T00:00:00"/>
    <x v="9"/>
    <n v="8.99"/>
  </r>
  <r>
    <s v="0 Original"/>
    <s v="(2521)"/>
    <n v="2521"/>
    <s v="2014-10-21 Donovan Gomez(757)"/>
    <x v="7"/>
    <n v="9.99"/>
    <n v="2"/>
    <s v="www"/>
    <d v="2014-10-21T09:27:24"/>
    <d v="2014-10-21T00:00:00"/>
    <x v="9"/>
    <n v="19.98"/>
  </r>
  <r>
    <s v="0 Original"/>
    <s v="(1329)"/>
    <n v="1329"/>
    <s v="2014-10-22 Adrian Dodson(388)"/>
    <x v="36"/>
    <n v="6.99"/>
    <n v="1"/>
    <s v="www"/>
    <d v="2014-10-22T19:15:29"/>
    <d v="2014-10-22T00:00:00"/>
    <x v="9"/>
    <n v="6.99"/>
  </r>
  <r>
    <s v="0 Original"/>
    <s v="(1330)"/>
    <n v="1330"/>
    <s v="2014-10-22 Adrian Dodson(388)"/>
    <x v="45"/>
    <n v="6.99"/>
    <n v="1"/>
    <s v="www"/>
    <d v="2014-10-22T19:15:29"/>
    <d v="2014-10-22T00:00:00"/>
    <x v="9"/>
    <n v="6.99"/>
  </r>
  <r>
    <s v="0 Original"/>
    <s v="(1331)"/>
    <n v="1331"/>
    <s v="2014-10-22 Adrian Dodson(388)"/>
    <x v="107"/>
    <n v="8.99"/>
    <n v="1"/>
    <s v="www"/>
    <d v="2014-10-22T19:15:29"/>
    <d v="2014-10-22T00:00:00"/>
    <x v="9"/>
    <n v="8.99"/>
  </r>
  <r>
    <s v="0 Original"/>
    <s v="(561)"/>
    <n v="561"/>
    <s v="2014-10-22 Mariam Juarez(159)"/>
    <x v="158"/>
    <n v="6.99"/>
    <n v="1"/>
    <s v="www"/>
    <d v="2014-10-22T22:38:44"/>
    <d v="2014-10-22T00:00:00"/>
    <x v="9"/>
    <n v="6.99"/>
  </r>
  <r>
    <s v="0 Original"/>
    <s v="(562)"/>
    <n v="562"/>
    <s v="2014-10-22 Mariam Juarez(159)"/>
    <x v="27"/>
    <n v="9.99"/>
    <n v="2"/>
    <s v="www"/>
    <d v="2014-10-22T22:38:44"/>
    <d v="2014-10-22T00:00:00"/>
    <x v="9"/>
    <n v="19.98"/>
  </r>
  <r>
    <s v="0 Original"/>
    <s v="(563)"/>
    <n v="563"/>
    <s v="2014-10-22 Mariam Juarez(159)"/>
    <x v="79"/>
    <n v="8.99"/>
    <n v="2"/>
    <s v="www"/>
    <d v="2014-10-22T22:38:44"/>
    <d v="2014-10-22T00:00:00"/>
    <x v="9"/>
    <n v="17.98"/>
  </r>
  <r>
    <s v="0 Original"/>
    <s v="(564)"/>
    <n v="564"/>
    <s v="2014-10-22 Mariam Juarez(159)"/>
    <x v="147"/>
    <n v="4.99"/>
    <n v="1"/>
    <s v="www"/>
    <d v="2014-10-22T22:38:44"/>
    <d v="2014-10-22T00:00:00"/>
    <x v="9"/>
    <n v="4.99"/>
  </r>
  <r>
    <s v="0 Original"/>
    <s v="(565)"/>
    <n v="565"/>
    <s v="2014-10-22 Mariam Juarez(159)"/>
    <x v="50"/>
    <n v="9.99"/>
    <n v="2"/>
    <s v="www"/>
    <d v="2014-10-22T22:38:44"/>
    <d v="2014-10-22T00:00:00"/>
    <x v="9"/>
    <n v="19.98"/>
  </r>
  <r>
    <s v="0 Original"/>
    <s v="(566)"/>
    <n v="566"/>
    <s v="2014-10-22 Mariam Juarez(159)"/>
    <x v="74"/>
    <n v="8.99"/>
    <n v="1"/>
    <s v="www"/>
    <d v="2014-10-22T22:38:44"/>
    <d v="2014-10-22T00:00:00"/>
    <x v="9"/>
    <n v="8.99"/>
  </r>
  <r>
    <s v="0 Original"/>
    <s v="(2224)"/>
    <n v="2224"/>
    <s v="2014-10-23 Ora Mann(656)"/>
    <x v="15"/>
    <n v="8.99"/>
    <n v="2"/>
    <s v="www"/>
    <d v="2014-10-23T06:20:10"/>
    <d v="2014-10-23T00:00:00"/>
    <x v="9"/>
    <n v="17.98"/>
  </r>
  <r>
    <s v="0 Original"/>
    <s v="(2225)"/>
    <n v="2225"/>
    <s v="2014-10-23 Ora Mann(656)"/>
    <x v="45"/>
    <n v="6.99"/>
    <n v="2"/>
    <s v="www"/>
    <d v="2014-10-23T06:20:10"/>
    <d v="2014-10-23T00:00:00"/>
    <x v="9"/>
    <n v="13.98"/>
  </r>
  <r>
    <s v="0 Original"/>
    <s v="(2226)"/>
    <n v="2226"/>
    <s v="2014-10-23 Ora Mann(656)"/>
    <x v="38"/>
    <n v="6.99"/>
    <n v="1"/>
    <s v="www"/>
    <d v="2014-10-23T06:20:10"/>
    <d v="2014-10-23T00:00:00"/>
    <x v="9"/>
    <n v="6.99"/>
  </r>
  <r>
    <s v="0 Original"/>
    <s v="(1447)"/>
    <n v="1447"/>
    <s v="2014-10-24 Madeson Silva(417)"/>
    <x v="44"/>
    <n v="9.99"/>
    <n v="1"/>
    <s v="www"/>
    <d v="2014-10-24T01:52:52"/>
    <d v="2014-10-24T00:00:00"/>
    <x v="9"/>
    <n v="9.99"/>
  </r>
  <r>
    <s v="0 Original"/>
    <s v="(1448)"/>
    <n v="1448"/>
    <s v="2014-10-24 Madeson Silva(417)"/>
    <x v="31"/>
    <n v="8.99"/>
    <n v="1"/>
    <s v="www"/>
    <d v="2014-10-24T01:52:52"/>
    <d v="2014-10-24T00:00:00"/>
    <x v="9"/>
    <n v="8.99"/>
  </r>
  <r>
    <s v="0 Original"/>
    <s v="(1449)"/>
    <n v="1449"/>
    <s v="2014-10-24 Madeson Silva(417)"/>
    <x v="49"/>
    <n v="8.99"/>
    <n v="1"/>
    <s v="www"/>
    <d v="2014-10-24T01:52:52"/>
    <d v="2014-10-24T00:00:00"/>
    <x v="9"/>
    <n v="8.99"/>
  </r>
  <r>
    <s v="0 Original"/>
    <s v="(3835)"/>
    <n v="3835"/>
    <s v="2014-10-24 Belle Short(1166)"/>
    <x v="7"/>
    <n v="9.99"/>
    <n v="1"/>
    <s v="www"/>
    <d v="2014-10-24T09:04:17"/>
    <d v="2014-10-24T00:00:00"/>
    <x v="9"/>
    <n v="9.99"/>
  </r>
  <r>
    <s v="0 Original"/>
    <s v="(3836)"/>
    <n v="3836"/>
    <s v="2014-10-24 Belle Short(1166)"/>
    <x v="24"/>
    <n v="7.99"/>
    <n v="1"/>
    <s v="www"/>
    <d v="2014-10-24T09:04:17"/>
    <d v="2014-10-24T00:00:00"/>
    <x v="9"/>
    <n v="7.99"/>
  </r>
  <r>
    <s v="0 Original"/>
    <s v="(3837)"/>
    <n v="3837"/>
    <s v="2014-10-24 Belle Short(1166)"/>
    <x v="7"/>
    <n v="9.99"/>
    <n v="2"/>
    <s v="www"/>
    <d v="2014-10-24T09:04:17"/>
    <d v="2014-10-24T00:00:00"/>
    <x v="9"/>
    <n v="19.98"/>
  </r>
  <r>
    <s v="0 Original"/>
    <s v="(3838)"/>
    <n v="3838"/>
    <s v="2014-10-24 Belle Short(1166)"/>
    <x v="6"/>
    <n v="5.99"/>
    <n v="2"/>
    <s v="www"/>
    <d v="2014-10-24T09:04:17"/>
    <d v="2014-10-24T00:00:00"/>
    <x v="9"/>
    <n v="11.98"/>
  </r>
  <r>
    <s v="0 Original"/>
    <s v="(3839)"/>
    <n v="3839"/>
    <s v="2014-10-24 Belle Short(1166)"/>
    <x v="7"/>
    <n v="9.99"/>
    <n v="2"/>
    <s v="www"/>
    <d v="2014-10-24T09:04:17"/>
    <d v="2014-10-24T00:00:00"/>
    <x v="9"/>
    <n v="19.98"/>
  </r>
  <r>
    <s v="0 Original"/>
    <s v="(3840)"/>
    <n v="3840"/>
    <s v="2014-10-24 Belle Short(1166)"/>
    <x v="24"/>
    <n v="7.99"/>
    <n v="1"/>
    <s v="www"/>
    <d v="2014-10-24T09:04:17"/>
    <d v="2014-10-24T00:00:00"/>
    <x v="9"/>
    <n v="7.99"/>
  </r>
  <r>
    <s v="0 Original"/>
    <s v="(2140)"/>
    <n v="2140"/>
    <s v="2014-10-24 Clio Carter(629)"/>
    <x v="49"/>
    <n v="8.99"/>
    <n v="1"/>
    <s v="www"/>
    <d v="2014-10-24T17:30:49"/>
    <d v="2014-10-24T00:00:00"/>
    <x v="9"/>
    <n v="8.99"/>
  </r>
  <r>
    <s v="0 Original"/>
    <s v="(2141)"/>
    <n v="2141"/>
    <s v="2014-10-24 Clio Carter(629)"/>
    <x v="65"/>
    <n v="4.99"/>
    <n v="2"/>
    <s v="www"/>
    <d v="2014-10-24T17:30:49"/>
    <d v="2014-10-24T00:00:00"/>
    <x v="9"/>
    <n v="9.98"/>
  </r>
  <r>
    <s v="0 Original"/>
    <s v="(2142)"/>
    <n v="2142"/>
    <s v="2014-10-24 Clio Carter(629)"/>
    <x v="17"/>
    <n v="9.99"/>
    <n v="1"/>
    <s v="www"/>
    <d v="2014-10-24T17:30:49"/>
    <d v="2014-10-24T00:00:00"/>
    <x v="9"/>
    <n v="9.99"/>
  </r>
  <r>
    <s v="0 Original"/>
    <s v="(2143)"/>
    <n v="2143"/>
    <s v="2014-10-24 Clio Carter(629)"/>
    <x v="66"/>
    <n v="9.99"/>
    <n v="1"/>
    <s v="www"/>
    <d v="2014-10-24T17:30:49"/>
    <d v="2014-10-24T00:00:00"/>
    <x v="9"/>
    <n v="9.99"/>
  </r>
  <r>
    <s v="0 Original"/>
    <s v="(2864)"/>
    <n v="2864"/>
    <s v="2014-10-26 Prescott Nelson(862)"/>
    <x v="8"/>
    <n v="4.99"/>
    <n v="1"/>
    <s v="www"/>
    <d v="2014-10-26T09:35:45"/>
    <d v="2014-10-26T00:00:00"/>
    <x v="9"/>
    <n v="4.99"/>
  </r>
  <r>
    <s v="0 Original"/>
    <s v="(2865)"/>
    <n v="2865"/>
    <s v="2014-10-26 Prescott Nelson(862)"/>
    <x v="23"/>
    <n v="9.99"/>
    <n v="1"/>
    <s v="www"/>
    <d v="2014-10-26T09:35:45"/>
    <d v="2014-10-26T00:00:00"/>
    <x v="9"/>
    <n v="9.99"/>
  </r>
  <r>
    <s v="0 Original"/>
    <s v="(2866)"/>
    <n v="2866"/>
    <s v="2014-10-26 Prescott Nelson(862)"/>
    <x v="6"/>
    <n v="5.99"/>
    <n v="1"/>
    <s v="www"/>
    <d v="2014-10-26T09:35:45"/>
    <d v="2014-10-26T00:00:00"/>
    <x v="9"/>
    <n v="5.99"/>
  </r>
  <r>
    <s v="0 Original"/>
    <s v="(3012)"/>
    <n v="3012"/>
    <s v="2014-10-26 Prescott Nelson(906)"/>
    <x v="24"/>
    <n v="7.99"/>
    <n v="1"/>
    <s v="www"/>
    <d v="2014-10-26T16:58:43"/>
    <d v="2014-10-26T00:00:00"/>
    <x v="9"/>
    <n v="7.99"/>
  </r>
  <r>
    <s v="0 Original"/>
    <s v="(3013)"/>
    <n v="3013"/>
    <s v="2014-10-26 Prescott Nelson(906)"/>
    <x v="24"/>
    <n v="7.99"/>
    <n v="1"/>
    <s v="www"/>
    <d v="2014-10-26T16:58:43"/>
    <d v="2014-10-26T00:00:00"/>
    <x v="9"/>
    <n v="7.99"/>
  </r>
  <r>
    <s v="0 Original"/>
    <s v="(3220)"/>
    <n v="3220"/>
    <s v="2014-10-27 Ora Mann(972)"/>
    <x v="41"/>
    <n v="4.99"/>
    <n v="1"/>
    <s v="www"/>
    <d v="2014-10-27T14:07:36"/>
    <d v="2014-10-27T00:00:00"/>
    <x v="9"/>
    <n v="4.99"/>
  </r>
  <r>
    <s v="0 Original"/>
    <s v="(3221)"/>
    <n v="3221"/>
    <s v="2014-10-27 Ora Mann(972)"/>
    <x v="6"/>
    <n v="5.99"/>
    <n v="1"/>
    <s v="www"/>
    <d v="2014-10-27T14:07:36"/>
    <d v="2014-10-27T00:00:00"/>
    <x v="9"/>
    <n v="5.99"/>
  </r>
  <r>
    <s v="0 Original"/>
    <s v="(3222)"/>
    <n v="3222"/>
    <s v="2014-10-27 Ora Mann(972)"/>
    <x v="8"/>
    <n v="4.99"/>
    <n v="1"/>
    <s v="www"/>
    <d v="2014-10-27T14:07:36"/>
    <d v="2014-10-27T00:00:00"/>
    <x v="9"/>
    <n v="4.99"/>
  </r>
  <r>
    <s v="0 Original"/>
    <s v="(3223)"/>
    <n v="3223"/>
    <s v="2014-10-27 Ora Mann(972)"/>
    <x v="24"/>
    <n v="7.99"/>
    <n v="3"/>
    <s v="www"/>
    <d v="2014-10-27T14:07:36"/>
    <d v="2014-10-27T00:00:00"/>
    <x v="9"/>
    <n v="23.97"/>
  </r>
  <r>
    <s v="0 Original"/>
    <s v="(3224)"/>
    <n v="3224"/>
    <s v="2014-10-27 Ora Mann(972)"/>
    <x v="8"/>
    <n v="4.99"/>
    <n v="2"/>
    <s v="www"/>
    <d v="2014-10-27T14:07:36"/>
    <d v="2014-10-27T00:00:00"/>
    <x v="9"/>
    <n v="9.98"/>
  </r>
  <r>
    <s v="0 Original"/>
    <s v="(930)"/>
    <n v="930"/>
    <s v="2014-10-27 Lois Valdez(265)"/>
    <x v="25"/>
    <n v="9.99"/>
    <n v="2"/>
    <s v="www"/>
    <d v="2014-10-27T14:18:05"/>
    <d v="2014-10-27T00:00:00"/>
    <x v="9"/>
    <n v="19.98"/>
  </r>
  <r>
    <s v="0 Original"/>
    <s v="(931)"/>
    <n v="931"/>
    <s v="2014-10-27 Lois Valdez(265)"/>
    <x v="82"/>
    <n v="5.99"/>
    <n v="1"/>
    <s v="www"/>
    <d v="2014-10-27T14:18:05"/>
    <d v="2014-10-27T00:00:00"/>
    <x v="9"/>
    <n v="5.99"/>
  </r>
  <r>
    <s v="0 Original"/>
    <s v="(932)"/>
    <n v="932"/>
    <s v="2014-10-27 Lois Valdez(265)"/>
    <x v="12"/>
    <n v="8.99"/>
    <n v="1"/>
    <s v="www"/>
    <d v="2014-10-27T14:18:05"/>
    <d v="2014-10-27T00:00:00"/>
    <x v="9"/>
    <n v="8.99"/>
  </r>
  <r>
    <s v="0 Original"/>
    <s v="(933)"/>
    <n v="933"/>
    <s v="2014-10-27 Lois Valdez(265)"/>
    <x v="10"/>
    <n v="8.99"/>
    <n v="1"/>
    <s v="www"/>
    <d v="2014-10-27T14:18:05"/>
    <d v="2014-10-27T00:00:00"/>
    <x v="9"/>
    <n v="8.99"/>
  </r>
  <r>
    <s v="0 Original"/>
    <s v="(988)"/>
    <n v="988"/>
    <s v="2014-10-28 Colby Clay(281)"/>
    <x v="5"/>
    <n v="9.99"/>
    <n v="1"/>
    <s v="www"/>
    <d v="2014-10-28T01:13:19"/>
    <d v="2014-10-28T00:00:00"/>
    <x v="9"/>
    <n v="9.99"/>
  </r>
  <r>
    <s v="0 Original"/>
    <s v="(989)"/>
    <n v="989"/>
    <s v="2014-10-28 Colby Clay(281)"/>
    <x v="34"/>
    <n v="8.99"/>
    <n v="1"/>
    <s v="www"/>
    <d v="2014-10-28T01:13:19"/>
    <d v="2014-10-28T00:00:00"/>
    <x v="9"/>
    <n v="8.99"/>
  </r>
  <r>
    <s v="0 Original"/>
    <s v="(3753)"/>
    <n v="3753"/>
    <s v="2014-10-28 Madeline Reynolds(1136)"/>
    <x v="8"/>
    <n v="4.99"/>
    <n v="2"/>
    <s v="www"/>
    <d v="2014-10-28T08:54:21"/>
    <d v="2014-10-28T00:00:00"/>
    <x v="9"/>
    <n v="9.98"/>
  </r>
  <r>
    <s v="0 Original"/>
    <s v="(3754)"/>
    <n v="3754"/>
    <s v="2014-10-28 Madeline Reynolds(1136)"/>
    <x v="23"/>
    <n v="9.99"/>
    <n v="1"/>
    <s v="www"/>
    <d v="2014-10-28T08:54:21"/>
    <d v="2014-10-28T00:00:00"/>
    <x v="9"/>
    <n v="9.99"/>
  </r>
  <r>
    <s v="0 Original"/>
    <s v="(461)"/>
    <n v="461"/>
    <s v="2014-10-29 Prescott Nelson(130)"/>
    <x v="84"/>
    <n v="9.99"/>
    <n v="2"/>
    <s v="www"/>
    <d v="2014-10-29T21:17:58"/>
    <d v="2014-10-29T00:00:00"/>
    <x v="9"/>
    <n v="19.98"/>
  </r>
  <r>
    <s v="0 Original"/>
    <s v="(462)"/>
    <n v="462"/>
    <s v="2014-10-29 Prescott Nelson(130)"/>
    <x v="4"/>
    <n v="6.99"/>
    <n v="1"/>
    <s v="www"/>
    <d v="2014-10-29T21:17:58"/>
    <d v="2014-10-29T00:00:00"/>
    <x v="9"/>
    <n v="6.99"/>
  </r>
  <r>
    <s v="0 Original"/>
    <s v="(761)"/>
    <n v="761"/>
    <s v="2014-10-30 Ora Mann(216)"/>
    <x v="34"/>
    <n v="8.99"/>
    <n v="1"/>
    <s v="www"/>
    <d v="2014-10-30T06:03:02"/>
    <d v="2014-10-30T00:00:00"/>
    <x v="9"/>
    <n v="8.99"/>
  </r>
  <r>
    <s v="0 Original"/>
    <s v="(762)"/>
    <n v="762"/>
    <s v="2014-10-30 Ora Mann(216)"/>
    <x v="36"/>
    <n v="6.99"/>
    <n v="1"/>
    <s v="www"/>
    <d v="2014-10-30T06:03:02"/>
    <d v="2014-10-30T00:00:00"/>
    <x v="9"/>
    <n v="6.99"/>
  </r>
  <r>
    <s v="0 Original"/>
    <s v="(3669)"/>
    <n v="3669"/>
    <s v="2014-10-30 Ora Mann(1111)"/>
    <x v="25"/>
    <n v="9.99"/>
    <n v="1"/>
    <s v="www"/>
    <d v="2014-10-30T16:20:17"/>
    <d v="2014-10-30T00:00:00"/>
    <x v="9"/>
    <n v="9.99"/>
  </r>
  <r>
    <s v="0 Original"/>
    <s v="(3670)"/>
    <n v="3670"/>
    <s v="2014-10-30 Ora Mann(1111)"/>
    <x v="6"/>
    <n v="5.99"/>
    <n v="1"/>
    <s v="www"/>
    <d v="2014-10-30T16:20:17"/>
    <d v="2014-10-30T00:00:00"/>
    <x v="9"/>
    <n v="5.99"/>
  </r>
  <r>
    <s v="0 Original"/>
    <s v="(3671)"/>
    <n v="3671"/>
    <s v="2014-10-30 Ora Mann(1111)"/>
    <x v="8"/>
    <n v="4.99"/>
    <n v="2"/>
    <s v="www"/>
    <d v="2014-10-30T16:20:17"/>
    <d v="2014-10-30T00:00:00"/>
    <x v="9"/>
    <n v="9.98"/>
  </r>
  <r>
    <s v="0 Original"/>
    <s v="(3672)"/>
    <n v="3672"/>
    <s v="2014-10-30 Ora Mann(1111)"/>
    <x v="8"/>
    <n v="4.99"/>
    <n v="2"/>
    <s v="www"/>
    <d v="2014-10-30T16:20:17"/>
    <d v="2014-10-30T00:00:00"/>
    <x v="9"/>
    <n v="9.98"/>
  </r>
  <r>
    <s v="0 Original"/>
    <s v="(1678)"/>
    <n v="1678"/>
    <s v="2014-10-31 Wade Coleman(489)"/>
    <x v="2"/>
    <n v="7.99"/>
    <n v="2"/>
    <s v="www"/>
    <d v="2014-10-31T08:21:15"/>
    <d v="2014-10-31T00:00:00"/>
    <x v="9"/>
    <n v="15.98"/>
  </r>
  <r>
    <s v="0 Original"/>
    <s v="(1679)"/>
    <n v="1679"/>
    <s v="2014-10-31 Wade Coleman(489)"/>
    <x v="91"/>
    <n v="9.99"/>
    <n v="2"/>
    <s v="www"/>
    <d v="2014-10-31T08:21:15"/>
    <d v="2014-10-31T00:00:00"/>
    <x v="9"/>
    <n v="19.98"/>
  </r>
  <r>
    <s v="0 Original"/>
    <s v="(1680)"/>
    <n v="1680"/>
    <s v="2014-10-31 Wade Coleman(489)"/>
    <x v="9"/>
    <n v="7.99"/>
    <n v="1"/>
    <s v="www"/>
    <d v="2014-10-31T08:21:15"/>
    <d v="2014-10-31T00:00:00"/>
    <x v="9"/>
    <n v="7.99"/>
  </r>
  <r>
    <s v="0 Original"/>
    <s v="(877)"/>
    <n v="877"/>
    <s v="2014-11-02 Armando Le(250)"/>
    <x v="91"/>
    <n v="9.99"/>
    <n v="1"/>
    <s v="www"/>
    <d v="2014-11-02T12:37:58"/>
    <d v="2014-11-02T00:00:00"/>
    <x v="10"/>
    <n v="9.99"/>
  </r>
  <r>
    <s v="0 Original"/>
    <s v="(878)"/>
    <n v="878"/>
    <s v="2014-11-02 Armando Le(250)"/>
    <x v="38"/>
    <n v="6.99"/>
    <n v="1"/>
    <s v="www"/>
    <d v="2014-11-02T12:37:58"/>
    <d v="2014-11-02T00:00:00"/>
    <x v="10"/>
    <n v="6.99"/>
  </r>
  <r>
    <s v="0 Original"/>
    <s v="(1580)"/>
    <n v="1580"/>
    <s v="2014-11-03 Ivy Livingston(454)"/>
    <x v="32"/>
    <n v="5.99"/>
    <n v="1"/>
    <s v="www"/>
    <d v="2014-11-03T08:38:03"/>
    <d v="2014-11-03T00:00:00"/>
    <x v="10"/>
    <n v="5.99"/>
  </r>
  <r>
    <s v="0 Original"/>
    <s v="(934)"/>
    <n v="934"/>
    <s v="2014-11-03 Theodore Mills(266)"/>
    <x v="6"/>
    <n v="5.99"/>
    <n v="2"/>
    <s v="www"/>
    <d v="2014-11-03T15:48:19"/>
    <d v="2014-11-03T00:00:00"/>
    <x v="10"/>
    <n v="11.98"/>
  </r>
  <r>
    <s v="0 Original"/>
    <s v="(807)"/>
    <n v="807"/>
    <s v="2014-11-03 Gabriel Carlson(228)"/>
    <x v="91"/>
    <n v="9.99"/>
    <n v="1"/>
    <s v="www"/>
    <d v="2014-11-03T19:25:29"/>
    <d v="2014-11-03T00:00:00"/>
    <x v="10"/>
    <n v="9.99"/>
  </r>
  <r>
    <s v="0 Original"/>
    <s v="(808)"/>
    <n v="808"/>
    <s v="2014-11-03 Gabriel Carlson(228)"/>
    <x v="16"/>
    <n v="6.99"/>
    <n v="2"/>
    <s v="www"/>
    <d v="2014-11-03T19:25:29"/>
    <d v="2014-11-03T00:00:00"/>
    <x v="10"/>
    <n v="13.98"/>
  </r>
  <r>
    <s v="0 Original"/>
    <s v="(809)"/>
    <n v="809"/>
    <s v="2014-11-03 Gabriel Carlson(228)"/>
    <x v="16"/>
    <n v="6.99"/>
    <n v="2"/>
    <s v="www"/>
    <d v="2014-11-03T19:25:29"/>
    <d v="2014-11-03T00:00:00"/>
    <x v="10"/>
    <n v="13.98"/>
  </r>
  <r>
    <s v="0 Original"/>
    <s v="(3346)"/>
    <n v="3346"/>
    <s v="2014-11-04 Belle Short(1012)"/>
    <x v="16"/>
    <n v="6.99"/>
    <n v="1"/>
    <s v="www"/>
    <d v="2014-11-04T18:15:37"/>
    <d v="2014-11-04T00:00:00"/>
    <x v="10"/>
    <n v="6.99"/>
  </r>
  <r>
    <s v="0 Original"/>
    <s v="(3347)"/>
    <n v="3347"/>
    <s v="2014-11-04 Belle Short(1012)"/>
    <x v="25"/>
    <n v="9.99"/>
    <n v="2"/>
    <s v="www"/>
    <d v="2014-11-04T18:15:37"/>
    <d v="2014-11-04T00:00:00"/>
    <x v="10"/>
    <n v="19.98"/>
  </r>
  <r>
    <s v="0 Original"/>
    <s v="(3348)"/>
    <n v="3348"/>
    <s v="2014-11-04 Belle Short(1012)"/>
    <x v="41"/>
    <n v="4.99"/>
    <n v="1"/>
    <s v="www"/>
    <d v="2014-11-04T18:15:37"/>
    <d v="2014-11-04T00:00:00"/>
    <x v="10"/>
    <n v="4.99"/>
  </r>
  <r>
    <s v="0 Original"/>
    <s v="(3349)"/>
    <n v="3349"/>
    <s v="2014-11-04 Belle Short(1012)"/>
    <x v="25"/>
    <n v="9.99"/>
    <n v="1"/>
    <s v="www"/>
    <d v="2014-11-04T18:15:37"/>
    <d v="2014-11-04T00:00:00"/>
    <x v="10"/>
    <n v="9.99"/>
  </r>
  <r>
    <s v="0 Original"/>
    <s v="(3350)"/>
    <n v="3350"/>
    <s v="2014-11-04 Belle Short(1012)"/>
    <x v="41"/>
    <n v="4.99"/>
    <n v="1"/>
    <s v="www"/>
    <d v="2014-11-04T18:15:37"/>
    <d v="2014-11-04T00:00:00"/>
    <x v="10"/>
    <n v="4.99"/>
  </r>
  <r>
    <s v="0 Original"/>
    <s v="(3351)"/>
    <n v="3351"/>
    <s v="2014-11-04 Belle Short(1012)"/>
    <x v="6"/>
    <n v="5.99"/>
    <n v="2"/>
    <s v="www"/>
    <d v="2014-11-04T18:15:37"/>
    <d v="2014-11-04T00:00:00"/>
    <x v="10"/>
    <n v="11.98"/>
  </r>
  <r>
    <s v="0 Original"/>
    <s v="(3352)"/>
    <n v="3352"/>
    <s v="2014-11-04 Belle Short(1012)"/>
    <x v="9"/>
    <n v="7.99"/>
    <n v="2"/>
    <s v="www"/>
    <d v="2014-11-04T18:15:37"/>
    <d v="2014-11-04T00:00:00"/>
    <x v="10"/>
    <n v="15.98"/>
  </r>
  <r>
    <s v="0 Original"/>
    <s v="(3353)"/>
    <n v="3353"/>
    <s v="2014-11-04 Belle Short(1012)"/>
    <x v="9"/>
    <n v="7.99"/>
    <n v="1"/>
    <s v="www"/>
    <d v="2014-11-04T18:15:37"/>
    <d v="2014-11-04T00:00:00"/>
    <x v="10"/>
    <n v="7.99"/>
  </r>
  <r>
    <s v="0 Original"/>
    <s v="(787)"/>
    <n v="787"/>
    <s v="2014-11-05 Madeline Reynolds(222)"/>
    <x v="16"/>
    <n v="6.99"/>
    <n v="1"/>
    <s v="www"/>
    <d v="2014-11-05T10:22:54"/>
    <d v="2014-11-05T00:00:00"/>
    <x v="10"/>
    <n v="6.99"/>
  </r>
  <r>
    <s v="0 Original"/>
    <s v="(788)"/>
    <n v="788"/>
    <s v="2014-11-05 Madeline Reynolds(222)"/>
    <x v="107"/>
    <n v="8.99"/>
    <n v="1"/>
    <s v="www"/>
    <d v="2014-11-05T10:22:54"/>
    <d v="2014-11-05T00:00:00"/>
    <x v="10"/>
    <n v="8.99"/>
  </r>
  <r>
    <s v="0 Original"/>
    <s v="(789)"/>
    <n v="789"/>
    <s v="2014-11-05 Madeline Reynolds(222)"/>
    <x v="10"/>
    <n v="8.99"/>
    <n v="1"/>
    <s v="www"/>
    <d v="2014-11-05T10:22:54"/>
    <d v="2014-11-05T00:00:00"/>
    <x v="10"/>
    <n v="8.99"/>
  </r>
  <r>
    <s v="0 Original"/>
    <s v="(790)"/>
    <n v="790"/>
    <s v="2014-11-05 Madeline Reynolds(222)"/>
    <x v="3"/>
    <n v="7.99"/>
    <n v="1"/>
    <s v="www"/>
    <d v="2014-11-05T10:22:54"/>
    <d v="2014-11-05T00:00:00"/>
    <x v="10"/>
    <n v="7.99"/>
  </r>
  <r>
    <s v="0 Original"/>
    <s v="(518)"/>
    <n v="518"/>
    <s v="2014-11-05 Tanek Santos(145)"/>
    <x v="20"/>
    <n v="7.99"/>
    <n v="1"/>
    <s v="www"/>
    <d v="2014-11-05T12:14:59"/>
    <d v="2014-11-05T00:00:00"/>
    <x v="10"/>
    <n v="7.99"/>
  </r>
  <r>
    <s v="0 Original"/>
    <s v="(3043)"/>
    <n v="3043"/>
    <s v="2014-11-05 John Drake(914)"/>
    <x v="9"/>
    <n v="7.99"/>
    <n v="2"/>
    <s v="www"/>
    <d v="2014-11-05T19:28:53"/>
    <d v="2014-11-05T00:00:00"/>
    <x v="10"/>
    <n v="15.98"/>
  </r>
  <r>
    <s v="0 Original"/>
    <s v="(3044)"/>
    <n v="3044"/>
    <s v="2014-11-05 John Drake(914)"/>
    <x v="41"/>
    <n v="4.99"/>
    <n v="1"/>
    <s v="www"/>
    <d v="2014-11-05T19:28:53"/>
    <d v="2014-11-05T00:00:00"/>
    <x v="10"/>
    <n v="4.99"/>
  </r>
  <r>
    <s v="0 Original"/>
    <s v="(3045)"/>
    <n v="3045"/>
    <s v="2014-11-05 John Drake(914)"/>
    <x v="16"/>
    <n v="6.99"/>
    <n v="2"/>
    <s v="www"/>
    <d v="2014-11-05T19:28:53"/>
    <d v="2014-11-05T00:00:00"/>
    <x v="10"/>
    <n v="13.98"/>
  </r>
  <r>
    <s v="0 Original"/>
    <s v="(2325)"/>
    <n v="2325"/>
    <s v="2014-11-06 Colby Clay(689)"/>
    <x v="34"/>
    <n v="8.99"/>
    <n v="2"/>
    <s v="www"/>
    <d v="2014-11-06T16:03:51"/>
    <d v="2014-11-06T00:00:00"/>
    <x v="10"/>
    <n v="17.98"/>
  </r>
  <r>
    <s v="0 Original"/>
    <s v="(2326)"/>
    <n v="2326"/>
    <s v="2014-11-06 Colby Clay(689)"/>
    <x v="4"/>
    <n v="6.99"/>
    <n v="1"/>
    <s v="www"/>
    <d v="2014-11-06T16:03:51"/>
    <d v="2014-11-06T00:00:00"/>
    <x v="10"/>
    <n v="6.99"/>
  </r>
  <r>
    <s v="0 Original"/>
    <s v="(1798)"/>
    <n v="1798"/>
    <s v="2014-11-06 Theodore Mills(528)"/>
    <x v="5"/>
    <n v="9.99"/>
    <n v="2"/>
    <s v="www"/>
    <d v="2014-11-06T20:19:56"/>
    <d v="2014-11-06T00:00:00"/>
    <x v="10"/>
    <n v="19.98"/>
  </r>
  <r>
    <s v="0 Original"/>
    <s v="(1799)"/>
    <n v="1799"/>
    <s v="2014-11-06 Theodore Mills(528)"/>
    <x v="32"/>
    <n v="5.99"/>
    <n v="2"/>
    <s v="www"/>
    <d v="2014-11-06T20:19:56"/>
    <d v="2014-11-06T00:00:00"/>
    <x v="10"/>
    <n v="11.98"/>
  </r>
  <r>
    <s v="0 Original"/>
    <s v="(3434)"/>
    <n v="3434"/>
    <s v="2014-11-07 Cameron Rivera(1037)"/>
    <x v="16"/>
    <n v="6.99"/>
    <n v="2"/>
    <s v="www"/>
    <d v="2014-11-07T03:02:09"/>
    <d v="2014-11-07T00:00:00"/>
    <x v="10"/>
    <n v="13.98"/>
  </r>
  <r>
    <s v="0 Original"/>
    <s v="(3435)"/>
    <n v="3435"/>
    <s v="2014-11-07 Cameron Rivera(1037)"/>
    <x v="23"/>
    <n v="9.99"/>
    <n v="1"/>
    <s v="www"/>
    <d v="2014-11-07T03:02:09"/>
    <d v="2014-11-07T00:00:00"/>
    <x v="10"/>
    <n v="9.99"/>
  </r>
  <r>
    <s v="0 Original"/>
    <s v="(1862)"/>
    <n v="1862"/>
    <s v="2014-11-07 Serina Booker(543)"/>
    <x v="36"/>
    <n v="6.99"/>
    <n v="1"/>
    <s v="www"/>
    <d v="2014-11-07T08:51:24"/>
    <d v="2014-11-07T00:00:00"/>
    <x v="10"/>
    <n v="6.99"/>
  </r>
  <r>
    <s v="0 Original"/>
    <s v="(1863)"/>
    <n v="1863"/>
    <s v="2014-11-07 Serina Booker(543)"/>
    <x v="25"/>
    <n v="9.99"/>
    <n v="2"/>
    <s v="www"/>
    <d v="2014-11-07T08:51:24"/>
    <d v="2014-11-07T00:00:00"/>
    <x v="10"/>
    <n v="19.98"/>
  </r>
  <r>
    <s v="0 Original"/>
    <s v="(1864)"/>
    <n v="1864"/>
    <s v="2014-11-07 Serina Booker(543)"/>
    <x v="49"/>
    <n v="8.99"/>
    <n v="1"/>
    <s v="www"/>
    <d v="2014-11-07T08:51:24"/>
    <d v="2014-11-07T00:00:00"/>
    <x v="10"/>
    <n v="8.99"/>
  </r>
  <r>
    <s v="0 Original"/>
    <s v="(3289)"/>
    <n v="3289"/>
    <s v="2014-11-08 Belle Short(996)"/>
    <x v="41"/>
    <n v="4.99"/>
    <n v="1"/>
    <s v="www"/>
    <d v="2014-11-08T07:12:36"/>
    <d v="2014-11-08T00:00:00"/>
    <x v="10"/>
    <n v="4.99"/>
  </r>
  <r>
    <s v="0 Original"/>
    <s v="(3290)"/>
    <n v="3290"/>
    <s v="2014-11-08 Belle Short(996)"/>
    <x v="8"/>
    <n v="4.99"/>
    <n v="1"/>
    <s v="www"/>
    <d v="2014-11-08T07:12:36"/>
    <d v="2014-11-08T00:00:00"/>
    <x v="10"/>
    <n v="4.99"/>
  </r>
  <r>
    <s v="0 Original"/>
    <s v="(3291)"/>
    <n v="3291"/>
    <s v="2014-11-08 Belle Short(996)"/>
    <x v="25"/>
    <n v="9.99"/>
    <n v="1"/>
    <s v="www"/>
    <d v="2014-11-08T07:12:36"/>
    <d v="2014-11-08T00:00:00"/>
    <x v="10"/>
    <n v="9.99"/>
  </r>
  <r>
    <s v="0 Original"/>
    <s v="(3292)"/>
    <n v="3292"/>
    <s v="2014-11-08 Belle Short(996)"/>
    <x v="23"/>
    <n v="9.99"/>
    <n v="2"/>
    <s v="www"/>
    <d v="2014-11-08T07:12:36"/>
    <d v="2014-11-08T00:00:00"/>
    <x v="10"/>
    <n v="19.98"/>
  </r>
  <r>
    <s v="0 Original"/>
    <s v="(3152)"/>
    <n v="3152"/>
    <s v="2014-11-10 Bernard Cash(951)"/>
    <x v="30"/>
    <n v="6.99"/>
    <n v="1"/>
    <s v="www"/>
    <d v="2014-11-10T20:47:28"/>
    <d v="2014-11-10T00:00:00"/>
    <x v="10"/>
    <n v="6.99"/>
  </r>
  <r>
    <s v="0 Original"/>
    <s v="(3153)"/>
    <n v="3153"/>
    <s v="2014-11-10 Bernard Cash(951)"/>
    <x v="9"/>
    <n v="7.99"/>
    <n v="2"/>
    <s v="www"/>
    <d v="2014-11-10T20:47:28"/>
    <d v="2014-11-10T00:00:00"/>
    <x v="10"/>
    <n v="15.98"/>
  </r>
  <r>
    <s v="0 Original"/>
    <s v="(3154)"/>
    <n v="3154"/>
    <s v="2014-11-10 Bernard Cash(951)"/>
    <x v="23"/>
    <n v="9.99"/>
    <n v="1"/>
    <s v="www"/>
    <d v="2014-11-10T20:47:28"/>
    <d v="2014-11-10T00:00:00"/>
    <x v="10"/>
    <n v="9.99"/>
  </r>
  <r>
    <s v="0 Original"/>
    <s v="(3155)"/>
    <n v="3155"/>
    <s v="2014-11-10 Bernard Cash(951)"/>
    <x v="9"/>
    <n v="7.99"/>
    <n v="1"/>
    <s v="www"/>
    <d v="2014-11-10T20:47:28"/>
    <d v="2014-11-10T00:00:00"/>
    <x v="10"/>
    <n v="7.99"/>
  </r>
  <r>
    <s v="0 Original"/>
    <s v="(3156)"/>
    <n v="3156"/>
    <s v="2014-11-10 Bernard Cash(951)"/>
    <x v="24"/>
    <n v="7.99"/>
    <n v="2"/>
    <s v="www"/>
    <d v="2014-11-10T20:47:28"/>
    <d v="2014-11-10T00:00:00"/>
    <x v="10"/>
    <n v="15.98"/>
  </r>
  <r>
    <s v="0 Original"/>
    <s v="(147)"/>
    <n v="147"/>
    <s v="2014-11-11 Rhoda Jacobson(42)"/>
    <x v="137"/>
    <n v="8.99"/>
    <n v="1"/>
    <s v="www"/>
    <d v="2014-11-11T19:32:21"/>
    <d v="2014-11-11T00:00:00"/>
    <x v="10"/>
    <n v="8.99"/>
  </r>
  <r>
    <s v="0 Original"/>
    <s v="(148)"/>
    <n v="148"/>
    <s v="2014-11-11 Rhoda Jacobson(42)"/>
    <x v="14"/>
    <n v="7.99"/>
    <n v="1"/>
    <s v="www"/>
    <d v="2014-11-11T19:32:21"/>
    <d v="2014-11-11T00:00:00"/>
    <x v="10"/>
    <n v="7.99"/>
  </r>
  <r>
    <s v="0 Original"/>
    <s v="(149)"/>
    <n v="149"/>
    <s v="2014-11-11 Rhoda Jacobson(42)"/>
    <x v="63"/>
    <n v="7.99"/>
    <n v="1"/>
    <s v="www"/>
    <d v="2014-11-11T19:32:21"/>
    <d v="2014-11-11T00:00:00"/>
    <x v="10"/>
    <n v="7.99"/>
  </r>
  <r>
    <s v="0 Original"/>
    <s v="(150)"/>
    <n v="150"/>
    <s v="2014-11-11 Rhoda Jacobson(42)"/>
    <x v="72"/>
    <n v="9.99"/>
    <n v="1"/>
    <s v="www"/>
    <d v="2014-11-11T19:32:21"/>
    <d v="2014-11-11T00:00:00"/>
    <x v="10"/>
    <n v="9.99"/>
  </r>
  <r>
    <s v="0 Original"/>
    <s v="(151)"/>
    <n v="151"/>
    <s v="2014-11-11 Rhoda Jacobson(42)"/>
    <x v="153"/>
    <n v="9.99"/>
    <n v="1"/>
    <s v="www"/>
    <d v="2014-11-11T19:32:21"/>
    <d v="2014-11-11T00:00:00"/>
    <x v="10"/>
    <n v="9.99"/>
  </r>
  <r>
    <s v="0 Original"/>
    <s v="(152)"/>
    <n v="152"/>
    <s v="2014-11-11 Rhoda Jacobson(42)"/>
    <x v="114"/>
    <n v="8.99"/>
    <n v="1"/>
    <s v="www"/>
    <d v="2014-11-11T19:32:21"/>
    <d v="2014-11-11T00:00:00"/>
    <x v="10"/>
    <n v="8.99"/>
  </r>
  <r>
    <s v="0 Original"/>
    <s v="(1637)"/>
    <n v="1637"/>
    <s v="2014-11-14 Tanek Santos(474)"/>
    <x v="43"/>
    <n v="4.99"/>
    <n v="1"/>
    <s v="www"/>
    <d v="2014-11-14T12:43:32"/>
    <d v="2014-11-14T00:00:00"/>
    <x v="10"/>
    <n v="4.99"/>
  </r>
  <r>
    <s v="0 Original"/>
    <s v="(1638)"/>
    <n v="1638"/>
    <s v="2014-11-14 Tanek Santos(474)"/>
    <x v="43"/>
    <n v="4.99"/>
    <n v="1"/>
    <s v="www"/>
    <d v="2014-11-14T12:43:32"/>
    <d v="2014-11-14T00:00:00"/>
    <x v="10"/>
    <n v="4.99"/>
  </r>
  <r>
    <s v="0 Original"/>
    <s v="(1639)"/>
    <n v="1639"/>
    <s v="2014-11-14 Tanek Santos(474)"/>
    <x v="43"/>
    <n v="4.99"/>
    <n v="2"/>
    <s v="www"/>
    <d v="2014-11-14T12:43:32"/>
    <d v="2014-11-14T00:00:00"/>
    <x v="10"/>
    <n v="9.98"/>
  </r>
  <r>
    <s v="0 Original"/>
    <s v="(1640)"/>
    <n v="1640"/>
    <s v="2014-11-14 Tanek Santos(474)"/>
    <x v="42"/>
    <n v="5.99"/>
    <n v="2"/>
    <s v="www"/>
    <d v="2014-11-14T12:43:32"/>
    <d v="2014-11-14T00:00:00"/>
    <x v="10"/>
    <n v="11.98"/>
  </r>
  <r>
    <s v="0 Original"/>
    <s v="(2272)"/>
    <n v="2272"/>
    <s v="2014-11-16 Galvin Becker(671)"/>
    <x v="65"/>
    <n v="4.99"/>
    <n v="1"/>
    <s v="www"/>
    <d v="2014-11-16T11:09:20"/>
    <d v="2014-11-16T00:00:00"/>
    <x v="10"/>
    <n v="4.99"/>
  </r>
  <r>
    <s v="0 Original"/>
    <s v="(2273)"/>
    <n v="2273"/>
    <s v="2014-11-16 Galvin Becker(671)"/>
    <x v="6"/>
    <n v="5.99"/>
    <n v="1"/>
    <s v="www"/>
    <d v="2014-11-16T11:09:20"/>
    <d v="2014-11-16T00:00:00"/>
    <x v="10"/>
    <n v="5.99"/>
  </r>
  <r>
    <s v="0 Original"/>
    <s v="(2274)"/>
    <n v="2274"/>
    <s v="2014-11-16 Galvin Becker(671)"/>
    <x v="37"/>
    <n v="8.99"/>
    <n v="2"/>
    <s v="www"/>
    <d v="2014-11-16T11:09:20"/>
    <d v="2014-11-16T00:00:00"/>
    <x v="10"/>
    <n v="17.98"/>
  </r>
  <r>
    <s v="0 Original"/>
    <s v="(2275)"/>
    <n v="2275"/>
    <s v="2014-11-16 Galvin Becker(671)"/>
    <x v="16"/>
    <n v="6.99"/>
    <n v="1"/>
    <s v="www"/>
    <d v="2014-11-16T11:09:20"/>
    <d v="2014-11-16T00:00:00"/>
    <x v="10"/>
    <n v="6.99"/>
  </r>
  <r>
    <s v="0 Original"/>
    <s v="(2276)"/>
    <n v="2276"/>
    <s v="2014-11-16 Galvin Becker(671)"/>
    <x v="3"/>
    <n v="7.99"/>
    <n v="1"/>
    <s v="www"/>
    <d v="2014-11-16T11:09:20"/>
    <d v="2014-11-16T00:00:00"/>
    <x v="10"/>
    <n v="7.99"/>
  </r>
  <r>
    <s v="0 Original"/>
    <s v="(3233)"/>
    <n v="3233"/>
    <s v="2014-11-16 Ora Mann(974)"/>
    <x v="16"/>
    <n v="6.99"/>
    <n v="1"/>
    <s v="www"/>
    <d v="2014-11-16T12:49:55"/>
    <d v="2014-11-16T00:00:00"/>
    <x v="10"/>
    <n v="6.99"/>
  </r>
  <r>
    <s v="0 Original"/>
    <s v="(3234)"/>
    <n v="3234"/>
    <s v="2014-11-16 Ora Mann(974)"/>
    <x v="7"/>
    <n v="9.99"/>
    <n v="2"/>
    <s v="www"/>
    <d v="2014-11-16T12:49:55"/>
    <d v="2014-11-16T00:00:00"/>
    <x v="10"/>
    <n v="19.98"/>
  </r>
  <r>
    <s v="0 Original"/>
    <s v="(3235)"/>
    <n v="3235"/>
    <s v="2014-11-16 Ora Mann(974)"/>
    <x v="8"/>
    <n v="4.99"/>
    <n v="1"/>
    <s v="www"/>
    <d v="2014-11-16T12:49:55"/>
    <d v="2014-11-16T00:00:00"/>
    <x v="10"/>
    <n v="4.99"/>
  </r>
  <r>
    <s v="0 Original"/>
    <s v="(3236)"/>
    <n v="3236"/>
    <s v="2014-11-16 Ora Mann(974)"/>
    <x v="8"/>
    <n v="4.99"/>
    <n v="1"/>
    <s v="www"/>
    <d v="2014-11-16T12:49:55"/>
    <d v="2014-11-16T00:00:00"/>
    <x v="10"/>
    <n v="4.99"/>
  </r>
  <r>
    <s v="0 Original"/>
    <s v="(3788)"/>
    <n v="3788"/>
    <s v="2014-11-16 Belle Short(1148)"/>
    <x v="24"/>
    <n v="7.99"/>
    <n v="1"/>
    <s v="www"/>
    <d v="2014-11-16T16:54:54"/>
    <d v="2014-11-16T00:00:00"/>
    <x v="10"/>
    <n v="7.99"/>
  </r>
  <r>
    <s v="0 Original"/>
    <s v="(3789)"/>
    <n v="3789"/>
    <s v="2014-11-16 Belle Short(1148)"/>
    <x v="30"/>
    <n v="6.99"/>
    <n v="2"/>
    <s v="www"/>
    <d v="2014-11-16T16:54:54"/>
    <d v="2014-11-16T00:00:00"/>
    <x v="10"/>
    <n v="13.98"/>
  </r>
  <r>
    <s v="0 Original"/>
    <s v="(310)"/>
    <n v="310"/>
    <s v="2014-11-16 Yoshi Bennett(83)"/>
    <x v="61"/>
    <n v="5.99"/>
    <n v="1"/>
    <s v="www"/>
    <d v="2014-11-16T17:06:31"/>
    <d v="2014-11-16T00:00:00"/>
    <x v="10"/>
    <n v="5.99"/>
  </r>
  <r>
    <s v="0 Original"/>
    <s v="(311)"/>
    <n v="311"/>
    <s v="2014-11-16 Yoshi Bennett(83)"/>
    <x v="84"/>
    <n v="9.99"/>
    <n v="1"/>
    <s v="www"/>
    <d v="2014-11-16T17:06:31"/>
    <d v="2014-11-16T00:00:00"/>
    <x v="10"/>
    <n v="9.99"/>
  </r>
  <r>
    <s v="0 Original"/>
    <s v="(312)"/>
    <n v="312"/>
    <s v="2014-11-16 Yoshi Bennett(83)"/>
    <x v="42"/>
    <n v="5.99"/>
    <n v="2"/>
    <s v="www"/>
    <d v="2014-11-16T17:06:31"/>
    <d v="2014-11-16T00:00:00"/>
    <x v="10"/>
    <n v="11.98"/>
  </r>
  <r>
    <s v="0 Original"/>
    <s v="(313)"/>
    <n v="313"/>
    <s v="2014-11-16 Yoshi Bennett(83)"/>
    <x v="21"/>
    <n v="4.99"/>
    <n v="1"/>
    <s v="www"/>
    <d v="2014-11-16T17:06:31"/>
    <d v="2014-11-16T00:00:00"/>
    <x v="10"/>
    <n v="4.99"/>
  </r>
  <r>
    <s v="0 Original"/>
    <s v="(314)"/>
    <n v="314"/>
    <s v="2014-11-16 Yoshi Bennett(83)"/>
    <x v="70"/>
    <n v="8.99"/>
    <n v="1"/>
    <s v="www"/>
    <d v="2014-11-16T17:06:31"/>
    <d v="2014-11-16T00:00:00"/>
    <x v="10"/>
    <n v="8.99"/>
  </r>
  <r>
    <s v="0 Original"/>
    <s v="(315)"/>
    <n v="315"/>
    <s v="2014-11-16 Yoshi Bennett(83)"/>
    <x v="37"/>
    <n v="8.99"/>
    <n v="1"/>
    <s v="www"/>
    <d v="2014-11-16T17:06:31"/>
    <d v="2014-11-16T00:00:00"/>
    <x v="10"/>
    <n v="8.99"/>
  </r>
  <r>
    <s v="0 Original"/>
    <s v="(1790)"/>
    <n v="1790"/>
    <s v="2014-11-16 Ora Mann(525)"/>
    <x v="15"/>
    <n v="8.99"/>
    <n v="1"/>
    <s v="www"/>
    <d v="2014-11-16T19:51:21"/>
    <d v="2014-11-16T00:00:00"/>
    <x v="10"/>
    <n v="8.99"/>
  </r>
  <r>
    <s v="0 Original"/>
    <s v="(1791)"/>
    <n v="1791"/>
    <s v="2014-11-16 Ora Mann(525)"/>
    <x v="5"/>
    <n v="9.99"/>
    <n v="2"/>
    <s v="www"/>
    <d v="2014-11-16T19:51:21"/>
    <d v="2014-11-16T00:00:00"/>
    <x v="10"/>
    <n v="19.98"/>
  </r>
  <r>
    <s v="0 Original"/>
    <s v="(1535)"/>
    <n v="1535"/>
    <s v="2014-11-16 Indira Suarez(442)"/>
    <x v="5"/>
    <n v="9.99"/>
    <n v="2"/>
    <s v="www"/>
    <d v="2014-11-16T20:17:47"/>
    <d v="2014-11-16T00:00:00"/>
    <x v="10"/>
    <n v="19.98"/>
  </r>
  <r>
    <s v="0 Original"/>
    <s v="(2777)"/>
    <n v="2777"/>
    <s v="2014-11-18 Belle Short(837)"/>
    <x v="30"/>
    <n v="6.99"/>
    <n v="2"/>
    <s v="www"/>
    <d v="2014-11-18T03:18:51"/>
    <d v="2014-11-18T00:00:00"/>
    <x v="10"/>
    <n v="13.98"/>
  </r>
  <r>
    <s v="0 Original"/>
    <s v="(2778)"/>
    <n v="2778"/>
    <s v="2014-11-18 Belle Short(837)"/>
    <x v="41"/>
    <n v="4.99"/>
    <n v="1"/>
    <s v="www"/>
    <d v="2014-11-18T03:18:51"/>
    <d v="2014-11-18T00:00:00"/>
    <x v="10"/>
    <n v="4.99"/>
  </r>
  <r>
    <s v="0 Original"/>
    <s v="(2779)"/>
    <n v="2779"/>
    <s v="2014-11-18 Belle Short(837)"/>
    <x v="25"/>
    <n v="9.99"/>
    <n v="1"/>
    <s v="www"/>
    <d v="2014-11-18T03:18:51"/>
    <d v="2014-11-18T00:00:00"/>
    <x v="10"/>
    <n v="9.99"/>
  </r>
  <r>
    <s v="0 Original"/>
    <s v="(2780)"/>
    <n v="2780"/>
    <s v="2014-11-18 Belle Short(837)"/>
    <x v="23"/>
    <n v="9.99"/>
    <n v="1"/>
    <s v="www"/>
    <d v="2014-11-18T03:18:51"/>
    <d v="2014-11-18T00:00:00"/>
    <x v="10"/>
    <n v="9.99"/>
  </r>
  <r>
    <s v="0 Original"/>
    <s v="(2781)"/>
    <n v="2781"/>
    <s v="2014-11-18 Belle Short(837)"/>
    <x v="23"/>
    <n v="9.99"/>
    <n v="2"/>
    <s v="www"/>
    <d v="2014-11-18T03:18:51"/>
    <d v="2014-11-18T00:00:00"/>
    <x v="10"/>
    <n v="19.98"/>
  </r>
  <r>
    <s v="0 Original"/>
    <s v="(2171)"/>
    <n v="2171"/>
    <s v="2014-11-18 Serina Booker(639)"/>
    <x v="82"/>
    <n v="5.99"/>
    <n v="1"/>
    <s v="www"/>
    <d v="2014-11-18T13:28:26"/>
    <d v="2014-11-18T00:00:00"/>
    <x v="10"/>
    <n v="5.99"/>
  </r>
  <r>
    <s v="0 Original"/>
    <s v="(2172)"/>
    <n v="2172"/>
    <s v="2014-11-18 Serina Booker(639)"/>
    <x v="82"/>
    <n v="5.99"/>
    <n v="1"/>
    <s v="www"/>
    <d v="2014-11-18T13:28:26"/>
    <d v="2014-11-18T00:00:00"/>
    <x v="10"/>
    <n v="5.99"/>
  </r>
  <r>
    <s v="0 Original"/>
    <s v="(2363)"/>
    <n v="2363"/>
    <s v="2014-11-19 John Drake(704)"/>
    <x v="16"/>
    <n v="6.99"/>
    <n v="2"/>
    <s v="www"/>
    <d v="2014-11-19T16:08:46"/>
    <d v="2014-11-19T00:00:00"/>
    <x v="10"/>
    <n v="13.98"/>
  </r>
  <r>
    <s v="0 Original"/>
    <s v="(2364)"/>
    <n v="2364"/>
    <s v="2014-11-19 John Drake(704)"/>
    <x v="25"/>
    <n v="9.99"/>
    <n v="1"/>
    <s v="www"/>
    <d v="2014-11-19T16:08:46"/>
    <d v="2014-11-19T00:00:00"/>
    <x v="10"/>
    <n v="9.99"/>
  </r>
  <r>
    <s v="0 Original"/>
    <s v="(2365)"/>
    <n v="2365"/>
    <s v="2014-11-19 John Drake(704)"/>
    <x v="9"/>
    <n v="7.99"/>
    <n v="1"/>
    <s v="www"/>
    <d v="2014-11-19T16:08:46"/>
    <d v="2014-11-19T00:00:00"/>
    <x v="10"/>
    <n v="7.99"/>
  </r>
  <r>
    <s v="0 Original"/>
    <s v="(2366)"/>
    <n v="2366"/>
    <s v="2014-11-19 John Drake(704)"/>
    <x v="9"/>
    <n v="7.99"/>
    <n v="1"/>
    <s v="www"/>
    <d v="2014-11-19T16:08:46"/>
    <d v="2014-11-19T00:00:00"/>
    <x v="10"/>
    <n v="7.99"/>
  </r>
  <r>
    <s v="0 Original"/>
    <s v="(2367)"/>
    <n v="2367"/>
    <s v="2014-11-19 John Drake(704)"/>
    <x v="30"/>
    <n v="6.99"/>
    <n v="1"/>
    <s v="www"/>
    <d v="2014-11-19T16:08:46"/>
    <d v="2014-11-19T00:00:00"/>
    <x v="10"/>
    <n v="6.99"/>
  </r>
  <r>
    <s v="0 Original"/>
    <s v="(2368)"/>
    <n v="2368"/>
    <s v="2014-11-19 John Drake(704)"/>
    <x v="9"/>
    <n v="7.99"/>
    <n v="1"/>
    <s v="www"/>
    <d v="2014-11-19T16:08:46"/>
    <d v="2014-11-19T00:00:00"/>
    <x v="10"/>
    <n v="7.99"/>
  </r>
  <r>
    <s v="0 Original"/>
    <s v="(2369)"/>
    <n v="2369"/>
    <s v="2014-11-19 John Drake(704)"/>
    <x v="23"/>
    <n v="9.99"/>
    <n v="2"/>
    <s v="www"/>
    <d v="2014-11-19T16:08:46"/>
    <d v="2014-11-19T00:00:00"/>
    <x v="10"/>
    <n v="19.98"/>
  </r>
  <r>
    <s v="0 Original"/>
    <s v="(2551)"/>
    <n v="2551"/>
    <s v="2014-11-19 Donovan Gomez(766)"/>
    <x v="24"/>
    <n v="7.99"/>
    <n v="1"/>
    <s v="www"/>
    <d v="2014-11-19T20:35:22"/>
    <d v="2014-11-19T00:00:00"/>
    <x v="10"/>
    <n v="7.99"/>
  </r>
  <r>
    <s v="0 Original"/>
    <s v="(2552)"/>
    <n v="2552"/>
    <s v="2014-11-19 Donovan Gomez(766)"/>
    <x v="9"/>
    <n v="7.99"/>
    <n v="1"/>
    <s v="www"/>
    <d v="2014-11-19T20:35:22"/>
    <d v="2014-11-19T00:00:00"/>
    <x v="10"/>
    <n v="7.99"/>
  </r>
  <r>
    <s v="0 Original"/>
    <s v="(3623)"/>
    <n v="3623"/>
    <s v="2014-11-19 Nayda Shields(1096)"/>
    <x v="24"/>
    <n v="7.99"/>
    <n v="1"/>
    <s v="www"/>
    <d v="2014-11-19T23:05:38"/>
    <d v="2014-11-19T00:00:00"/>
    <x v="10"/>
    <n v="7.99"/>
  </r>
  <r>
    <s v="0 Original"/>
    <s v="(3624)"/>
    <n v="3624"/>
    <s v="2014-11-19 Nayda Shields(1096)"/>
    <x v="25"/>
    <n v="9.99"/>
    <n v="1"/>
    <s v="www"/>
    <d v="2014-11-19T23:05:38"/>
    <d v="2014-11-19T00:00:00"/>
    <x v="10"/>
    <n v="9.99"/>
  </r>
  <r>
    <s v="0 Original"/>
    <s v="(3842)"/>
    <n v="3842"/>
    <s v="2014-11-21 Cameron Rivera(1168)"/>
    <x v="30"/>
    <n v="6.99"/>
    <n v="1"/>
    <s v="www"/>
    <d v="2014-11-21T10:16:32"/>
    <d v="2014-11-21T00:00:00"/>
    <x v="10"/>
    <n v="6.99"/>
  </r>
  <r>
    <s v="0 Original"/>
    <s v="(3843)"/>
    <n v="3843"/>
    <s v="2014-11-21 Cameron Rivera(1168)"/>
    <x v="16"/>
    <n v="6.99"/>
    <n v="2"/>
    <s v="www"/>
    <d v="2014-11-21T10:16:32"/>
    <d v="2014-11-21T00:00:00"/>
    <x v="10"/>
    <n v="13.98"/>
  </r>
  <r>
    <s v="0 Original"/>
    <s v="(3844)"/>
    <n v="3844"/>
    <s v="2014-11-21 Cameron Rivera(1168)"/>
    <x v="41"/>
    <n v="4.99"/>
    <n v="2"/>
    <s v="www"/>
    <d v="2014-11-21T10:16:32"/>
    <d v="2014-11-21T00:00:00"/>
    <x v="10"/>
    <n v="9.98"/>
  </r>
  <r>
    <s v="0 Original"/>
    <s v="(3845)"/>
    <n v="3845"/>
    <s v="2014-11-21 Cameron Rivera(1168)"/>
    <x v="23"/>
    <n v="9.99"/>
    <n v="2"/>
    <s v="www"/>
    <d v="2014-11-21T10:16:32"/>
    <d v="2014-11-21T00:00:00"/>
    <x v="10"/>
    <n v="19.98"/>
  </r>
  <r>
    <s v="0 Original"/>
    <s v="(3846)"/>
    <n v="3846"/>
    <s v="2014-11-21 Cameron Rivera(1168)"/>
    <x v="41"/>
    <n v="4.99"/>
    <n v="1"/>
    <s v="www"/>
    <d v="2014-11-21T10:16:32"/>
    <d v="2014-11-21T00:00:00"/>
    <x v="10"/>
    <n v="4.99"/>
  </r>
  <r>
    <s v="0 Original"/>
    <s v="(3847)"/>
    <n v="3847"/>
    <s v="2014-11-21 Cameron Rivera(1168)"/>
    <x v="16"/>
    <n v="6.99"/>
    <n v="1"/>
    <s v="www"/>
    <d v="2014-11-21T10:16:32"/>
    <d v="2014-11-21T00:00:00"/>
    <x v="10"/>
    <n v="6.99"/>
  </r>
  <r>
    <s v="0 Original"/>
    <s v="(198)"/>
    <n v="198"/>
    <s v="2014-11-22 Prescott Nelson(53)"/>
    <x v="58"/>
    <n v="4.99"/>
    <n v="2"/>
    <s v="www"/>
    <d v="2014-11-22T12:28:50"/>
    <d v="2014-11-22T00:00:00"/>
    <x v="10"/>
    <n v="9.98"/>
  </r>
  <r>
    <s v="0 Original"/>
    <s v="(199)"/>
    <n v="199"/>
    <s v="2014-11-22 Prescott Nelson(53)"/>
    <x v="103"/>
    <n v="5.99"/>
    <n v="1"/>
    <s v="www"/>
    <d v="2014-11-22T12:28:50"/>
    <d v="2014-11-22T00:00:00"/>
    <x v="10"/>
    <n v="5.99"/>
  </r>
  <r>
    <s v="0 Original"/>
    <s v="(200)"/>
    <n v="200"/>
    <s v="2014-11-22 Prescott Nelson(53)"/>
    <x v="43"/>
    <n v="4.99"/>
    <n v="1"/>
    <s v="www"/>
    <d v="2014-11-22T12:28:50"/>
    <d v="2014-11-22T00:00:00"/>
    <x v="10"/>
    <n v="4.99"/>
  </r>
  <r>
    <s v="0 Original"/>
    <s v="(2403)"/>
    <n v="2403"/>
    <s v="2014-11-25 Donovan Gomez(718)"/>
    <x v="16"/>
    <n v="6.99"/>
    <n v="2"/>
    <s v="www"/>
    <d v="2014-11-25T18:43:32"/>
    <d v="2014-11-25T00:00:00"/>
    <x v="10"/>
    <n v="13.98"/>
  </r>
  <r>
    <s v="0 Original"/>
    <s v="(2404)"/>
    <n v="2404"/>
    <s v="2014-11-25 Donovan Gomez(718)"/>
    <x v="8"/>
    <n v="4.99"/>
    <n v="1"/>
    <s v="www"/>
    <d v="2014-11-25T18:43:32"/>
    <d v="2014-11-25T00:00:00"/>
    <x v="10"/>
    <n v="4.99"/>
  </r>
  <r>
    <s v="0 Original"/>
    <s v="(2405)"/>
    <n v="2405"/>
    <s v="2014-11-25 Donovan Gomez(718)"/>
    <x v="9"/>
    <n v="7.99"/>
    <n v="1"/>
    <s v="www"/>
    <d v="2014-11-25T18:43:32"/>
    <d v="2014-11-25T00:00:00"/>
    <x v="10"/>
    <n v="7.99"/>
  </r>
  <r>
    <s v="0 Original"/>
    <s v="(2406)"/>
    <n v="2406"/>
    <s v="2014-11-25 Donovan Gomez(718)"/>
    <x v="30"/>
    <n v="6.99"/>
    <n v="2"/>
    <s v="www"/>
    <d v="2014-11-25T18:43:32"/>
    <d v="2014-11-25T00:00:00"/>
    <x v="10"/>
    <n v="13.98"/>
  </r>
  <r>
    <s v="0 Original"/>
    <s v="(2407)"/>
    <n v="2407"/>
    <s v="2014-11-25 Donovan Gomez(718)"/>
    <x v="24"/>
    <n v="7.99"/>
    <n v="1"/>
    <s v="www"/>
    <d v="2014-11-25T18:43:32"/>
    <d v="2014-11-25T00:00:00"/>
    <x v="10"/>
    <n v="7.99"/>
  </r>
  <r>
    <s v="0 Original"/>
    <s v="(1966)"/>
    <n v="1966"/>
    <s v="2014-11-25 Ulysses Hudson(577)"/>
    <x v="89"/>
    <n v="5.99"/>
    <n v="1"/>
    <s v="www"/>
    <d v="2014-11-25T18:56:58"/>
    <d v="2014-11-25T00:00:00"/>
    <x v="10"/>
    <n v="5.99"/>
  </r>
  <r>
    <s v="0 Original"/>
    <s v="(1967)"/>
    <n v="1967"/>
    <s v="2014-11-25 Ulysses Hudson(577)"/>
    <x v="5"/>
    <n v="9.99"/>
    <n v="2"/>
    <s v="www"/>
    <d v="2014-11-25T18:56:58"/>
    <d v="2014-11-25T00:00:00"/>
    <x v="10"/>
    <n v="19.98"/>
  </r>
  <r>
    <s v="0 Original"/>
    <s v="(3887)"/>
    <n v="3887"/>
    <s v="2014-11-25 Cameron Rivera(1179)"/>
    <x v="16"/>
    <n v="6.99"/>
    <n v="2"/>
    <s v="www"/>
    <d v="2014-11-25T23:39:34"/>
    <d v="2014-11-25T00:00:00"/>
    <x v="10"/>
    <n v="13.98"/>
  </r>
  <r>
    <s v="0 Original"/>
    <s v="(3888)"/>
    <n v="3888"/>
    <s v="2014-11-25 Cameron Rivera(1179)"/>
    <x v="6"/>
    <n v="5.99"/>
    <n v="1"/>
    <s v="www"/>
    <d v="2014-11-25T23:39:34"/>
    <d v="2014-11-25T00:00:00"/>
    <x v="10"/>
    <n v="5.99"/>
  </r>
  <r>
    <s v="0 Original"/>
    <s v="(3889)"/>
    <n v="3889"/>
    <s v="2014-11-25 Cameron Rivera(1179)"/>
    <x v="41"/>
    <n v="4.99"/>
    <n v="2"/>
    <s v="www"/>
    <d v="2014-11-25T23:39:34"/>
    <d v="2014-11-25T00:00:00"/>
    <x v="10"/>
    <n v="9.98"/>
  </r>
  <r>
    <s v="0 Original"/>
    <s v="(3810)"/>
    <n v="3810"/>
    <s v="2014-11-27 Ora Mann(1156)"/>
    <x v="23"/>
    <n v="9.99"/>
    <n v="1"/>
    <s v="www"/>
    <d v="2014-11-27T07:17:26"/>
    <d v="2014-11-27T00:00:00"/>
    <x v="10"/>
    <n v="9.99"/>
  </r>
  <r>
    <s v="0 Original"/>
    <s v="(3811)"/>
    <n v="3811"/>
    <s v="2014-11-27 Ora Mann(1156)"/>
    <x v="8"/>
    <n v="4.99"/>
    <n v="1"/>
    <s v="www"/>
    <d v="2014-11-27T07:17:26"/>
    <d v="2014-11-27T00:00:00"/>
    <x v="10"/>
    <n v="4.99"/>
  </r>
  <r>
    <s v="0 Original"/>
    <s v="(3696)"/>
    <n v="3696"/>
    <s v="2014-11-28 Christine Medina(1120)"/>
    <x v="41"/>
    <n v="4.99"/>
    <n v="1"/>
    <s v="www"/>
    <d v="2014-11-28T06:32:06"/>
    <d v="2014-11-28T00:00:00"/>
    <x v="10"/>
    <n v="4.99"/>
  </r>
  <r>
    <s v="0 Original"/>
    <s v="(3697)"/>
    <n v="3697"/>
    <s v="2014-11-28 Christine Medina(1120)"/>
    <x v="30"/>
    <n v="6.99"/>
    <n v="1"/>
    <s v="www"/>
    <d v="2014-11-28T06:32:06"/>
    <d v="2014-11-28T00:00:00"/>
    <x v="10"/>
    <n v="6.99"/>
  </r>
  <r>
    <s v="0 Original"/>
    <s v="(3698)"/>
    <n v="3698"/>
    <s v="2014-11-28 Christine Medina(1120)"/>
    <x v="6"/>
    <n v="5.99"/>
    <n v="1"/>
    <s v="www"/>
    <d v="2014-11-28T06:32:06"/>
    <d v="2014-11-28T00:00:00"/>
    <x v="10"/>
    <n v="5.99"/>
  </r>
  <r>
    <s v="0 Original"/>
    <s v="(362)"/>
    <n v="362"/>
    <s v="2014-11-28 Alice Bray(97)"/>
    <x v="90"/>
    <n v="5.99"/>
    <n v="1"/>
    <s v="www"/>
    <d v="2014-11-28T10:25:24"/>
    <d v="2014-11-28T00:00:00"/>
    <x v="10"/>
    <n v="5.99"/>
  </r>
  <r>
    <s v="0 Original"/>
    <s v="(363)"/>
    <n v="363"/>
    <s v="2014-11-28 Alice Bray(97)"/>
    <x v="69"/>
    <n v="4.99"/>
    <n v="1"/>
    <s v="www"/>
    <d v="2014-11-28T10:25:24"/>
    <d v="2014-11-28T00:00:00"/>
    <x v="10"/>
    <n v="4.99"/>
  </r>
  <r>
    <s v="0 Original"/>
    <s v="(821)"/>
    <n v="821"/>
    <s v="2014-11-30 Gabriel Carlson(233)"/>
    <x v="46"/>
    <n v="5.99"/>
    <n v="1"/>
    <s v="www"/>
    <d v="2014-11-30T09:20:00"/>
    <d v="2014-11-30T00:00:00"/>
    <x v="10"/>
    <n v="5.99"/>
  </r>
  <r>
    <s v="0 Original"/>
    <s v="(822)"/>
    <n v="822"/>
    <s v="2014-11-30 Gabriel Carlson(233)"/>
    <x v="38"/>
    <n v="6.99"/>
    <n v="1"/>
    <s v="www"/>
    <d v="2014-11-30T09:20:00"/>
    <d v="2014-11-30T00:00:00"/>
    <x v="10"/>
    <n v="6.99"/>
  </r>
  <r>
    <s v="0 Original"/>
    <s v="(3426)"/>
    <n v="3426"/>
    <s v="2014-12-02 John Drake(1034)"/>
    <x v="7"/>
    <n v="9.99"/>
    <n v="1"/>
    <s v="www"/>
    <d v="2014-12-02T02:31:43"/>
    <d v="2014-12-02T00:00:00"/>
    <x v="11"/>
    <n v="9.99"/>
  </r>
  <r>
    <s v="0 Original"/>
    <s v="(3427)"/>
    <n v="3427"/>
    <s v="2014-12-02 John Drake(1034)"/>
    <x v="23"/>
    <n v="9.99"/>
    <n v="1"/>
    <s v="www"/>
    <d v="2014-12-02T02:31:43"/>
    <d v="2014-12-02T00:00:00"/>
    <x v="11"/>
    <n v="9.99"/>
  </r>
  <r>
    <s v="0 Original"/>
    <s v="(3428)"/>
    <n v="3428"/>
    <s v="2014-12-02 John Drake(1034)"/>
    <x v="30"/>
    <n v="6.99"/>
    <n v="1"/>
    <s v="www"/>
    <d v="2014-12-02T02:31:43"/>
    <d v="2014-12-02T00:00:00"/>
    <x v="11"/>
    <n v="6.99"/>
  </r>
  <r>
    <s v="0 Original"/>
    <s v="(2794)"/>
    <n v="2794"/>
    <s v="2014-12-02 Nayda Shields(843)"/>
    <x v="7"/>
    <n v="9.99"/>
    <n v="2"/>
    <s v="www"/>
    <d v="2014-12-02T20:41:24"/>
    <d v="2014-12-02T00:00:00"/>
    <x v="11"/>
    <n v="19.98"/>
  </r>
  <r>
    <s v="0 Original"/>
    <s v="(2795)"/>
    <n v="2795"/>
    <s v="2014-12-02 Nayda Shields(843)"/>
    <x v="9"/>
    <n v="7.99"/>
    <n v="1"/>
    <s v="www"/>
    <d v="2014-12-02T20:41:24"/>
    <d v="2014-12-02T00:00:00"/>
    <x v="11"/>
    <n v="7.99"/>
  </r>
  <r>
    <s v="0 Original"/>
    <s v="(2796)"/>
    <n v="2796"/>
    <s v="2014-12-02 Nayda Shields(843)"/>
    <x v="8"/>
    <n v="4.99"/>
    <n v="1"/>
    <s v="www"/>
    <d v="2014-12-02T20:41:24"/>
    <d v="2014-12-02T00:00:00"/>
    <x v="11"/>
    <n v="4.99"/>
  </r>
  <r>
    <s v="0 Original"/>
    <s v="(1645)"/>
    <n v="1645"/>
    <s v="2014-12-02 Alma Salas(477)"/>
    <x v="44"/>
    <n v="9.99"/>
    <n v="1"/>
    <s v="www"/>
    <d v="2014-12-02T23:47:54"/>
    <d v="2014-12-02T00:00:00"/>
    <x v="11"/>
    <n v="9.99"/>
  </r>
  <r>
    <s v="0 Original"/>
    <s v="(1646)"/>
    <n v="1646"/>
    <s v="2014-12-02 Alma Salas(477)"/>
    <x v="15"/>
    <n v="8.99"/>
    <n v="2"/>
    <s v="www"/>
    <d v="2014-12-02T23:47:54"/>
    <d v="2014-12-02T00:00:00"/>
    <x v="11"/>
    <n v="17.98"/>
  </r>
  <r>
    <s v="0 Original"/>
    <s v="(1647)"/>
    <n v="1647"/>
    <s v="2014-12-02 Alma Salas(477)"/>
    <x v="22"/>
    <n v="6.99"/>
    <n v="1"/>
    <s v="www"/>
    <d v="2014-12-02T23:47:54"/>
    <d v="2014-12-02T00:00:00"/>
    <x v="11"/>
    <n v="6.99"/>
  </r>
  <r>
    <s v="0 Original"/>
    <s v="(1648)"/>
    <n v="1648"/>
    <s v="2014-12-02 Alma Salas(477)"/>
    <x v="9"/>
    <n v="7.99"/>
    <n v="1"/>
    <s v="www"/>
    <d v="2014-12-02T23:47:54"/>
    <d v="2014-12-02T00:00:00"/>
    <x v="11"/>
    <n v="7.99"/>
  </r>
  <r>
    <s v="0 Original"/>
    <s v="(3465)"/>
    <n v="3465"/>
    <s v="2014-12-03 John Drake(1046)"/>
    <x v="8"/>
    <n v="4.99"/>
    <n v="2"/>
    <s v="www"/>
    <d v="2014-12-03T09:15:03"/>
    <d v="2014-12-03T00:00:00"/>
    <x v="11"/>
    <n v="9.98"/>
  </r>
  <r>
    <s v="0 Original"/>
    <s v="(3466)"/>
    <n v="3466"/>
    <s v="2014-12-03 John Drake(1046)"/>
    <x v="24"/>
    <n v="7.99"/>
    <n v="1"/>
    <s v="www"/>
    <d v="2014-12-03T09:15:03"/>
    <d v="2014-12-03T00:00:00"/>
    <x v="11"/>
    <n v="7.99"/>
  </r>
  <r>
    <s v="0 Original"/>
    <s v="(3467)"/>
    <n v="3467"/>
    <s v="2014-12-03 John Drake(1046)"/>
    <x v="25"/>
    <n v="9.99"/>
    <n v="2"/>
    <s v="www"/>
    <d v="2014-12-03T09:15:03"/>
    <d v="2014-12-03T00:00:00"/>
    <x v="11"/>
    <n v="19.98"/>
  </r>
  <r>
    <s v="0 Original"/>
    <s v="(3468)"/>
    <n v="3468"/>
    <s v="2014-12-03 John Drake(1046)"/>
    <x v="7"/>
    <n v="9.99"/>
    <n v="1"/>
    <s v="www"/>
    <d v="2014-12-03T09:15:03"/>
    <d v="2014-12-03T00:00:00"/>
    <x v="11"/>
    <n v="9.99"/>
  </r>
  <r>
    <s v="0 Original"/>
    <s v="(3469)"/>
    <n v="3469"/>
    <s v="2014-12-03 John Drake(1046)"/>
    <x v="30"/>
    <n v="6.99"/>
    <n v="1"/>
    <s v="www"/>
    <d v="2014-12-03T09:15:03"/>
    <d v="2014-12-03T00:00:00"/>
    <x v="11"/>
    <n v="6.99"/>
  </r>
  <r>
    <s v="0 Original"/>
    <s v="(2330)"/>
    <n v="2330"/>
    <s v="2014-12-03 Kendall Rocha(691)"/>
    <x v="42"/>
    <n v="5.99"/>
    <n v="2"/>
    <s v="www"/>
    <d v="2014-12-03T09:54:04"/>
    <d v="2014-12-03T00:00:00"/>
    <x v="11"/>
    <n v="11.98"/>
  </r>
  <r>
    <s v="0 Original"/>
    <s v="(2331)"/>
    <n v="2331"/>
    <s v="2014-12-03 Kendall Rocha(691)"/>
    <x v="91"/>
    <n v="9.99"/>
    <n v="1"/>
    <s v="www"/>
    <d v="2014-12-03T09:54:04"/>
    <d v="2014-12-03T00:00:00"/>
    <x v="11"/>
    <n v="9.99"/>
  </r>
  <r>
    <s v="0 Original"/>
    <s v="(2332)"/>
    <n v="2332"/>
    <s v="2014-12-03 Kendall Rocha(691)"/>
    <x v="49"/>
    <n v="8.99"/>
    <n v="1"/>
    <s v="www"/>
    <d v="2014-12-03T09:54:04"/>
    <d v="2014-12-03T00:00:00"/>
    <x v="11"/>
    <n v="8.99"/>
  </r>
  <r>
    <s v="0 Original"/>
    <s v="(2333)"/>
    <n v="2333"/>
    <s v="2014-12-03 Kendall Rocha(691)"/>
    <x v="43"/>
    <n v="4.99"/>
    <n v="2"/>
    <s v="www"/>
    <d v="2014-12-03T09:54:04"/>
    <d v="2014-12-03T00:00:00"/>
    <x v="11"/>
    <n v="9.98"/>
  </r>
  <r>
    <s v="0 Original"/>
    <s v="(3523)"/>
    <n v="3523"/>
    <s v="2014-12-04 Madeline Reynolds(1065)"/>
    <x v="16"/>
    <n v="6.99"/>
    <n v="1"/>
    <s v="www"/>
    <d v="2014-12-04T17:48:41"/>
    <d v="2014-12-04T00:00:00"/>
    <x v="11"/>
    <n v="6.99"/>
  </r>
  <r>
    <s v="0 Original"/>
    <s v="(3524)"/>
    <n v="3524"/>
    <s v="2014-12-04 Madeline Reynolds(1065)"/>
    <x v="7"/>
    <n v="9.99"/>
    <n v="1"/>
    <s v="www"/>
    <d v="2014-12-04T17:48:41"/>
    <d v="2014-12-04T00:00:00"/>
    <x v="11"/>
    <n v="9.99"/>
  </r>
  <r>
    <s v="0 Original"/>
    <s v="(3525)"/>
    <n v="3525"/>
    <s v="2014-12-04 Madeline Reynolds(1065)"/>
    <x v="7"/>
    <n v="9.99"/>
    <n v="1"/>
    <s v="www"/>
    <d v="2014-12-04T17:48:41"/>
    <d v="2014-12-04T00:00:00"/>
    <x v="11"/>
    <n v="9.99"/>
  </r>
  <r>
    <s v="0 Original"/>
    <s v="(3526)"/>
    <n v="3526"/>
    <s v="2014-12-04 Madeline Reynolds(1065)"/>
    <x v="16"/>
    <n v="6.99"/>
    <n v="1"/>
    <s v="www"/>
    <d v="2014-12-04T17:48:41"/>
    <d v="2014-12-04T00:00:00"/>
    <x v="11"/>
    <n v="6.99"/>
  </r>
  <r>
    <s v="0 Original"/>
    <s v="(2429)"/>
    <n v="2429"/>
    <s v="2014-12-04 Ora Mann(727)"/>
    <x v="25"/>
    <n v="9.99"/>
    <n v="1"/>
    <s v="www"/>
    <d v="2014-12-04T21:09:06"/>
    <d v="2014-12-04T00:00:00"/>
    <x v="11"/>
    <n v="9.99"/>
  </r>
  <r>
    <s v="0 Original"/>
    <s v="(2430)"/>
    <n v="2430"/>
    <s v="2014-12-04 Ora Mann(727)"/>
    <x v="23"/>
    <n v="9.99"/>
    <n v="1"/>
    <s v="www"/>
    <d v="2014-12-04T21:09:06"/>
    <d v="2014-12-04T00:00:00"/>
    <x v="11"/>
    <n v="9.99"/>
  </r>
  <r>
    <s v="0 Original"/>
    <s v="(2431)"/>
    <n v="2431"/>
    <s v="2014-12-04 Ora Mann(727)"/>
    <x v="41"/>
    <n v="4.99"/>
    <n v="1"/>
    <s v="www"/>
    <d v="2014-12-04T21:09:06"/>
    <d v="2014-12-04T00:00:00"/>
    <x v="11"/>
    <n v="4.99"/>
  </r>
  <r>
    <s v="0 Original"/>
    <s v="(772)"/>
    <n v="772"/>
    <s v="2014-12-05 Ulysses Hudson(219)"/>
    <x v="42"/>
    <n v="5.99"/>
    <n v="1"/>
    <s v="www"/>
    <d v="2014-12-05T21:18:12"/>
    <d v="2014-12-05T00:00:00"/>
    <x v="11"/>
    <n v="5.99"/>
  </r>
  <r>
    <s v="0 Original"/>
    <s v="(773)"/>
    <n v="773"/>
    <s v="2014-12-05 Ulysses Hudson(219)"/>
    <x v="42"/>
    <n v="5.99"/>
    <n v="1"/>
    <s v="www"/>
    <d v="2014-12-05T21:18:12"/>
    <d v="2014-12-05T00:00:00"/>
    <x v="11"/>
    <n v="5.99"/>
  </r>
  <r>
    <s v="0 Original"/>
    <s v="(774)"/>
    <n v="774"/>
    <s v="2014-12-05 Ulysses Hudson(219)"/>
    <x v="59"/>
    <n v="6.99"/>
    <n v="1"/>
    <s v="www"/>
    <d v="2014-12-05T21:18:12"/>
    <d v="2014-12-05T00:00:00"/>
    <x v="11"/>
    <n v="6.99"/>
  </r>
  <r>
    <s v="0 Original"/>
    <s v="(3057)"/>
    <n v="3057"/>
    <s v="2014-12-06 Donovan Gomez(920)"/>
    <x v="9"/>
    <n v="7.99"/>
    <n v="2"/>
    <s v="www"/>
    <d v="2014-12-06T07:12:08"/>
    <d v="2014-12-06T00:00:00"/>
    <x v="11"/>
    <n v="15.98"/>
  </r>
  <r>
    <s v="0 Original"/>
    <s v="(3058)"/>
    <n v="3058"/>
    <s v="2014-12-06 Donovan Gomez(920)"/>
    <x v="16"/>
    <n v="6.99"/>
    <n v="1"/>
    <s v="www"/>
    <d v="2014-12-06T07:12:08"/>
    <d v="2014-12-06T00:00:00"/>
    <x v="11"/>
    <n v="6.99"/>
  </r>
  <r>
    <s v="0 Original"/>
    <s v="(3693)"/>
    <n v="3693"/>
    <s v="2014-12-07 Bernard Cash(1118)"/>
    <x v="41"/>
    <n v="4.99"/>
    <n v="1"/>
    <s v="www"/>
    <d v="2014-12-07T10:26:43"/>
    <d v="2014-12-07T00:00:00"/>
    <x v="11"/>
    <n v="4.99"/>
  </r>
  <r>
    <s v="0 Original"/>
    <s v="(3694)"/>
    <n v="3694"/>
    <s v="2014-12-07 Bernard Cash(1118)"/>
    <x v="8"/>
    <n v="4.99"/>
    <n v="1"/>
    <s v="www"/>
    <d v="2014-12-07T10:26:43"/>
    <d v="2014-12-07T00:00:00"/>
    <x v="11"/>
    <n v="4.99"/>
  </r>
  <r>
    <s v="0 Original"/>
    <s v="(1381)"/>
    <n v="1381"/>
    <s v="2014-12-07 Vivian Mendoza(401)"/>
    <x v="42"/>
    <n v="5.99"/>
    <n v="1"/>
    <s v="www"/>
    <d v="2014-12-07T17:36:43"/>
    <d v="2014-12-07T00:00:00"/>
    <x v="11"/>
    <n v="5.99"/>
  </r>
  <r>
    <s v="0 Original"/>
    <s v="(1382)"/>
    <n v="1382"/>
    <s v="2014-12-07 Vivian Mendoza(401)"/>
    <x v="37"/>
    <n v="8.99"/>
    <n v="1"/>
    <s v="www"/>
    <d v="2014-12-07T17:36:43"/>
    <d v="2014-12-07T00:00:00"/>
    <x v="11"/>
    <n v="8.99"/>
  </r>
  <r>
    <s v="0 Original"/>
    <s v="(1383)"/>
    <n v="1383"/>
    <s v="2014-12-07 Vivian Mendoza(401)"/>
    <x v="59"/>
    <n v="6.99"/>
    <n v="2"/>
    <s v="www"/>
    <d v="2014-12-07T17:36:43"/>
    <d v="2014-12-07T00:00:00"/>
    <x v="11"/>
    <n v="13.98"/>
  </r>
  <r>
    <s v="0 Original"/>
    <s v="(1384)"/>
    <n v="1384"/>
    <s v="2014-12-07 Vivian Mendoza(401)"/>
    <x v="33"/>
    <n v="4.99"/>
    <n v="1"/>
    <s v="www"/>
    <d v="2014-12-07T17:36:43"/>
    <d v="2014-12-07T00:00:00"/>
    <x v="11"/>
    <n v="4.99"/>
  </r>
  <r>
    <s v="0 Original"/>
    <s v="(1385)"/>
    <n v="1385"/>
    <s v="2014-12-07 Vivian Mendoza(401)"/>
    <x v="31"/>
    <n v="8.99"/>
    <n v="2"/>
    <s v="www"/>
    <d v="2014-12-07T17:36:43"/>
    <d v="2014-12-07T00:00:00"/>
    <x v="11"/>
    <n v="17.98"/>
  </r>
  <r>
    <s v="0 Original"/>
    <s v="(3676)"/>
    <n v="3676"/>
    <s v="2014-12-09 Belle Short(1113)"/>
    <x v="23"/>
    <n v="9.99"/>
    <n v="1"/>
    <s v="www"/>
    <d v="2014-12-09T02:35:31"/>
    <d v="2014-12-09T00:00:00"/>
    <x v="11"/>
    <n v="9.99"/>
  </r>
  <r>
    <s v="0 Original"/>
    <s v="(3677)"/>
    <n v="3677"/>
    <s v="2014-12-09 Belle Short(1113)"/>
    <x v="6"/>
    <n v="5.99"/>
    <n v="1"/>
    <s v="www"/>
    <d v="2014-12-09T02:35:31"/>
    <d v="2014-12-09T00:00:00"/>
    <x v="11"/>
    <n v="5.99"/>
  </r>
  <r>
    <s v="0 Original"/>
    <s v="(3678)"/>
    <n v="3678"/>
    <s v="2014-12-09 Belle Short(1113)"/>
    <x v="7"/>
    <n v="9.99"/>
    <n v="1"/>
    <s v="www"/>
    <d v="2014-12-09T02:35:31"/>
    <d v="2014-12-09T00:00:00"/>
    <x v="11"/>
    <n v="9.99"/>
  </r>
  <r>
    <s v="0 Original"/>
    <s v="(3679)"/>
    <n v="3679"/>
    <s v="2014-12-09 Belle Short(1113)"/>
    <x v="9"/>
    <n v="7.99"/>
    <n v="1"/>
    <s v="www"/>
    <d v="2014-12-09T02:35:31"/>
    <d v="2014-12-09T00:00:00"/>
    <x v="11"/>
    <n v="7.99"/>
  </r>
  <r>
    <s v="0 Original"/>
    <s v="(319)"/>
    <n v="319"/>
    <s v="2014-12-10 Theodore Mills(85)"/>
    <x v="159"/>
    <n v="9.99"/>
    <n v="1"/>
    <s v="www"/>
    <d v="2014-12-10T12:47:12"/>
    <d v="2014-12-10T00:00:00"/>
    <x v="11"/>
    <n v="9.99"/>
  </r>
  <r>
    <s v="0 Original"/>
    <s v="(3237)"/>
    <n v="3237"/>
    <s v="2014-12-10 Christine Medina(975)"/>
    <x v="8"/>
    <n v="4.99"/>
    <n v="2"/>
    <s v="www"/>
    <d v="2014-12-10T23:37:18"/>
    <d v="2014-12-10T00:00:00"/>
    <x v="11"/>
    <n v="9.98"/>
  </r>
  <r>
    <s v="0 Original"/>
    <s v="(3238)"/>
    <n v="3238"/>
    <s v="2014-12-10 Christine Medina(975)"/>
    <x v="41"/>
    <n v="4.99"/>
    <n v="1"/>
    <s v="www"/>
    <d v="2014-12-10T23:37:18"/>
    <d v="2014-12-10T00:00:00"/>
    <x v="11"/>
    <n v="4.99"/>
  </r>
  <r>
    <s v="0 Original"/>
    <s v="(3239)"/>
    <n v="3239"/>
    <s v="2014-12-10 Christine Medina(975)"/>
    <x v="8"/>
    <n v="4.99"/>
    <n v="1"/>
    <s v="www"/>
    <d v="2014-12-10T23:37:18"/>
    <d v="2014-12-10T00:00:00"/>
    <x v="11"/>
    <n v="4.99"/>
  </r>
  <r>
    <s v="0 Original"/>
    <s v="(3822)"/>
    <n v="3822"/>
    <s v="2014-12-12 Belle Short(1161)"/>
    <x v="16"/>
    <n v="6.99"/>
    <n v="1"/>
    <s v="www"/>
    <d v="2014-12-12T12:26:24"/>
    <d v="2014-12-12T00:00:00"/>
    <x v="11"/>
    <n v="6.99"/>
  </r>
  <r>
    <s v="0 Original"/>
    <s v="(3823)"/>
    <n v="3823"/>
    <s v="2014-12-12 Belle Short(1161)"/>
    <x v="8"/>
    <n v="4.99"/>
    <n v="2"/>
    <s v="www"/>
    <d v="2014-12-12T12:26:24"/>
    <d v="2014-12-12T00:00:00"/>
    <x v="11"/>
    <n v="9.98"/>
  </r>
  <r>
    <s v="0 Original"/>
    <s v="(1785)"/>
    <n v="1785"/>
    <s v="2014-12-13 Dane Stafford(524)"/>
    <x v="37"/>
    <n v="8.99"/>
    <n v="2"/>
    <s v="www"/>
    <d v="2014-12-13T10:35:57"/>
    <d v="2014-12-13T00:00:00"/>
    <x v="11"/>
    <n v="17.98"/>
  </r>
  <r>
    <s v="0 Original"/>
    <s v="(1786)"/>
    <n v="1786"/>
    <s v="2014-12-13 Dane Stafford(524)"/>
    <x v="47"/>
    <n v="6.99"/>
    <n v="1"/>
    <s v="www"/>
    <d v="2014-12-13T10:35:57"/>
    <d v="2014-12-13T00:00:00"/>
    <x v="11"/>
    <n v="6.99"/>
  </r>
  <r>
    <s v="0 Original"/>
    <s v="(1787)"/>
    <n v="1787"/>
    <s v="2014-12-13 Dane Stafford(524)"/>
    <x v="16"/>
    <n v="6.99"/>
    <n v="2"/>
    <s v="www"/>
    <d v="2014-12-13T10:35:57"/>
    <d v="2014-12-13T00:00:00"/>
    <x v="11"/>
    <n v="13.98"/>
  </r>
  <r>
    <s v="0 Original"/>
    <s v="(1788)"/>
    <n v="1788"/>
    <s v="2014-12-13 Dane Stafford(524)"/>
    <x v="7"/>
    <n v="9.99"/>
    <n v="2"/>
    <s v="www"/>
    <d v="2014-12-13T10:35:57"/>
    <d v="2014-12-13T00:00:00"/>
    <x v="11"/>
    <n v="19.98"/>
  </r>
  <r>
    <s v="0 Original"/>
    <s v="(1789)"/>
    <n v="1789"/>
    <s v="2014-12-13 Dane Stafford(524)"/>
    <x v="35"/>
    <n v="9.99"/>
    <n v="2"/>
    <s v="www"/>
    <d v="2014-12-13T10:35:57"/>
    <d v="2014-12-13T00:00:00"/>
    <x v="11"/>
    <n v="19.98"/>
  </r>
  <r>
    <s v="0 Original"/>
    <s v="(1922)"/>
    <n v="1922"/>
    <s v="2014-12-14 Tashya Osborne(562)"/>
    <x v="3"/>
    <n v="7.99"/>
    <n v="2"/>
    <s v="www"/>
    <d v="2014-12-14T01:07:52"/>
    <d v="2014-12-14T00:00:00"/>
    <x v="11"/>
    <n v="15.98"/>
  </r>
  <r>
    <s v="0 Original"/>
    <s v="(1458)"/>
    <n v="1458"/>
    <s v="2014-12-14 Claudia Crane(421)"/>
    <x v="36"/>
    <n v="6.99"/>
    <n v="1"/>
    <s v="www"/>
    <d v="2014-12-14T01:43:28"/>
    <d v="2014-12-14T00:00:00"/>
    <x v="11"/>
    <n v="6.99"/>
  </r>
  <r>
    <s v="0 Original"/>
    <s v="(1459)"/>
    <n v="1459"/>
    <s v="2014-12-14 Claudia Crane(421)"/>
    <x v="44"/>
    <n v="9.99"/>
    <n v="1"/>
    <s v="www"/>
    <d v="2014-12-14T01:43:28"/>
    <d v="2014-12-14T00:00:00"/>
    <x v="11"/>
    <n v="9.99"/>
  </r>
  <r>
    <s v="0 Original"/>
    <s v="(2231)"/>
    <n v="2231"/>
    <s v="2014-12-15 Zane Parrish(658)"/>
    <x v="91"/>
    <n v="9.99"/>
    <n v="1"/>
    <s v="www"/>
    <d v="2014-12-15T13:46:40"/>
    <d v="2014-12-15T00:00:00"/>
    <x v="11"/>
    <n v="9.99"/>
  </r>
  <r>
    <s v="0 Original"/>
    <s v="(2232)"/>
    <n v="2232"/>
    <s v="2014-12-15 Zane Parrish(658)"/>
    <x v="13"/>
    <n v="8.99"/>
    <n v="1"/>
    <s v="www"/>
    <d v="2014-12-15T13:46:40"/>
    <d v="2014-12-15T00:00:00"/>
    <x v="11"/>
    <n v="8.99"/>
  </r>
  <r>
    <s v="0 Original"/>
    <s v="(2233)"/>
    <n v="2233"/>
    <s v="2014-12-15 Zane Parrish(658)"/>
    <x v="47"/>
    <n v="6.99"/>
    <n v="2"/>
    <s v="www"/>
    <d v="2014-12-15T13:46:40"/>
    <d v="2014-12-15T00:00:00"/>
    <x v="11"/>
    <n v="13.98"/>
  </r>
  <r>
    <s v="0 Original"/>
    <s v="(2234)"/>
    <n v="2234"/>
    <s v="2014-12-15 Zane Parrish(658)"/>
    <x v="3"/>
    <n v="7.99"/>
    <n v="2"/>
    <s v="www"/>
    <d v="2014-12-15T13:46:40"/>
    <d v="2014-12-15T00:00:00"/>
    <x v="11"/>
    <n v="15.98"/>
  </r>
  <r>
    <s v="0 Original"/>
    <s v="(2235)"/>
    <n v="2235"/>
    <s v="2014-12-15 Zane Parrish(658)"/>
    <x v="2"/>
    <n v="7.99"/>
    <n v="1"/>
    <s v="www"/>
    <d v="2014-12-15T13:46:40"/>
    <d v="2014-12-15T00:00:00"/>
    <x v="11"/>
    <n v="7.99"/>
  </r>
  <r>
    <s v="0 Original"/>
    <s v="(2236)"/>
    <n v="2236"/>
    <s v="2014-12-15 Zane Parrish(658)"/>
    <x v="82"/>
    <n v="5.99"/>
    <n v="2"/>
    <s v="www"/>
    <d v="2014-12-15T13:46:40"/>
    <d v="2014-12-15T00:00:00"/>
    <x v="11"/>
    <n v="11.98"/>
  </r>
  <r>
    <s v="0 Original"/>
    <s v="(2237)"/>
    <n v="2237"/>
    <s v="2014-12-15 Zane Parrish(658)"/>
    <x v="91"/>
    <n v="9.99"/>
    <n v="1"/>
    <s v="www"/>
    <d v="2014-12-15T13:46:40"/>
    <d v="2014-12-15T00:00:00"/>
    <x v="11"/>
    <n v="9.99"/>
  </r>
  <r>
    <s v="0 Original"/>
    <s v="(3938)"/>
    <n v="3938"/>
    <s v="2014-12-15 Donovan Gomez(1193)"/>
    <x v="23"/>
    <n v="9.99"/>
    <n v="2"/>
    <s v="www"/>
    <d v="2014-12-15T19:39:33"/>
    <d v="2014-12-15T00:00:00"/>
    <x v="11"/>
    <n v="19.98"/>
  </r>
  <r>
    <s v="0 Original"/>
    <s v="(3939)"/>
    <n v="3939"/>
    <s v="2014-12-15 Donovan Gomez(1193)"/>
    <x v="41"/>
    <n v="4.99"/>
    <n v="2"/>
    <s v="www"/>
    <d v="2014-12-15T19:39:33"/>
    <d v="2014-12-15T00:00:00"/>
    <x v="11"/>
    <n v="9.98"/>
  </r>
  <r>
    <s v="0 Original"/>
    <s v="(1899)"/>
    <n v="1899"/>
    <s v="2014-12-16 Tate Lowery(555)"/>
    <x v="3"/>
    <n v="7.99"/>
    <n v="1"/>
    <s v="www"/>
    <d v="2014-12-16T00:00:44"/>
    <d v="2014-12-16T00:00:00"/>
    <x v="11"/>
    <n v="7.99"/>
  </r>
  <r>
    <s v="0 Original"/>
    <s v="(1900)"/>
    <n v="1900"/>
    <s v="2014-12-16 Tate Lowery(555)"/>
    <x v="7"/>
    <n v="9.99"/>
    <n v="1"/>
    <s v="www"/>
    <d v="2014-12-16T00:00:44"/>
    <d v="2014-12-16T00:00:00"/>
    <x v="11"/>
    <n v="9.99"/>
  </r>
  <r>
    <s v="0 Original"/>
    <s v="(1901)"/>
    <n v="1901"/>
    <s v="2014-12-16 Tate Lowery(555)"/>
    <x v="42"/>
    <n v="5.99"/>
    <n v="1"/>
    <s v="www"/>
    <d v="2014-12-16T00:00:44"/>
    <d v="2014-12-16T00:00:00"/>
    <x v="11"/>
    <n v="5.99"/>
  </r>
  <r>
    <s v="0 Original"/>
    <s v="(1902)"/>
    <n v="1902"/>
    <s v="2014-12-16 Tate Lowery(555)"/>
    <x v="11"/>
    <n v="8.99"/>
    <n v="1"/>
    <s v="www"/>
    <d v="2014-12-16T00:00:44"/>
    <d v="2014-12-16T00:00:00"/>
    <x v="11"/>
    <n v="8.99"/>
  </r>
  <r>
    <s v="0 Original"/>
    <s v="(3148)"/>
    <n v="3148"/>
    <s v="2014-12-16 Nayda Shields(949)"/>
    <x v="24"/>
    <n v="7.99"/>
    <n v="2"/>
    <s v="www"/>
    <d v="2014-12-16T06:12:00"/>
    <d v="2014-12-16T00:00:00"/>
    <x v="11"/>
    <n v="15.98"/>
  </r>
  <r>
    <s v="0 Original"/>
    <s v="(3149)"/>
    <n v="3149"/>
    <s v="2014-12-16 Nayda Shields(949)"/>
    <x v="41"/>
    <n v="4.99"/>
    <n v="2"/>
    <s v="www"/>
    <d v="2014-12-16T06:12:00"/>
    <d v="2014-12-16T00:00:00"/>
    <x v="11"/>
    <n v="9.98"/>
  </r>
  <r>
    <s v="0 Original"/>
    <s v="(3150)"/>
    <n v="3150"/>
    <s v="2014-12-16 Nayda Shields(949)"/>
    <x v="16"/>
    <n v="6.99"/>
    <n v="1"/>
    <s v="www"/>
    <d v="2014-12-16T06:12:00"/>
    <d v="2014-12-16T00:00:00"/>
    <x v="11"/>
    <n v="6.99"/>
  </r>
  <r>
    <s v="0 Original"/>
    <s v="(1079)"/>
    <n v="1079"/>
    <s v="2014-12-16 Colby Clay(309)"/>
    <x v="17"/>
    <n v="9.99"/>
    <n v="2"/>
    <s v="www"/>
    <d v="2014-12-16T13:32:56"/>
    <d v="2014-12-16T00:00:00"/>
    <x v="11"/>
    <n v="19.98"/>
  </r>
  <r>
    <s v="0 Original"/>
    <s v="(1080)"/>
    <n v="1080"/>
    <s v="2014-12-16 Colby Clay(309)"/>
    <x v="82"/>
    <n v="5.99"/>
    <n v="1"/>
    <s v="www"/>
    <d v="2014-12-16T13:32:56"/>
    <d v="2014-12-16T00:00:00"/>
    <x v="11"/>
    <n v="5.99"/>
  </r>
  <r>
    <s v="0 Original"/>
    <s v="(1081)"/>
    <n v="1081"/>
    <s v="2014-12-16 Colby Clay(309)"/>
    <x v="7"/>
    <n v="9.99"/>
    <n v="1"/>
    <s v="www"/>
    <d v="2014-12-16T13:32:56"/>
    <d v="2014-12-16T00:00:00"/>
    <x v="11"/>
    <n v="9.99"/>
  </r>
  <r>
    <s v="0 Original"/>
    <s v="(1082)"/>
    <n v="1082"/>
    <s v="2014-12-16 Colby Clay(309)"/>
    <x v="42"/>
    <n v="5.99"/>
    <n v="1"/>
    <s v="www"/>
    <d v="2014-12-16T13:32:56"/>
    <d v="2014-12-16T00:00:00"/>
    <x v="11"/>
    <n v="5.99"/>
  </r>
  <r>
    <s v="0 Original"/>
    <s v="(1083)"/>
    <n v="1083"/>
    <s v="2014-12-16 Colby Clay(309)"/>
    <x v="47"/>
    <n v="6.99"/>
    <n v="1"/>
    <s v="www"/>
    <d v="2014-12-16T13:32:56"/>
    <d v="2014-12-16T00:00:00"/>
    <x v="11"/>
    <n v="6.99"/>
  </r>
  <r>
    <s v="0 Original"/>
    <s v="(1084)"/>
    <n v="1084"/>
    <s v="2014-12-16 Colby Clay(309)"/>
    <x v="15"/>
    <n v="8.99"/>
    <n v="2"/>
    <s v="www"/>
    <d v="2014-12-16T13:32:56"/>
    <d v="2014-12-16T00:00:00"/>
    <x v="11"/>
    <n v="17.98"/>
  </r>
  <r>
    <s v="0 Original"/>
    <s v="(3446)"/>
    <n v="3446"/>
    <s v="2014-12-16 Ora Mann(1040)"/>
    <x v="23"/>
    <n v="9.99"/>
    <n v="2"/>
    <s v="www"/>
    <d v="2014-12-16T14:15:24"/>
    <d v="2014-12-16T00:00:00"/>
    <x v="11"/>
    <n v="19.98"/>
  </r>
  <r>
    <s v="0 Original"/>
    <s v="(3447)"/>
    <n v="3447"/>
    <s v="2014-12-16 Ora Mann(1040)"/>
    <x v="25"/>
    <n v="9.99"/>
    <n v="1"/>
    <s v="www"/>
    <d v="2014-12-16T14:15:24"/>
    <d v="2014-12-16T00:00:00"/>
    <x v="11"/>
    <n v="9.99"/>
  </r>
  <r>
    <s v="0 Original"/>
    <s v="(3448)"/>
    <n v="3448"/>
    <s v="2014-12-16 Ora Mann(1040)"/>
    <x v="41"/>
    <n v="4.99"/>
    <n v="2"/>
    <s v="www"/>
    <d v="2014-12-16T14:15:24"/>
    <d v="2014-12-16T00:00:00"/>
    <x v="11"/>
    <n v="9.98"/>
  </r>
  <r>
    <s v="0 Original"/>
    <s v="(3449)"/>
    <n v="3449"/>
    <s v="2014-12-16 Ora Mann(1040)"/>
    <x v="8"/>
    <n v="4.99"/>
    <n v="1"/>
    <s v="www"/>
    <d v="2014-12-16T14:15:24"/>
    <d v="2014-12-16T00:00:00"/>
    <x v="11"/>
    <n v="4.99"/>
  </r>
  <r>
    <s v="0 Original"/>
    <s v="(2050)"/>
    <n v="2050"/>
    <s v="2014-12-16 Dane Stafford(605)"/>
    <x v="33"/>
    <n v="4.99"/>
    <n v="2"/>
    <s v="www"/>
    <d v="2014-12-16T16:52:12"/>
    <d v="2014-12-16T00:00:00"/>
    <x v="11"/>
    <n v="9.98"/>
  </r>
  <r>
    <s v="0 Original"/>
    <s v="(2051)"/>
    <n v="2051"/>
    <s v="2014-12-16 Dane Stafford(605)"/>
    <x v="86"/>
    <n v="9.99"/>
    <n v="2"/>
    <s v="www"/>
    <d v="2014-12-16T16:52:12"/>
    <d v="2014-12-16T00:00:00"/>
    <x v="11"/>
    <n v="19.98"/>
  </r>
  <r>
    <s v="0 Original"/>
    <s v="(2322)"/>
    <n v="2322"/>
    <s v="2014-12-16 Indira Suarez(688)"/>
    <x v="15"/>
    <n v="8.99"/>
    <n v="1"/>
    <s v="www"/>
    <d v="2014-12-16T20:13:52"/>
    <d v="2014-12-16T00:00:00"/>
    <x v="11"/>
    <n v="8.99"/>
  </r>
  <r>
    <s v="0 Original"/>
    <s v="(2323)"/>
    <n v="2323"/>
    <s v="2014-12-16 Indira Suarez(688)"/>
    <x v="7"/>
    <n v="9.99"/>
    <n v="1"/>
    <s v="www"/>
    <d v="2014-12-16T20:13:52"/>
    <d v="2014-12-16T00:00:00"/>
    <x v="11"/>
    <n v="9.99"/>
  </r>
  <r>
    <s v="0 Original"/>
    <s v="(2324)"/>
    <n v="2324"/>
    <s v="2014-12-16 Indira Suarez(688)"/>
    <x v="13"/>
    <n v="8.99"/>
    <n v="2"/>
    <s v="www"/>
    <d v="2014-12-16T20:13:52"/>
    <d v="2014-12-16T00:00:00"/>
    <x v="11"/>
    <n v="17.98"/>
  </r>
  <r>
    <s v="0 Original"/>
    <s v="(1876)"/>
    <n v="1876"/>
    <s v="2014-12-17 Yoshi Bennett(549)"/>
    <x v="12"/>
    <n v="8.99"/>
    <n v="2"/>
    <s v="www"/>
    <d v="2014-12-17T20:43:09"/>
    <d v="2014-12-17T00:00:00"/>
    <x v="11"/>
    <n v="17.98"/>
  </r>
  <r>
    <s v="0 Original"/>
    <s v="(1877)"/>
    <n v="1877"/>
    <s v="2014-12-17 Yoshi Bennett(549)"/>
    <x v="38"/>
    <n v="6.99"/>
    <n v="1"/>
    <s v="www"/>
    <d v="2014-12-17T20:43:09"/>
    <d v="2014-12-17T00:00:00"/>
    <x v="11"/>
    <n v="6.99"/>
  </r>
  <r>
    <s v="0 Original"/>
    <s v="(1878)"/>
    <n v="1878"/>
    <s v="2014-12-17 Yoshi Bennett(549)"/>
    <x v="29"/>
    <n v="4.99"/>
    <n v="1"/>
    <s v="www"/>
    <d v="2014-12-17T20:43:09"/>
    <d v="2014-12-17T00:00:00"/>
    <x v="11"/>
    <n v="4.99"/>
  </r>
  <r>
    <s v="0 Original"/>
    <s v="(1879)"/>
    <n v="1879"/>
    <s v="2014-12-17 Yoshi Bennett(549)"/>
    <x v="91"/>
    <n v="9.99"/>
    <n v="2"/>
    <s v="www"/>
    <d v="2014-12-17T20:43:09"/>
    <d v="2014-12-17T00:00:00"/>
    <x v="11"/>
    <n v="19.98"/>
  </r>
  <r>
    <s v="0 Original"/>
    <s v="(1880)"/>
    <n v="1880"/>
    <s v="2014-12-17 Yoshi Bennett(549)"/>
    <x v="107"/>
    <n v="8.99"/>
    <n v="1"/>
    <s v="www"/>
    <d v="2014-12-17T20:43:09"/>
    <d v="2014-12-17T00:00:00"/>
    <x v="11"/>
    <n v="8.99"/>
  </r>
  <r>
    <s v="0 Original"/>
    <s v="(1881)"/>
    <n v="1881"/>
    <s v="2014-12-17 Yoshi Bennett(549)"/>
    <x v="57"/>
    <n v="4.99"/>
    <n v="2"/>
    <s v="www"/>
    <d v="2014-12-17T20:43:09"/>
    <d v="2014-12-17T00:00:00"/>
    <x v="11"/>
    <n v="9.98"/>
  </r>
  <r>
    <s v="0 Original"/>
    <s v="(3384)"/>
    <n v="3384"/>
    <s v="2014-12-18 Bernard Cash(1022)"/>
    <x v="9"/>
    <n v="7.99"/>
    <n v="2"/>
    <s v="www"/>
    <d v="2014-12-18T01:38:46"/>
    <d v="2014-12-18T00:00:00"/>
    <x v="11"/>
    <n v="15.98"/>
  </r>
  <r>
    <s v="0 Original"/>
    <s v="(3385)"/>
    <n v="3385"/>
    <s v="2014-12-18 Bernard Cash(1022)"/>
    <x v="8"/>
    <n v="4.99"/>
    <n v="1"/>
    <s v="www"/>
    <d v="2014-12-18T01:38:46"/>
    <d v="2014-12-18T00:00:00"/>
    <x v="11"/>
    <n v="4.99"/>
  </r>
  <r>
    <s v="0 Original"/>
    <s v="(467)"/>
    <n v="467"/>
    <s v="2014-12-18 Lesley Keith(133)"/>
    <x v="154"/>
    <n v="5.99"/>
    <n v="1"/>
    <s v="www"/>
    <d v="2014-12-18T03:12:44"/>
    <d v="2014-12-18T00:00:00"/>
    <x v="11"/>
    <n v="5.99"/>
  </r>
  <r>
    <s v="0 Original"/>
    <s v="(468)"/>
    <n v="468"/>
    <s v="2014-12-18 Lesley Keith(133)"/>
    <x v="91"/>
    <n v="9.99"/>
    <n v="1"/>
    <s v="www"/>
    <d v="2014-12-18T03:12:44"/>
    <d v="2014-12-18T00:00:00"/>
    <x v="11"/>
    <n v="9.99"/>
  </r>
  <r>
    <s v="0 Original"/>
    <s v="(469)"/>
    <n v="469"/>
    <s v="2014-12-18 Lesley Keith(133)"/>
    <x v="130"/>
    <n v="8.99"/>
    <n v="1"/>
    <s v="www"/>
    <d v="2014-12-18T03:12:44"/>
    <d v="2014-12-18T00:00:00"/>
    <x v="11"/>
    <n v="8.99"/>
  </r>
  <r>
    <s v="0 Original"/>
    <s v="(470)"/>
    <n v="470"/>
    <s v="2014-12-18 Lesley Keith(133)"/>
    <x v="126"/>
    <n v="8.99"/>
    <n v="1"/>
    <s v="www"/>
    <d v="2014-12-18T03:12:44"/>
    <d v="2014-12-18T00:00:00"/>
    <x v="11"/>
    <n v="8.99"/>
  </r>
  <r>
    <s v="0 Original"/>
    <s v="(2073)"/>
    <n v="2073"/>
    <s v="2014-12-18 Stacey Kirk(611)"/>
    <x v="7"/>
    <n v="9.99"/>
    <n v="2"/>
    <s v="www"/>
    <d v="2014-12-18T15:29:39"/>
    <d v="2014-12-18T00:00:00"/>
    <x v="11"/>
    <n v="19.98"/>
  </r>
  <r>
    <s v="0 Original"/>
    <s v="(2074)"/>
    <n v="2074"/>
    <s v="2014-12-18 Stacey Kirk(611)"/>
    <x v="43"/>
    <n v="4.99"/>
    <n v="1"/>
    <s v="www"/>
    <d v="2014-12-18T15:29:39"/>
    <d v="2014-12-18T00:00:00"/>
    <x v="11"/>
    <n v="4.99"/>
  </r>
  <r>
    <s v="0 Original"/>
    <s v="(2075)"/>
    <n v="2075"/>
    <s v="2014-12-18 Stacey Kirk(611)"/>
    <x v="28"/>
    <n v="5.99"/>
    <n v="2"/>
    <s v="www"/>
    <d v="2014-12-18T15:29:39"/>
    <d v="2014-12-18T00:00:00"/>
    <x v="11"/>
    <n v="11.98"/>
  </r>
  <r>
    <s v="0 Original"/>
    <s v="(2076)"/>
    <n v="2076"/>
    <s v="2014-12-18 Stacey Kirk(611)"/>
    <x v="22"/>
    <n v="6.99"/>
    <n v="1"/>
    <s v="www"/>
    <d v="2014-12-18T15:29:39"/>
    <d v="2014-12-18T00:00:00"/>
    <x v="11"/>
    <n v="6.99"/>
  </r>
  <r>
    <s v="0 Original"/>
    <s v="(2077)"/>
    <n v="2077"/>
    <s v="2014-12-18 Stacey Kirk(611)"/>
    <x v="22"/>
    <n v="6.99"/>
    <n v="2"/>
    <s v="www"/>
    <d v="2014-12-18T15:29:39"/>
    <d v="2014-12-18T00:00:00"/>
    <x v="11"/>
    <n v="13.98"/>
  </r>
  <r>
    <s v="0 Original"/>
    <s v="(335)"/>
    <n v="335"/>
    <s v="2014-12-19 Hayley Foster(90)"/>
    <x v="139"/>
    <n v="8.99"/>
    <n v="1"/>
    <s v="www"/>
    <d v="2014-12-19T13:51:45"/>
    <d v="2014-12-19T00:00:00"/>
    <x v="11"/>
    <n v="8.99"/>
  </r>
  <r>
    <s v="0 Original"/>
    <s v="(51)"/>
    <n v="51"/>
    <s v="2014-12-19 Yvonne Brewer(17)"/>
    <x v="114"/>
    <n v="8.99"/>
    <n v="2"/>
    <s v="www"/>
    <d v="2014-12-19T14:34:04"/>
    <d v="2014-12-19T00:00:00"/>
    <x v="11"/>
    <n v="17.98"/>
  </r>
  <r>
    <s v="0 Original"/>
    <s v="(52)"/>
    <n v="52"/>
    <s v="2014-12-19 Yvonne Brewer(17)"/>
    <x v="18"/>
    <n v="5.99"/>
    <n v="1"/>
    <s v="www"/>
    <d v="2014-12-19T14:34:04"/>
    <d v="2014-12-19T00:00:00"/>
    <x v="11"/>
    <n v="5.99"/>
  </r>
  <r>
    <s v="0 Original"/>
    <s v="(53)"/>
    <n v="53"/>
    <s v="2014-12-19 Yvonne Brewer(17)"/>
    <x v="100"/>
    <n v="4.99"/>
    <n v="1"/>
    <s v="www"/>
    <d v="2014-12-19T14:34:04"/>
    <d v="2014-12-19T00:00:00"/>
    <x v="11"/>
    <n v="4.99"/>
  </r>
  <r>
    <s v="0 Original"/>
    <s v="(54)"/>
    <n v="54"/>
    <s v="2014-12-19 Yvonne Brewer(17)"/>
    <x v="146"/>
    <n v="8.99"/>
    <n v="1"/>
    <s v="www"/>
    <d v="2014-12-19T14:34:04"/>
    <d v="2014-12-19T00:00:00"/>
    <x v="11"/>
    <n v="8.99"/>
  </r>
  <r>
    <s v="0 Original"/>
    <s v="(55)"/>
    <n v="55"/>
    <s v="2014-12-19 Yvonne Brewer(17)"/>
    <x v="2"/>
    <n v="7.99"/>
    <n v="1"/>
    <s v="www"/>
    <d v="2014-12-19T14:34:04"/>
    <d v="2014-12-19T00:00:00"/>
    <x v="11"/>
    <n v="7.99"/>
  </r>
  <r>
    <s v="0 Original"/>
    <s v="(56)"/>
    <n v="56"/>
    <s v="2014-12-19 Yvonne Brewer(17)"/>
    <x v="11"/>
    <n v="8.99"/>
    <n v="1"/>
    <s v="www"/>
    <d v="2014-12-19T14:34:04"/>
    <d v="2014-12-19T00:00:00"/>
    <x v="11"/>
    <n v="8.99"/>
  </r>
  <r>
    <s v="0 Original"/>
    <s v="(2801)"/>
    <n v="2801"/>
    <s v="2014-12-19 Nayda Shields(846)"/>
    <x v="24"/>
    <n v="7.99"/>
    <n v="1"/>
    <s v="www"/>
    <d v="2014-12-19T20:45:18"/>
    <d v="2014-12-19T00:00:00"/>
    <x v="11"/>
    <n v="7.99"/>
  </r>
  <r>
    <s v="0 Original"/>
    <s v="(2802)"/>
    <n v="2802"/>
    <s v="2014-12-19 Nayda Shields(846)"/>
    <x v="25"/>
    <n v="9.99"/>
    <n v="1"/>
    <s v="www"/>
    <d v="2014-12-19T20:45:18"/>
    <d v="2014-12-19T00:00:00"/>
    <x v="11"/>
    <n v="9.99"/>
  </r>
  <r>
    <s v="0 Original"/>
    <s v="(3591)"/>
    <n v="3591"/>
    <s v="2014-12-20 Cameron Rivera(1085)"/>
    <x v="25"/>
    <n v="9.99"/>
    <n v="1"/>
    <s v="www"/>
    <d v="2014-12-20T01:00:46"/>
    <d v="2014-12-20T00:00:00"/>
    <x v="11"/>
    <n v="9.99"/>
  </r>
  <r>
    <s v="0 Original"/>
    <s v="(3592)"/>
    <n v="3592"/>
    <s v="2014-12-20 Cameron Rivera(1085)"/>
    <x v="6"/>
    <n v="5.99"/>
    <n v="1"/>
    <s v="www"/>
    <d v="2014-12-20T01:00:46"/>
    <d v="2014-12-20T00:00:00"/>
    <x v="11"/>
    <n v="5.99"/>
  </r>
  <r>
    <s v="0 Original"/>
    <s v="(2561)"/>
    <n v="2561"/>
    <s v="2014-12-20 Donovan Gomez(773)"/>
    <x v="25"/>
    <n v="9.99"/>
    <n v="2"/>
    <s v="www"/>
    <d v="2014-12-20T06:39:22"/>
    <d v="2014-12-20T00:00:00"/>
    <x v="11"/>
    <n v="19.98"/>
  </r>
  <r>
    <s v="0 Original"/>
    <s v="(2562)"/>
    <n v="2562"/>
    <s v="2014-12-20 Donovan Gomez(773)"/>
    <x v="7"/>
    <n v="9.99"/>
    <n v="2"/>
    <s v="www"/>
    <d v="2014-12-20T06:39:22"/>
    <d v="2014-12-20T00:00:00"/>
    <x v="11"/>
    <n v="19.98"/>
  </r>
  <r>
    <s v="0 Original"/>
    <s v="(2563)"/>
    <n v="2563"/>
    <s v="2014-12-20 Donovan Gomez(773)"/>
    <x v="16"/>
    <n v="6.99"/>
    <n v="1"/>
    <s v="www"/>
    <d v="2014-12-20T06:39:22"/>
    <d v="2014-12-20T00:00:00"/>
    <x v="11"/>
    <n v="6.99"/>
  </r>
  <r>
    <s v="0 Original"/>
    <s v="(2564)"/>
    <n v="2564"/>
    <s v="2014-12-20 Donovan Gomez(773)"/>
    <x v="9"/>
    <n v="7.99"/>
    <n v="2"/>
    <s v="www"/>
    <d v="2014-12-20T06:39:22"/>
    <d v="2014-12-20T00:00:00"/>
    <x v="11"/>
    <n v="15.98"/>
  </r>
  <r>
    <s v="0 Original"/>
    <s v="(2853)"/>
    <n v="2853"/>
    <s v="2014-12-20 John Drake(859)"/>
    <x v="30"/>
    <n v="6.99"/>
    <n v="1"/>
    <s v="www"/>
    <d v="2014-12-20T09:12:22"/>
    <d v="2014-12-20T00:00:00"/>
    <x v="11"/>
    <n v="6.99"/>
  </r>
  <r>
    <s v="0 Original"/>
    <s v="(3240)"/>
    <n v="3240"/>
    <s v="2014-12-21 Belle Short(976)"/>
    <x v="23"/>
    <n v="9.99"/>
    <n v="1"/>
    <s v="www"/>
    <d v="2014-12-21T04:52:27"/>
    <d v="2014-12-21T00:00:00"/>
    <x v="11"/>
    <n v="9.99"/>
  </r>
  <r>
    <s v="0 Original"/>
    <s v="(3241)"/>
    <n v="3241"/>
    <s v="2014-12-21 Belle Short(976)"/>
    <x v="8"/>
    <n v="4.99"/>
    <n v="1"/>
    <s v="www"/>
    <d v="2014-12-21T04:52:27"/>
    <d v="2014-12-21T00:00:00"/>
    <x v="11"/>
    <n v="4.99"/>
  </r>
  <r>
    <s v="0 Original"/>
    <s v="(3242)"/>
    <n v="3242"/>
    <s v="2014-12-21 Belle Short(976)"/>
    <x v="7"/>
    <n v="9.99"/>
    <n v="1"/>
    <s v="www"/>
    <d v="2014-12-21T04:52:27"/>
    <d v="2014-12-21T00:00:00"/>
    <x v="11"/>
    <n v="9.99"/>
  </r>
  <r>
    <s v="0 Original"/>
    <s v="(3243)"/>
    <n v="3243"/>
    <s v="2014-12-21 Belle Short(976)"/>
    <x v="41"/>
    <n v="4.99"/>
    <n v="2"/>
    <s v="www"/>
    <d v="2014-12-21T04:52:27"/>
    <d v="2014-12-21T00:00:00"/>
    <x v="11"/>
    <n v="9.98"/>
  </r>
  <r>
    <s v="0 Original"/>
    <s v="(3244)"/>
    <n v="3244"/>
    <s v="2014-12-21 Belle Short(976)"/>
    <x v="8"/>
    <n v="4.99"/>
    <n v="1"/>
    <s v="www"/>
    <d v="2014-12-21T04:52:27"/>
    <d v="2014-12-21T00:00:00"/>
    <x v="11"/>
    <n v="4.99"/>
  </r>
  <r>
    <s v="0 Original"/>
    <s v="(1062)"/>
    <n v="1062"/>
    <s v="2014-12-21 Dale Fry(304)"/>
    <x v="27"/>
    <n v="9.99"/>
    <n v="1"/>
    <s v="www"/>
    <d v="2014-12-21T06:26:13"/>
    <d v="2014-12-21T00:00:00"/>
    <x v="11"/>
    <n v="9.99"/>
  </r>
  <r>
    <s v="0 Original"/>
    <s v="(1063)"/>
    <n v="1063"/>
    <s v="2014-12-21 Dale Fry(304)"/>
    <x v="91"/>
    <n v="9.99"/>
    <n v="1"/>
    <s v="www"/>
    <d v="2014-12-21T06:26:13"/>
    <d v="2014-12-21T00:00:00"/>
    <x v="11"/>
    <n v="9.99"/>
  </r>
  <r>
    <s v="0 Original"/>
    <s v="(3136)"/>
    <n v="3136"/>
    <s v="2014-12-21 John Drake(945)"/>
    <x v="41"/>
    <n v="4.99"/>
    <n v="1"/>
    <s v="www"/>
    <d v="2014-12-21T10:41:58"/>
    <d v="2014-12-21T00:00:00"/>
    <x v="11"/>
    <n v="4.99"/>
  </r>
  <r>
    <s v="0 Original"/>
    <s v="(3137)"/>
    <n v="3137"/>
    <s v="2014-12-21 John Drake(945)"/>
    <x v="41"/>
    <n v="4.99"/>
    <n v="1"/>
    <s v="www"/>
    <d v="2014-12-21T10:41:58"/>
    <d v="2014-12-21T00:00:00"/>
    <x v="11"/>
    <n v="4.99"/>
  </r>
  <r>
    <s v="0 Original"/>
    <s v="(2350)"/>
    <n v="2350"/>
    <s v="2014-12-22 Anne Slater(698)"/>
    <x v="49"/>
    <n v="8.99"/>
    <n v="2"/>
    <s v="www"/>
    <d v="2014-12-22T03:00:19"/>
    <d v="2014-12-22T00:00:00"/>
    <x v="11"/>
    <n v="17.98"/>
  </r>
  <r>
    <s v="0 Original"/>
    <s v="(2351)"/>
    <n v="2351"/>
    <s v="2014-12-22 Anne Slater(698)"/>
    <x v="17"/>
    <n v="9.99"/>
    <n v="2"/>
    <s v="www"/>
    <d v="2014-12-22T03:00:19"/>
    <d v="2014-12-22T00:00:00"/>
    <x v="11"/>
    <n v="19.98"/>
  </r>
  <r>
    <s v="0 Original"/>
    <s v="(1061)"/>
    <n v="1061"/>
    <s v="2014-12-23 Indira Suarez(303)"/>
    <x v="33"/>
    <n v="4.99"/>
    <n v="1"/>
    <s v="www"/>
    <d v="2014-12-23T04:38:29"/>
    <d v="2014-12-23T00:00:00"/>
    <x v="11"/>
    <n v="4.99"/>
  </r>
  <r>
    <s v="0 Original"/>
    <s v="(3255)"/>
    <n v="3255"/>
    <s v="2014-12-23 John Drake(981)"/>
    <x v="23"/>
    <n v="9.99"/>
    <n v="1"/>
    <s v="www"/>
    <d v="2014-12-23T09:23:13"/>
    <d v="2014-12-23T00:00:00"/>
    <x v="11"/>
    <n v="9.99"/>
  </r>
  <r>
    <s v="0 Original"/>
    <s v="(507)"/>
    <n v="507"/>
    <s v="2014-12-24 Irene Carver(142)"/>
    <x v="20"/>
    <n v="7.99"/>
    <n v="1"/>
    <s v="www"/>
    <d v="2014-12-24T08:21:20"/>
    <d v="2014-12-24T00:00:00"/>
    <x v="11"/>
    <n v="7.99"/>
  </r>
  <r>
    <s v="0 Original"/>
    <s v="(508)"/>
    <n v="508"/>
    <s v="2014-12-24 Irene Carver(142)"/>
    <x v="107"/>
    <n v="8.99"/>
    <n v="2"/>
    <s v="www"/>
    <d v="2014-12-24T08:21:20"/>
    <d v="2014-12-24T00:00:00"/>
    <x v="11"/>
    <n v="17.98"/>
  </r>
  <r>
    <s v="0 Original"/>
    <s v="(509)"/>
    <n v="509"/>
    <s v="2014-12-24 Irene Carver(142)"/>
    <x v="112"/>
    <n v="8.99"/>
    <n v="2"/>
    <s v="www"/>
    <d v="2014-12-24T08:21:20"/>
    <d v="2014-12-24T00:00:00"/>
    <x v="11"/>
    <n v="17.98"/>
  </r>
  <r>
    <s v="0 Original"/>
    <s v="(493)"/>
    <n v="493"/>
    <s v="2014-12-24 Jescie Peck(139)"/>
    <x v="126"/>
    <n v="8.99"/>
    <n v="2"/>
    <s v="www"/>
    <d v="2014-12-24T17:14:12"/>
    <d v="2014-12-24T00:00:00"/>
    <x v="11"/>
    <n v="17.98"/>
  </r>
  <r>
    <s v="0 Original"/>
    <s v="(494)"/>
    <n v="494"/>
    <s v="2014-12-24 Jescie Peck(139)"/>
    <x v="12"/>
    <n v="8.99"/>
    <n v="1"/>
    <s v="www"/>
    <d v="2014-12-24T17:14:12"/>
    <d v="2014-12-24T00:00:00"/>
    <x v="11"/>
    <n v="8.99"/>
  </r>
  <r>
    <s v="0 Original"/>
    <s v="(495)"/>
    <n v="495"/>
    <s v="2014-12-24 Jescie Peck(139)"/>
    <x v="160"/>
    <n v="9.99"/>
    <n v="2"/>
    <s v="www"/>
    <d v="2014-12-24T17:14:12"/>
    <d v="2014-12-24T00:00:00"/>
    <x v="11"/>
    <n v="19.98"/>
  </r>
  <r>
    <s v="0 Original"/>
    <s v="(496)"/>
    <n v="496"/>
    <s v="2014-12-24 Jescie Peck(139)"/>
    <x v="153"/>
    <n v="9.99"/>
    <n v="1"/>
    <s v="www"/>
    <d v="2014-12-24T17:14:12"/>
    <d v="2014-12-24T00:00:00"/>
    <x v="11"/>
    <n v="9.99"/>
  </r>
  <r>
    <s v="0 Original"/>
    <s v="(497)"/>
    <n v="497"/>
    <s v="2014-12-24 Jescie Peck(139)"/>
    <x v="3"/>
    <n v="7.99"/>
    <n v="1"/>
    <s v="www"/>
    <d v="2014-12-24T17:14:12"/>
    <d v="2014-12-24T00:00:00"/>
    <x v="11"/>
    <n v="7.99"/>
  </r>
  <r>
    <s v="0 Original"/>
    <s v="(1419)"/>
    <n v="1419"/>
    <s v="2014-12-25 Tashya Osborne(411)"/>
    <x v="11"/>
    <n v="8.99"/>
    <n v="1"/>
    <s v="www"/>
    <d v="2014-12-25T02:37:54"/>
    <d v="2014-12-25T00:00:00"/>
    <x v="11"/>
    <n v="8.99"/>
  </r>
  <r>
    <s v="0 Original"/>
    <s v="(1420)"/>
    <n v="1420"/>
    <s v="2014-12-25 Tashya Osborne(411)"/>
    <x v="6"/>
    <n v="5.99"/>
    <n v="2"/>
    <s v="www"/>
    <d v="2014-12-25T02:37:54"/>
    <d v="2014-12-25T00:00:00"/>
    <x v="11"/>
    <n v="11.98"/>
  </r>
  <r>
    <s v="0 Original"/>
    <s v="(1421)"/>
    <n v="1421"/>
    <s v="2014-12-25 Tashya Osborne(411)"/>
    <x v="31"/>
    <n v="8.99"/>
    <n v="1"/>
    <s v="www"/>
    <d v="2014-12-25T02:37:54"/>
    <d v="2014-12-25T00:00:00"/>
    <x v="11"/>
    <n v="8.99"/>
  </r>
  <r>
    <s v="0 Original"/>
    <s v="(1422)"/>
    <n v="1422"/>
    <s v="2014-12-25 Tashya Osborne(411)"/>
    <x v="21"/>
    <n v="4.99"/>
    <n v="1"/>
    <s v="www"/>
    <d v="2014-12-25T02:37:54"/>
    <d v="2014-12-25T00:00:00"/>
    <x v="11"/>
    <n v="4.99"/>
  </r>
  <r>
    <s v="0 Original"/>
    <s v="(1423)"/>
    <n v="1423"/>
    <s v="2014-12-25 Tashya Osborne(411)"/>
    <x v="4"/>
    <n v="6.99"/>
    <n v="1"/>
    <s v="www"/>
    <d v="2014-12-25T02:37:54"/>
    <d v="2014-12-25T00:00:00"/>
    <x v="11"/>
    <n v="6.99"/>
  </r>
  <r>
    <s v="0 Original"/>
    <s v="(135)"/>
    <n v="135"/>
    <s v="2014-12-25 Nayda Shields(38)"/>
    <x v="0"/>
    <n v="9.99"/>
    <n v="1"/>
    <s v="www"/>
    <d v="2014-12-25T05:36:44"/>
    <d v="2014-12-25T00:00:00"/>
    <x v="11"/>
    <n v="9.99"/>
  </r>
  <r>
    <s v="0 Original"/>
    <s v="(1913)"/>
    <n v="1913"/>
    <s v="2014-12-25 Wade Coleman(559)"/>
    <x v="1"/>
    <n v="7.99"/>
    <n v="1"/>
    <s v="www"/>
    <d v="2014-12-25T22:04:07"/>
    <d v="2014-12-25T00:00:00"/>
    <x v="11"/>
    <n v="7.99"/>
  </r>
  <r>
    <s v="0 Original"/>
    <s v="(1914)"/>
    <n v="1914"/>
    <s v="2014-12-25 Wade Coleman(559)"/>
    <x v="7"/>
    <n v="9.99"/>
    <n v="1"/>
    <s v="www"/>
    <d v="2014-12-25T22:04:07"/>
    <d v="2014-12-25T00:00:00"/>
    <x v="11"/>
    <n v="9.99"/>
  </r>
  <r>
    <s v="0 Original"/>
    <s v="(1915)"/>
    <n v="1915"/>
    <s v="2014-12-25 Wade Coleman(559)"/>
    <x v="49"/>
    <n v="8.99"/>
    <n v="2"/>
    <s v="www"/>
    <d v="2014-12-25T22:04:07"/>
    <d v="2014-12-25T00:00:00"/>
    <x v="11"/>
    <n v="17.98"/>
  </r>
  <r>
    <s v="0 Original"/>
    <s v="(1536)"/>
    <n v="1536"/>
    <s v="2014-12-26 Yoshi Bennett(443)"/>
    <x v="28"/>
    <n v="5.99"/>
    <n v="1"/>
    <s v="www"/>
    <d v="2014-12-26T12:12:08"/>
    <d v="2014-12-26T00:00:00"/>
    <x v="11"/>
    <n v="5.99"/>
  </r>
  <r>
    <s v="0 Original"/>
    <s v="(1537)"/>
    <n v="1537"/>
    <s v="2014-12-26 Yoshi Bennett(443)"/>
    <x v="12"/>
    <n v="8.99"/>
    <n v="2"/>
    <s v="www"/>
    <d v="2014-12-26T12:12:08"/>
    <d v="2014-12-26T00:00:00"/>
    <x v="11"/>
    <n v="17.98"/>
  </r>
  <r>
    <s v="0 Original"/>
    <s v="(3460)"/>
    <n v="3460"/>
    <s v="2014-12-26 Belle Short(1044)"/>
    <x v="25"/>
    <n v="9.99"/>
    <n v="2"/>
    <s v="www"/>
    <d v="2014-12-26T21:11:21"/>
    <d v="2014-12-26T00:00:00"/>
    <x v="11"/>
    <n v="19.98"/>
  </r>
  <r>
    <s v="1 Modify"/>
    <s v="(406)"/>
    <n v="406"/>
    <s v="2014-12-27 Adrienne Sandoval(113)"/>
    <x v="109"/>
    <n v="4.99"/>
    <n v="1"/>
    <s v="www"/>
    <d v="2014-12-27T15:33:23"/>
    <d v="2014-12-27T00:00:00"/>
    <x v="11"/>
    <n v="4.99"/>
  </r>
  <r>
    <s v="0 Original"/>
    <s v="(407)"/>
    <n v="407"/>
    <s v="2014-12-27 Adrienne Sandoval(113)"/>
    <x v="161"/>
    <n v="9.99"/>
    <n v="1"/>
    <s v="www"/>
    <d v="2014-12-27T15:33:23"/>
    <d v="2014-12-27T00:00:00"/>
    <x v="11"/>
    <n v="9.99"/>
  </r>
  <r>
    <s v="0 Original"/>
    <s v="(408)"/>
    <n v="408"/>
    <s v="2014-12-27 Adrienne Sandoval(113)"/>
    <x v="113"/>
    <n v="9.99"/>
    <n v="1"/>
    <s v="www"/>
    <d v="2014-12-27T15:33:23"/>
    <d v="2014-12-27T00:00:00"/>
    <x v="11"/>
    <n v="9.99"/>
  </r>
  <r>
    <s v="0 Original"/>
    <s v="(2162)"/>
    <n v="2162"/>
    <s v="2014-12-29 Yoshi Bennett(636)"/>
    <x v="57"/>
    <n v="4.99"/>
    <n v="2"/>
    <s v="www"/>
    <d v="2014-12-29T13:22:06"/>
    <d v="2014-12-29T00:00:00"/>
    <x v="11"/>
    <n v="9.98"/>
  </r>
  <r>
    <s v="0 Original"/>
    <s v="(793)"/>
    <n v="793"/>
    <s v="2014-12-29 Colby Clay(224)"/>
    <x v="38"/>
    <n v="6.99"/>
    <n v="1"/>
    <s v="www"/>
    <d v="2014-12-29T13:51:02"/>
    <d v="2014-12-29T00:00:00"/>
    <x v="11"/>
    <n v="6.99"/>
  </r>
  <r>
    <s v="0 Original"/>
    <s v="(794)"/>
    <n v="794"/>
    <s v="2014-12-29 Colby Clay(224)"/>
    <x v="16"/>
    <n v="6.99"/>
    <n v="1"/>
    <s v="www"/>
    <d v="2014-12-29T13:51:02"/>
    <d v="2014-12-29T00:00:00"/>
    <x v="11"/>
    <n v="6.99"/>
  </r>
  <r>
    <s v="0 Original"/>
    <s v="(795)"/>
    <n v="795"/>
    <s v="2014-12-29 Colby Clay(224)"/>
    <x v="35"/>
    <n v="9.99"/>
    <n v="1"/>
    <s v="www"/>
    <d v="2014-12-29T13:51:02"/>
    <d v="2014-12-29T00:00:00"/>
    <x v="11"/>
    <n v="9.99"/>
  </r>
  <r>
    <s v="0 Original"/>
    <s v="(796)"/>
    <n v="796"/>
    <s v="2014-12-29 Colby Clay(224)"/>
    <x v="21"/>
    <n v="4.99"/>
    <n v="1"/>
    <s v="www"/>
    <d v="2014-12-29T13:51:02"/>
    <d v="2014-12-29T00:00:00"/>
    <x v="11"/>
    <n v="4.99"/>
  </r>
  <r>
    <s v="0 Original"/>
    <s v="(797)"/>
    <n v="797"/>
    <s v="2014-12-29 Colby Clay(224)"/>
    <x v="9"/>
    <n v="7.99"/>
    <n v="1"/>
    <s v="www"/>
    <d v="2014-12-29T13:51:02"/>
    <d v="2014-12-29T00:00:00"/>
    <x v="11"/>
    <n v="7.99"/>
  </r>
  <r>
    <s v="0 Original"/>
    <s v="(798)"/>
    <n v="798"/>
    <s v="2014-12-29 Colby Clay(224)"/>
    <x v="49"/>
    <n v="8.99"/>
    <n v="2"/>
    <s v="www"/>
    <d v="2014-12-29T13:51:02"/>
    <d v="2014-12-29T00:00:00"/>
    <x v="11"/>
    <n v="17.98"/>
  </r>
  <r>
    <s v="0 Original"/>
    <s v="(799)"/>
    <n v="799"/>
    <s v="2014-12-29 Colby Clay(224)"/>
    <x v="5"/>
    <n v="9.99"/>
    <n v="1"/>
    <s v="www"/>
    <d v="2014-12-29T13:51:02"/>
    <d v="2014-12-29T00:00:00"/>
    <x v="11"/>
    <n v="9.99"/>
  </r>
  <r>
    <s v="0 Original"/>
    <s v="(800)"/>
    <n v="800"/>
    <s v="2014-12-29 Colby Clay(224)"/>
    <x v="21"/>
    <n v="4.99"/>
    <n v="1"/>
    <s v="www"/>
    <d v="2014-12-29T13:51:02"/>
    <d v="2014-12-29T00:00:00"/>
    <x v="11"/>
    <n v="4.99"/>
  </r>
  <r>
    <s v="0 Original"/>
    <s v="(372)"/>
    <n v="372"/>
    <s v="2014-12-29 Anne Slater(102)"/>
    <x v="154"/>
    <n v="5.99"/>
    <n v="1"/>
    <s v="www"/>
    <d v="2014-12-29T18:05:59"/>
    <d v="2014-12-29T00:00:00"/>
    <x v="11"/>
    <n v="5.99"/>
  </r>
  <r>
    <s v="0 Original"/>
    <s v="(373)"/>
    <n v="373"/>
    <s v="2014-12-29 Anne Slater(102)"/>
    <x v="5"/>
    <n v="9.99"/>
    <n v="2"/>
    <s v="www"/>
    <d v="2014-12-29T18:05:59"/>
    <d v="2014-12-29T00:00:00"/>
    <x v="11"/>
    <n v="19.98"/>
  </r>
  <r>
    <s v="0 Original"/>
    <s v="(2173)"/>
    <n v="2173"/>
    <s v="2014-12-29 Vivian Mendoza(640)"/>
    <x v="59"/>
    <n v="6.99"/>
    <n v="1"/>
    <s v="www"/>
    <d v="2014-12-29T22:43:36"/>
    <d v="2014-12-29T00:00:00"/>
    <x v="11"/>
    <n v="6.99"/>
  </r>
  <r>
    <s v="0 Original"/>
    <s v="(2174)"/>
    <n v="2174"/>
    <s v="2014-12-29 Vivian Mendoza(640)"/>
    <x v="17"/>
    <n v="9.99"/>
    <n v="1"/>
    <s v="www"/>
    <d v="2014-12-29T22:43:36"/>
    <d v="2014-12-29T00:00:00"/>
    <x v="11"/>
    <n v="9.99"/>
  </r>
  <r>
    <s v="0 Original"/>
    <s v="(2175)"/>
    <n v="2175"/>
    <s v="2014-12-29 Vivian Mendoza(640)"/>
    <x v="33"/>
    <n v="4.99"/>
    <n v="2"/>
    <s v="www"/>
    <d v="2014-12-29T22:43:36"/>
    <d v="2014-12-29T00:00:00"/>
    <x v="11"/>
    <n v="9.98"/>
  </r>
  <r>
    <s v="0 Original"/>
    <s v="(3141)"/>
    <n v="3141"/>
    <s v="2014-12-30 Nayda Shields(947)"/>
    <x v="41"/>
    <n v="4.99"/>
    <n v="1"/>
    <s v="www"/>
    <d v="2014-12-30T22:28:57"/>
    <d v="2014-12-30T00:00:00"/>
    <x v="11"/>
    <n v="4.99"/>
  </r>
  <r>
    <s v="0 Original"/>
    <s v="(3142)"/>
    <n v="3142"/>
    <s v="2014-12-30 Nayda Shields(947)"/>
    <x v="25"/>
    <n v="9.99"/>
    <n v="2"/>
    <s v="www"/>
    <d v="2014-12-30T22:28:57"/>
    <d v="2014-12-30T00:00:00"/>
    <x v="11"/>
    <n v="19.98"/>
  </r>
  <r>
    <s v="0 Original"/>
    <s v="(3143)"/>
    <n v="3143"/>
    <s v="2014-12-30 Nayda Shields(947)"/>
    <x v="25"/>
    <n v="9.99"/>
    <n v="2"/>
    <s v="www"/>
    <d v="2014-12-30T22:28:57"/>
    <d v="2014-12-30T00:00:00"/>
    <x v="11"/>
    <n v="19.98"/>
  </r>
  <r>
    <s v="0 Original"/>
    <s v="(3144)"/>
    <n v="3144"/>
    <s v="2014-12-30 Nayda Shields(947)"/>
    <x v="8"/>
    <n v="4.99"/>
    <n v="2"/>
    <s v="www"/>
    <d v="2014-12-30T22:28:57"/>
    <d v="2014-12-30T00:00:00"/>
    <x v="11"/>
    <n v="9.98"/>
  </r>
  <r>
    <s v="0 Original"/>
    <s v="(3145)"/>
    <n v="3145"/>
    <s v="2014-12-30 Nayda Shields(947)"/>
    <x v="16"/>
    <n v="6.99"/>
    <n v="1"/>
    <s v="www"/>
    <d v="2014-12-30T22:28:57"/>
    <d v="2014-12-30T00:00:00"/>
    <x v="11"/>
    <n v="6.99"/>
  </r>
  <r>
    <s v="0 Original"/>
    <s v="(2408)"/>
    <n v="2408"/>
    <s v="2014-12-31 Nayda Shields(719)"/>
    <x v="30"/>
    <n v="6.99"/>
    <n v="1"/>
    <s v="www"/>
    <d v="2014-12-31T10:44:39"/>
    <d v="2014-12-31T00:00:00"/>
    <x v="11"/>
    <n v="6.99"/>
  </r>
  <r>
    <s v="0 Original"/>
    <s v="(2409)"/>
    <n v="2409"/>
    <s v="2014-12-31 Nayda Shields(719)"/>
    <x v="7"/>
    <n v="9.99"/>
    <n v="1"/>
    <s v="www"/>
    <d v="2014-12-31T10:44:39"/>
    <d v="2014-12-31T00:00:00"/>
    <x v="11"/>
    <n v="9.99"/>
  </r>
  <r>
    <s v="0 Original"/>
    <s v="(2410)"/>
    <n v="2410"/>
    <s v="2014-12-31 Nayda Shields(719)"/>
    <x v="7"/>
    <n v="9.99"/>
    <n v="1"/>
    <s v="www"/>
    <d v="2014-12-31T10:44:39"/>
    <d v="2014-12-31T00:00:00"/>
    <x v="11"/>
    <n v="9.99"/>
  </r>
  <r>
    <s v="0 Original"/>
    <s v="(3579)"/>
    <n v="3579"/>
    <s v="2014-12-31 Belle Short(1081)"/>
    <x v="6"/>
    <n v="5.99"/>
    <n v="1"/>
    <s v="www"/>
    <d v="2014-12-31T16:02:01"/>
    <d v="2014-12-31T00:00:00"/>
    <x v="11"/>
    <n v="5.99"/>
  </r>
  <r>
    <s v="0 Original"/>
    <s v="(3580)"/>
    <n v="3580"/>
    <s v="2014-12-31 Belle Short(1081)"/>
    <x v="41"/>
    <n v="4.99"/>
    <n v="1"/>
    <s v="www"/>
    <d v="2014-12-31T16:02:01"/>
    <d v="2014-12-31T00:00:00"/>
    <x v="11"/>
    <n v="4.99"/>
  </r>
  <r>
    <s v="0 Original"/>
    <s v="(3581)"/>
    <n v="3581"/>
    <s v="2014-12-31 Belle Short(1081)"/>
    <x v="30"/>
    <n v="6.99"/>
    <n v="2"/>
    <s v="www"/>
    <d v="2014-12-31T16:02:01"/>
    <d v="2014-12-31T00:00:00"/>
    <x v="11"/>
    <n v="13.98"/>
  </r>
  <r>
    <s v="0 Original"/>
    <s v="(3582)"/>
    <n v="3582"/>
    <s v="2014-12-31 Belle Short(1081)"/>
    <x v="7"/>
    <n v="9.99"/>
    <n v="1"/>
    <s v="www"/>
    <d v="2014-12-31T16:02:01"/>
    <d v="2014-12-31T00:00:00"/>
    <x v="11"/>
    <n v="9.99"/>
  </r>
  <r>
    <s v="0 Original"/>
    <s v="(3583)"/>
    <n v="3583"/>
    <s v="2014-12-31 Belle Short(1081)"/>
    <x v="23"/>
    <n v="9.99"/>
    <n v="1"/>
    <s v="www"/>
    <d v="2014-12-31T16:02:01"/>
    <d v="2014-12-31T00:00:00"/>
    <x v="11"/>
    <n v="9.99"/>
  </r>
  <r>
    <s v="0 Original"/>
    <s v="(2151)"/>
    <n v="2151"/>
    <s v="2014-12-31 Vivian Mendoza(632)"/>
    <x v="42"/>
    <n v="5.99"/>
    <n v="2"/>
    <s v="www"/>
    <d v="2014-12-31T20:36:11"/>
    <d v="2014-12-31T00:00:00"/>
    <x v="11"/>
    <n v="11.98"/>
  </r>
  <r>
    <s v="0 Original"/>
    <s v="(2152)"/>
    <n v="2152"/>
    <s v="2014-12-31 Vivian Mendoza(632)"/>
    <x v="17"/>
    <n v="9.99"/>
    <n v="2"/>
    <s v="www"/>
    <d v="2014-12-31T20:36:11"/>
    <d v="2014-12-31T00:00:00"/>
    <x v="11"/>
    <n v="19.98"/>
  </r>
  <r>
    <s v=""/>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e v="#VALUE!"/>
    <x v="12"/>
    <n v="0"/>
  </r>
  <r>
    <m/>
    <m/>
    <m/>
    <m/>
    <x v="162"/>
    <m/>
    <m/>
    <m/>
    <m/>
    <m/>
    <x v="1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2" cacheId="3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Z102" firstHeaderRow="1" firstDataRow="2" firstDataCol="1"/>
  <pivotFields count="9">
    <pivotField showAll="0"/>
    <pivotField showAll="0"/>
    <pivotField showAll="0"/>
    <pivotField showAll="0"/>
    <pivotField axis="axisRow" showAll="0" sortType="ascending">
      <items count="100">
        <item x="23"/>
        <item x="12"/>
        <item x="58"/>
        <item x="44"/>
        <item x="45"/>
        <item x="42"/>
        <item x="17"/>
        <item x="35"/>
        <item x="65"/>
        <item x="14"/>
        <item x="61"/>
        <item x="89"/>
        <item x="25"/>
        <item x="64"/>
        <item x="43"/>
        <item x="38"/>
        <item x="85"/>
        <item x="47"/>
        <item x="59"/>
        <item x="49"/>
        <item x="16"/>
        <item x="86"/>
        <item x="93"/>
        <item x="8"/>
        <item x="55"/>
        <item x="21"/>
        <item x="0"/>
        <item x="46"/>
        <item x="66"/>
        <item x="29"/>
        <item x="75"/>
        <item x="7"/>
        <item x="80"/>
        <item x="94"/>
        <item x="76"/>
        <item x="32"/>
        <item x="28"/>
        <item x="36"/>
        <item x="37"/>
        <item x="67"/>
        <item x="22"/>
        <item x="24"/>
        <item x="1"/>
        <item x="50"/>
        <item x="54"/>
        <item x="83"/>
        <item x="9"/>
        <item x="71"/>
        <item x="84"/>
        <item x="6"/>
        <item x="34"/>
        <item x="41"/>
        <item x="33"/>
        <item x="52"/>
        <item x="78"/>
        <item x="13"/>
        <item x="63"/>
        <item x="51"/>
        <item x="77"/>
        <item x="91"/>
        <item x="72"/>
        <item x="19"/>
        <item x="87"/>
        <item x="20"/>
        <item x="56"/>
        <item x="92"/>
        <item x="73"/>
        <item x="39"/>
        <item x="11"/>
        <item x="69"/>
        <item x="27"/>
        <item x="2"/>
        <item x="90"/>
        <item x="96"/>
        <item x="81"/>
        <item x="15"/>
        <item x="70"/>
        <item x="60"/>
        <item x="79"/>
        <item x="95"/>
        <item x="68"/>
        <item x="26"/>
        <item x="3"/>
        <item x="31"/>
        <item x="82"/>
        <item x="57"/>
        <item x="62"/>
        <item x="53"/>
        <item x="18"/>
        <item x="10"/>
        <item x="4"/>
        <item x="97"/>
        <item x="40"/>
        <item x="88"/>
        <item x="48"/>
        <item x="30"/>
        <item x="5"/>
        <item x="74"/>
        <item x="98"/>
        <item t="default"/>
      </items>
    </pivotField>
    <pivotField dataField="1" showAll="0"/>
    <pivotField showAll="0"/>
    <pivotField showAll="0"/>
    <pivotField axis="axisCol" showAll="0" defaultSubtotal="0">
      <items count="47">
        <item m="1" x="32"/>
        <item m="1" x="26"/>
        <item m="1" x="27"/>
        <item m="1" x="28"/>
        <item m="1" x="34"/>
        <item m="1" x="36"/>
        <item m="1" x="38"/>
        <item m="1" x="40"/>
        <item m="1" x="42"/>
        <item m="1" x="44"/>
        <item m="1" x="45"/>
        <item m="1" x="46"/>
        <item m="1" x="29"/>
        <item m="1" x="24"/>
        <item m="1" x="25"/>
        <item m="1" x="30"/>
        <item m="1" x="31"/>
        <item m="1" x="33"/>
        <item m="1" x="35"/>
        <item m="1" x="37"/>
        <item m="1" x="39"/>
        <item m="1" x="41"/>
        <item m="1" x="43"/>
        <item x="23"/>
        <item x="0"/>
        <item x="1"/>
        <item x="2"/>
        <item x="3"/>
        <item x="4"/>
        <item x="5"/>
        <item x="6"/>
        <item x="7"/>
        <item x="8"/>
        <item x="9"/>
        <item x="10"/>
        <item x="11"/>
        <item x="12"/>
        <item x="13"/>
        <item x="14"/>
        <item x="15"/>
        <item x="16"/>
        <item x="17"/>
        <item x="18"/>
        <item x="19"/>
        <item x="20"/>
        <item x="21"/>
        <item x="22"/>
      </items>
    </pivotField>
  </pivotFields>
  <rowFields count="1">
    <field x="4"/>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t="grand">
      <x/>
    </i>
  </rowItems>
  <colFields count="1">
    <field x="8"/>
  </colFields>
  <colItems count="25">
    <i>
      <x v="23"/>
    </i>
    <i>
      <x v="24"/>
    </i>
    <i>
      <x v="25"/>
    </i>
    <i>
      <x v="26"/>
    </i>
    <i>
      <x v="27"/>
    </i>
    <i>
      <x v="28"/>
    </i>
    <i>
      <x v="29"/>
    </i>
    <i>
      <x v="30"/>
    </i>
    <i>
      <x v="31"/>
    </i>
    <i>
      <x v="32"/>
    </i>
    <i>
      <x v="33"/>
    </i>
    <i>
      <x v="34"/>
    </i>
    <i>
      <x v="35"/>
    </i>
    <i>
      <x v="36"/>
    </i>
    <i>
      <x v="37"/>
    </i>
    <i>
      <x v="38"/>
    </i>
    <i>
      <x v="39"/>
    </i>
    <i>
      <x v="40"/>
    </i>
    <i>
      <x v="41"/>
    </i>
    <i>
      <x v="42"/>
    </i>
    <i>
      <x v="43"/>
    </i>
    <i>
      <x v="44"/>
    </i>
    <i>
      <x v="45"/>
    </i>
    <i>
      <x v="46"/>
    </i>
    <i t="grand">
      <x/>
    </i>
  </colItems>
  <dataFields count="1">
    <dataField name="Suma de total_amount" fld="5"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1" cacheId="61"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N165" firstHeaderRow="1" firstDataRow="2" firstDataCol="1"/>
  <pivotFields count="12">
    <pivotField showAll="0"/>
    <pivotField showAll="0"/>
    <pivotField numFmtId="1" showAll="0"/>
    <pivotField showAll="0"/>
    <pivotField axis="axisRow" showAll="0">
      <items count="174">
        <item x="135"/>
        <item x="107"/>
        <item x="81"/>
        <item x="41"/>
        <item x="58"/>
        <item x="45"/>
        <item x="52"/>
        <item x="26"/>
        <item x="101"/>
        <item x="160"/>
        <item x="27"/>
        <item x="73"/>
        <item x="144"/>
        <item x="50"/>
        <item x="47"/>
        <item x="141"/>
        <item x="139"/>
        <item x="140"/>
        <item x="22"/>
        <item x="34"/>
        <item m="1" x="164"/>
        <item x="51"/>
        <item x="119"/>
        <item x="110"/>
        <item x="61"/>
        <item x="79"/>
        <item x="146"/>
        <item x="21"/>
        <item x="138"/>
        <item x="114"/>
        <item m="1" x="167"/>
        <item x="10"/>
        <item x="62"/>
        <item x="2"/>
        <item x="65"/>
        <item x="109"/>
        <item x="123"/>
        <item x="117"/>
        <item x="157"/>
        <item x="98"/>
        <item x="66"/>
        <item x="91"/>
        <item x="53"/>
        <item x="132"/>
        <item x="103"/>
        <item x="112"/>
        <item x="95"/>
        <item x="44"/>
        <item x="54"/>
        <item x="78"/>
        <item x="82"/>
        <item x="18"/>
        <item x="97"/>
        <item x="60"/>
        <item x="17"/>
        <item x="49"/>
        <item m="1" x="168"/>
        <item m="1" x="166"/>
        <item x="6"/>
        <item x="92"/>
        <item x="148"/>
        <item x="31"/>
        <item x="29"/>
        <item x="67"/>
        <item m="1" x="172"/>
        <item x="86"/>
        <item x="102"/>
        <item x="130"/>
        <item x="137"/>
        <item x="104"/>
        <item x="24"/>
        <item x="33"/>
        <item x="151"/>
        <item x="42"/>
        <item x="14"/>
        <item x="1"/>
        <item x="7"/>
        <item x="13"/>
        <item x="12"/>
        <item x="74"/>
        <item x="156"/>
        <item x="4"/>
        <item x="83"/>
        <item x="128"/>
        <item x="0"/>
        <item x="32"/>
        <item x="69"/>
        <item x="108"/>
        <item x="106"/>
        <item x="25"/>
        <item x="127"/>
        <item x="40"/>
        <item x="122"/>
        <item x="84"/>
        <item m="1" x="163"/>
        <item x="159"/>
        <item x="145"/>
        <item x="35"/>
        <item x="39"/>
        <item x="55"/>
        <item x="46"/>
        <item x="3"/>
        <item x="43"/>
        <item x="5"/>
        <item x="23"/>
        <item x="76"/>
        <item x="111"/>
        <item x="59"/>
        <item x="124"/>
        <item x="36"/>
        <item x="37"/>
        <item x="143"/>
        <item x="30"/>
        <item x="89"/>
        <item x="158"/>
        <item x="96"/>
        <item m="1" x="171"/>
        <item x="105"/>
        <item x="72"/>
        <item x="28"/>
        <item x="131"/>
        <item x="63"/>
        <item x="118"/>
        <item x="16"/>
        <item x="80"/>
        <item x="75"/>
        <item x="38"/>
        <item x="125"/>
        <item x="136"/>
        <item x="150"/>
        <item x="142"/>
        <item x="93"/>
        <item x="15"/>
        <item x="133"/>
        <item x="99"/>
        <item x="88"/>
        <item x="155"/>
        <item x="116"/>
        <item x="100"/>
        <item x="68"/>
        <item x="70"/>
        <item x="20"/>
        <item x="152"/>
        <item m="1" x="170"/>
        <item m="1" x="169"/>
        <item x="56"/>
        <item x="71"/>
        <item x="115"/>
        <item x="147"/>
        <item x="161"/>
        <item x="94"/>
        <item x="113"/>
        <item x="90"/>
        <item x="8"/>
        <item x="11"/>
        <item x="57"/>
        <item x="134"/>
        <item x="121"/>
        <item x="149"/>
        <item x="9"/>
        <item m="1" x="165"/>
        <item x="162"/>
        <item x="19"/>
        <item x="48"/>
        <item x="64"/>
        <item x="77"/>
        <item x="85"/>
        <item x="87"/>
        <item x="120"/>
        <item x="126"/>
        <item x="129"/>
        <item x="153"/>
        <item x="154"/>
        <item t="default"/>
      </items>
    </pivotField>
    <pivotField numFmtId="2" showAll="0"/>
    <pivotField numFmtId="1" showAll="0"/>
    <pivotField showAll="0"/>
    <pivotField numFmtId="168" showAll="0"/>
    <pivotField numFmtId="14" showAll="0" defaultSubtotal="0"/>
    <pivotField axis="axisCol" showAll="0" defaultSubtotal="0">
      <items count="14">
        <item x="0"/>
        <item x="1"/>
        <item x="2"/>
        <item x="3"/>
        <item x="4"/>
        <item x="5"/>
        <item x="6"/>
        <item x="7"/>
        <item x="8"/>
        <item x="9"/>
        <item x="10"/>
        <item x="11"/>
        <item h="1" x="12"/>
        <item h="1" x="13"/>
      </items>
    </pivotField>
    <pivotField dataField="1" showAll="0" defaultSubtotal="0"/>
  </pivotFields>
  <rowFields count="1">
    <field x="4"/>
  </rowFields>
  <rowItems count="163">
    <i>
      <x/>
    </i>
    <i>
      <x v="1"/>
    </i>
    <i>
      <x v="2"/>
    </i>
    <i>
      <x v="3"/>
    </i>
    <i>
      <x v="4"/>
    </i>
    <i>
      <x v="5"/>
    </i>
    <i>
      <x v="6"/>
    </i>
    <i>
      <x v="7"/>
    </i>
    <i>
      <x v="8"/>
    </i>
    <i>
      <x v="9"/>
    </i>
    <i>
      <x v="10"/>
    </i>
    <i>
      <x v="11"/>
    </i>
    <i>
      <x v="12"/>
    </i>
    <i>
      <x v="13"/>
    </i>
    <i>
      <x v="14"/>
    </i>
    <i>
      <x v="15"/>
    </i>
    <i>
      <x v="16"/>
    </i>
    <i>
      <x v="17"/>
    </i>
    <i>
      <x v="18"/>
    </i>
    <i>
      <x v="19"/>
    </i>
    <i>
      <x v="21"/>
    </i>
    <i>
      <x v="22"/>
    </i>
    <i>
      <x v="23"/>
    </i>
    <i>
      <x v="24"/>
    </i>
    <i>
      <x v="25"/>
    </i>
    <i>
      <x v="26"/>
    </i>
    <i>
      <x v="27"/>
    </i>
    <i>
      <x v="28"/>
    </i>
    <i>
      <x v="29"/>
    </i>
    <i>
      <x v="31"/>
    </i>
    <i>
      <x v="32"/>
    </i>
    <i>
      <x v="33"/>
    </i>
    <i>
      <x v="34"/>
    </i>
    <i>
      <x v="35"/>
    </i>
    <i>
      <x v="36"/>
    </i>
    <i>
      <x v="37"/>
    </i>
    <i>
      <x v="38"/>
    </i>
    <i>
      <x v="39"/>
    </i>
    <i>
      <x v="40"/>
    </i>
    <i>
      <x v="41"/>
    </i>
    <i>
      <x v="42"/>
    </i>
    <i>
      <x v="43"/>
    </i>
    <i>
      <x v="44"/>
    </i>
    <i>
      <x v="45"/>
    </i>
    <i>
      <x v="46"/>
    </i>
    <i>
      <x v="47"/>
    </i>
    <i>
      <x v="48"/>
    </i>
    <i>
      <x v="49"/>
    </i>
    <i>
      <x v="50"/>
    </i>
    <i>
      <x v="51"/>
    </i>
    <i>
      <x v="52"/>
    </i>
    <i>
      <x v="53"/>
    </i>
    <i>
      <x v="54"/>
    </i>
    <i>
      <x v="55"/>
    </i>
    <i>
      <x v="58"/>
    </i>
    <i>
      <x v="59"/>
    </i>
    <i>
      <x v="60"/>
    </i>
    <i>
      <x v="61"/>
    </i>
    <i>
      <x v="62"/>
    </i>
    <i>
      <x v="63"/>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5"/>
    </i>
    <i>
      <x v="96"/>
    </i>
    <i>
      <x v="97"/>
    </i>
    <i>
      <x v="98"/>
    </i>
    <i>
      <x v="99"/>
    </i>
    <i>
      <x v="100"/>
    </i>
    <i>
      <x v="101"/>
    </i>
    <i>
      <x v="102"/>
    </i>
    <i>
      <x v="103"/>
    </i>
    <i>
      <x v="104"/>
    </i>
    <i>
      <x v="105"/>
    </i>
    <i>
      <x v="106"/>
    </i>
    <i>
      <x v="107"/>
    </i>
    <i>
      <x v="108"/>
    </i>
    <i>
      <x v="109"/>
    </i>
    <i>
      <x v="110"/>
    </i>
    <i>
      <x v="111"/>
    </i>
    <i>
      <x v="112"/>
    </i>
    <i>
      <x v="113"/>
    </i>
    <i>
      <x v="114"/>
    </i>
    <i>
      <x v="115"/>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5"/>
    </i>
    <i>
      <x v="146"/>
    </i>
    <i>
      <x v="147"/>
    </i>
    <i>
      <x v="148"/>
    </i>
    <i>
      <x v="149"/>
    </i>
    <i>
      <x v="150"/>
    </i>
    <i>
      <x v="151"/>
    </i>
    <i>
      <x v="152"/>
    </i>
    <i>
      <x v="153"/>
    </i>
    <i>
      <x v="154"/>
    </i>
    <i>
      <x v="155"/>
    </i>
    <i>
      <x v="156"/>
    </i>
    <i>
      <x v="157"/>
    </i>
    <i>
      <x v="158"/>
    </i>
    <i>
      <x v="159"/>
    </i>
    <i>
      <x v="162"/>
    </i>
    <i>
      <x v="163"/>
    </i>
    <i>
      <x v="164"/>
    </i>
    <i>
      <x v="165"/>
    </i>
    <i>
      <x v="166"/>
    </i>
    <i>
      <x v="167"/>
    </i>
    <i>
      <x v="168"/>
    </i>
    <i>
      <x v="169"/>
    </i>
    <i>
      <x v="170"/>
    </i>
    <i>
      <x v="171"/>
    </i>
    <i>
      <x v="172"/>
    </i>
    <i t="grand">
      <x/>
    </i>
  </rowItems>
  <colFields count="1">
    <field x="10"/>
  </colFields>
  <colItems count="13">
    <i>
      <x/>
    </i>
    <i>
      <x v="1"/>
    </i>
    <i>
      <x v="2"/>
    </i>
    <i>
      <x v="3"/>
    </i>
    <i>
      <x v="4"/>
    </i>
    <i>
      <x v="5"/>
    </i>
    <i>
      <x v="6"/>
    </i>
    <i>
      <x v="7"/>
    </i>
    <i>
      <x v="8"/>
    </i>
    <i>
      <x v="9"/>
    </i>
    <i>
      <x v="10"/>
    </i>
    <i>
      <x v="11"/>
    </i>
    <i t="grand">
      <x/>
    </i>
  </colItems>
  <dataFields count="1">
    <dataField name="Suma de product_sale" fld="11" baseField="4"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F35"/>
  <sheetViews>
    <sheetView workbookViewId="0">
      <selection activeCell="D5" sqref="D5"/>
    </sheetView>
  </sheetViews>
  <sheetFormatPr baseColWidth="10" defaultRowHeight="15" x14ac:dyDescent="0.25"/>
  <cols>
    <col min="3" max="3" width="12" customWidth="1"/>
    <col min="4" max="4" width="30.5703125" bestFit="1" customWidth="1"/>
  </cols>
  <sheetData>
    <row r="1" spans="1:6" x14ac:dyDescent="0.25">
      <c r="A1" s="1" t="s">
        <v>54</v>
      </c>
      <c r="C1" s="1" t="s">
        <v>57</v>
      </c>
      <c r="D1" s="1" t="s">
        <v>0</v>
      </c>
      <c r="E1" s="1" t="s">
        <v>1</v>
      </c>
      <c r="F1" s="1" t="s">
        <v>2</v>
      </c>
    </row>
    <row r="2" spans="1:6" x14ac:dyDescent="0.25">
      <c r="A2" s="2" t="s">
        <v>56</v>
      </c>
      <c r="C2" t="s">
        <v>61</v>
      </c>
      <c r="D2" s="2" t="s">
        <v>12</v>
      </c>
      <c r="F2" t="s">
        <v>13</v>
      </c>
    </row>
    <row r="3" spans="1:6" x14ac:dyDescent="0.25">
      <c r="A3" s="2" t="s">
        <v>61</v>
      </c>
      <c r="D3" s="2" t="s">
        <v>14</v>
      </c>
      <c r="F3" t="s">
        <v>15</v>
      </c>
    </row>
    <row r="4" spans="1:6" x14ac:dyDescent="0.25">
      <c r="A4" s="2" t="s">
        <v>62</v>
      </c>
      <c r="D4" s="2" t="s">
        <v>13</v>
      </c>
      <c r="E4" t="s">
        <v>12</v>
      </c>
      <c r="F4" t="s">
        <v>15</v>
      </c>
    </row>
    <row r="5" spans="1:6" ht="30" x14ac:dyDescent="0.25">
      <c r="D5" s="2" t="s">
        <v>15</v>
      </c>
      <c r="E5" s="11" t="s">
        <v>16</v>
      </c>
    </row>
    <row r="7" spans="1:6" x14ac:dyDescent="0.25">
      <c r="D7" s="1" t="s">
        <v>3</v>
      </c>
    </row>
    <row r="8" spans="1:6" ht="60" x14ac:dyDescent="0.25">
      <c r="D8" s="12" t="s">
        <v>17</v>
      </c>
    </row>
    <row r="10" spans="1:6" x14ac:dyDescent="0.25">
      <c r="D10" s="1" t="s">
        <v>4</v>
      </c>
    </row>
    <row r="11" spans="1:6" x14ac:dyDescent="0.25">
      <c r="D11" t="s">
        <v>26</v>
      </c>
      <c r="E11" t="s">
        <v>27</v>
      </c>
    </row>
    <row r="12" spans="1:6" x14ac:dyDescent="0.25">
      <c r="D12" t="s">
        <v>28</v>
      </c>
      <c r="E12" t="s">
        <v>19</v>
      </c>
    </row>
    <row r="13" spans="1:6" x14ac:dyDescent="0.25">
      <c r="D13" t="s">
        <v>29</v>
      </c>
      <c r="E13" t="s">
        <v>30</v>
      </c>
    </row>
    <row r="14" spans="1:6" x14ac:dyDescent="0.25">
      <c r="D14" t="s">
        <v>31</v>
      </c>
      <c r="E14" t="s">
        <v>23</v>
      </c>
    </row>
    <row r="15" spans="1:6" x14ac:dyDescent="0.25">
      <c r="D15" t="s">
        <v>32</v>
      </c>
      <c r="E15" t="s">
        <v>25</v>
      </c>
    </row>
    <row r="16" spans="1:6" x14ac:dyDescent="0.25">
      <c r="D16" t="s">
        <v>33</v>
      </c>
      <c r="E16" t="s">
        <v>27</v>
      </c>
    </row>
    <row r="17" spans="4:5" x14ac:dyDescent="0.25">
      <c r="D17" t="s">
        <v>18</v>
      </c>
      <c r="E17" t="s">
        <v>19</v>
      </c>
    </row>
    <row r="18" spans="4:5" x14ac:dyDescent="0.25">
      <c r="D18" t="s">
        <v>20</v>
      </c>
      <c r="E18" t="s">
        <v>21</v>
      </c>
    </row>
    <row r="19" spans="4:5" x14ac:dyDescent="0.25">
      <c r="D19" t="s">
        <v>22</v>
      </c>
      <c r="E19" t="s">
        <v>23</v>
      </c>
    </row>
    <row r="20" spans="4:5" x14ac:dyDescent="0.25">
      <c r="D20" t="s">
        <v>24</v>
      </c>
      <c r="E20" t="s">
        <v>25</v>
      </c>
    </row>
    <row r="21" spans="4:5" x14ac:dyDescent="0.25">
      <c r="D21" t="s">
        <v>63</v>
      </c>
      <c r="E21" t="s">
        <v>19</v>
      </c>
    </row>
    <row r="22" spans="4:5" x14ac:dyDescent="0.25">
      <c r="D22" t="s">
        <v>64</v>
      </c>
      <c r="E22" t="s">
        <v>19</v>
      </c>
    </row>
    <row r="23" spans="4:5" x14ac:dyDescent="0.25">
      <c r="D23" t="s">
        <v>34</v>
      </c>
      <c r="E23" t="s">
        <v>27</v>
      </c>
    </row>
    <row r="24" spans="4:5" x14ac:dyDescent="0.25">
      <c r="D24" t="s">
        <v>35</v>
      </c>
      <c r="E24" t="s">
        <v>36</v>
      </c>
    </row>
    <row r="25" spans="4:5" x14ac:dyDescent="0.25">
      <c r="D25" t="s">
        <v>37</v>
      </c>
      <c r="E25" t="s">
        <v>27</v>
      </c>
    </row>
    <row r="26" spans="4:5" x14ac:dyDescent="0.25">
      <c r="D26" t="s">
        <v>38</v>
      </c>
      <c r="E26" t="s">
        <v>21</v>
      </c>
    </row>
    <row r="27" spans="4:5" x14ac:dyDescent="0.25">
      <c r="D27" t="s">
        <v>39</v>
      </c>
      <c r="E27" t="s">
        <v>30</v>
      </c>
    </row>
    <row r="28" spans="4:5" x14ac:dyDescent="0.25">
      <c r="D28" t="s">
        <v>40</v>
      </c>
      <c r="E28" t="s">
        <v>25</v>
      </c>
    </row>
    <row r="29" spans="4:5" x14ac:dyDescent="0.25">
      <c r="D29" t="s">
        <v>41</v>
      </c>
      <c r="E29" t="s">
        <v>27</v>
      </c>
    </row>
    <row r="30" spans="4:5" x14ac:dyDescent="0.25">
      <c r="D30" t="s">
        <v>42</v>
      </c>
      <c r="E30" t="s">
        <v>27</v>
      </c>
    </row>
    <row r="31" spans="4:5" x14ac:dyDescent="0.25">
      <c r="D31" t="s">
        <v>43</v>
      </c>
      <c r="E31" t="s">
        <v>27</v>
      </c>
    </row>
    <row r="32" spans="4:5" x14ac:dyDescent="0.25">
      <c r="D32" t="s">
        <v>44</v>
      </c>
      <c r="E32" t="s">
        <v>21</v>
      </c>
    </row>
    <row r="33" spans="4:5" x14ac:dyDescent="0.25">
      <c r="D33" t="s">
        <v>45</v>
      </c>
      <c r="E33" t="s">
        <v>27</v>
      </c>
    </row>
    <row r="34" spans="4:5" x14ac:dyDescent="0.25">
      <c r="D34" t="s">
        <v>46</v>
      </c>
      <c r="E34" t="s">
        <v>30</v>
      </c>
    </row>
    <row r="35" spans="4:5" x14ac:dyDescent="0.25">
      <c r="D35" t="s">
        <v>47</v>
      </c>
      <c r="E35" t="s">
        <v>25</v>
      </c>
    </row>
  </sheetData>
  <dataValidations count="7">
    <dataValidation type="custom" allowBlank="1" showInputMessage="1" showErrorMessage="1" error="Column Headers are read-only" sqref="A1">
      <formula1>FALSE</formula1>
    </dataValidation>
    <dataValidation type="custom" allowBlank="1" showInputMessage="1" showErrorMessage="1" error="Column Headers are read-only" sqref="C1">
      <formula1>FALSE</formula1>
    </dataValidation>
    <dataValidation type="custom" allowBlank="1" showInputMessage="1" showErrorMessage="1" error="Column Headers are read-only" sqref="D1">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custom" allowBlank="1" showInputMessage="1" showErrorMessage="1" error="Column Headers are read-only" sqref="D7">
      <formula1>"False"</formula1>
    </dataValidation>
    <dataValidation type="custom" allowBlank="1" showInputMessage="1" showErrorMessage="1" error="Column Headers are read-only" sqref="D10">
      <formula1>"False"</formula1>
    </dataValidation>
  </dataValidations>
  <hyperlinks>
    <hyperlink ref="A2" tooltip="http://api.donkeylift.com/demo" display="Reset"/>
    <hyperlink ref="A3" tooltip="/demo/sales_sandwich.db" display="sales_sandwich"/>
    <hyperlink ref="A4" tooltip="/demo/sales_test.db" display="sales_test"/>
    <hyperlink ref="D2" tooltip="func:LoadTablesCell" display="customers"/>
    <hyperlink ref="D3" tooltip="func:LoadTablesCell" display="products"/>
    <hyperlink ref="D4" tooltip="func:LoadTablesCell" display="orders"/>
    <hyperlink ref="D5" tooltip="func:LoadTablesCell" display="products_in_orders"/>
    <hyperlink ref="D8" tooltip="func:LoadTablesCell" display="customers_x000d__x000a_products_x000d__x000a_orders_x000d__x000a_products_in_orders"/>
  </hyperlink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K102"/>
  <sheetViews>
    <sheetView workbookViewId="0">
      <selection activeCell="F14" sqref="F14"/>
    </sheetView>
  </sheetViews>
  <sheetFormatPr baseColWidth="10" defaultRowHeight="15" x14ac:dyDescent="0.25"/>
  <cols>
    <col min="4" max="4" width="27.140625" style="5" customWidth="1"/>
    <col min="5" max="5" width="11.42578125" style="3"/>
    <col min="6" max="8" width="11.42578125" style="5"/>
    <col min="9" max="9" width="22.7109375" style="15" customWidth="1"/>
    <col min="11" max="11" width="18.140625" bestFit="1" customWidth="1"/>
  </cols>
  <sheetData>
    <row r="1" spans="1:11" x14ac:dyDescent="0.25">
      <c r="A1" s="1" t="s">
        <v>54</v>
      </c>
      <c r="C1" s="1" t="s">
        <v>5</v>
      </c>
      <c r="D1" s="6" t="s">
        <v>50</v>
      </c>
      <c r="E1" s="4" t="s">
        <v>6</v>
      </c>
      <c r="F1" s="6" t="s">
        <v>7</v>
      </c>
      <c r="G1" s="6" t="s">
        <v>8</v>
      </c>
      <c r="H1" s="6" t="s">
        <v>9</v>
      </c>
      <c r="I1" s="16" t="s">
        <v>10</v>
      </c>
    </row>
    <row r="2" spans="1:11" x14ac:dyDescent="0.25">
      <c r="A2" s="2" t="s">
        <v>366</v>
      </c>
      <c r="C2" t="str">
        <f>IF(COUNTBLANK(E2:I2) = 5,"",IF(AND(NOT(ISBLANK(E2)),COUNTBLANK(E2:I2) = 4),"3 Delete",IF(ISBLANK(E2),"2 Add",IF(SHA1Range(E2:I2) = "b2d36098b8119e31bf70d823429435be36fb3e8e","0 Original","1 Modify"))))</f>
        <v>0 Original</v>
      </c>
      <c r="D2" s="5" t="s">
        <v>92</v>
      </c>
      <c r="E2" s="3">
        <v>92</v>
      </c>
      <c r="F2" s="5" t="s">
        <v>93</v>
      </c>
      <c r="G2" s="5" t="s">
        <v>94</v>
      </c>
      <c r="H2" s="5" t="s">
        <v>76</v>
      </c>
      <c r="I2" s="15">
        <v>41935.935949074075</v>
      </c>
    </row>
    <row r="3" spans="1:11" x14ac:dyDescent="0.25">
      <c r="A3" s="2" t="s">
        <v>55</v>
      </c>
      <c r="C3" t="str">
        <f>IF(COUNTBLANK(E3:I3) = 5,"",IF(AND(NOT(ISBLANK(E3)),COUNTBLANK(E3:I3) = 4),"3 Delete",IF(ISBLANK(E3),"2 Add",IF(SHA1Range(E3:I3) = "e16b10ca580d48d0444793ae1e0a96acb9e68194","0 Original","1 Modify"))))</f>
        <v>0 Original</v>
      </c>
      <c r="D3" s="5" t="s">
        <v>107</v>
      </c>
      <c r="E3" s="3">
        <v>87</v>
      </c>
      <c r="F3" s="5" t="s">
        <v>108</v>
      </c>
      <c r="G3" s="5" t="s">
        <v>109</v>
      </c>
      <c r="H3" s="5" t="s">
        <v>72</v>
      </c>
      <c r="I3" s="15">
        <v>41946.678229166668</v>
      </c>
    </row>
    <row r="4" spans="1:11" x14ac:dyDescent="0.25">
      <c r="C4" t="str">
        <f>IF(COUNTBLANK(E4:I4) = 5,"",IF(AND(NOT(ISBLANK(E4)),COUNTBLANK(E4:I4) = 4),"3 Delete",IF(ISBLANK(E4),"2 Add",IF(SHA1Range(E4:I4) = "a78507c5190a5456b97f3cbd100e7f1b4edd3271","0 Original","1 Modify"))))</f>
        <v>0 Original</v>
      </c>
      <c r="D4" s="5" t="s">
        <v>218</v>
      </c>
      <c r="E4" s="3">
        <v>50</v>
      </c>
      <c r="F4" s="5" t="s">
        <v>219</v>
      </c>
      <c r="G4" s="5" t="s">
        <v>220</v>
      </c>
      <c r="H4" s="5" t="s">
        <v>72</v>
      </c>
      <c r="I4" s="15">
        <v>41947.875659722224</v>
      </c>
    </row>
    <row r="5" spans="1:11" x14ac:dyDescent="0.25">
      <c r="C5" t="str">
        <f>IF(COUNTBLANK(E5:I5) = 5,"",IF(AND(NOT(ISBLANK(E5)),COUNTBLANK(E5:I5) = 4),"3 Delete",IF(ISBLANK(E5),"2 Add",IF(SHA1Range(E5:I5) = "e821e0f114fb3399afbaf856be97e17b6fc4ce0f","0 Original","1 Modify"))))</f>
        <v>0 Original</v>
      </c>
      <c r="D5" s="5" t="s">
        <v>86</v>
      </c>
      <c r="E5" s="3">
        <v>94</v>
      </c>
      <c r="F5" s="5" t="s">
        <v>87</v>
      </c>
      <c r="G5" s="5" t="s">
        <v>88</v>
      </c>
      <c r="H5" s="5" t="s">
        <v>76</v>
      </c>
      <c r="I5" s="15">
        <v>41948.189652777779</v>
      </c>
      <c r="K5" s="7"/>
    </row>
    <row r="6" spans="1:11" x14ac:dyDescent="0.25">
      <c r="C6" t="str">
        <f>IF(COUNTBLANK(E6:I6) = 5,"",IF(AND(NOT(ISBLANK(E6)),COUNTBLANK(E6:I6) = 4),"3 Delete",IF(ISBLANK(E6),"2 Add",IF(SHA1Range(E6:I6) = "38f2f70be510bb34550edde380863ae5943609c3","0 Original","1 Modify"))))</f>
        <v>0 Original</v>
      </c>
      <c r="D6" s="5" t="s">
        <v>152</v>
      </c>
      <c r="E6" s="3">
        <v>72</v>
      </c>
      <c r="F6" s="5" t="s">
        <v>153</v>
      </c>
      <c r="G6" s="5" t="s">
        <v>154</v>
      </c>
      <c r="H6" s="5" t="s">
        <v>68</v>
      </c>
      <c r="I6" s="15">
        <v>41951.84542824074</v>
      </c>
    </row>
    <row r="7" spans="1:11" x14ac:dyDescent="0.25">
      <c r="C7" t="str">
        <f>IF(COUNTBLANK(E7:I7) = 5,"",IF(AND(NOT(ISBLANK(E7)),COUNTBLANK(E7:I7) = 4),"3 Delete",IF(ISBLANK(E7),"2 Add",IF(SHA1Range(E7:I7) = "826d6141a2ccaa97f5d685ed272fe7e0894a5abc","0 Original","1 Modify"))))</f>
        <v>0 Original</v>
      </c>
      <c r="D7" s="5" t="s">
        <v>239</v>
      </c>
      <c r="E7" s="3">
        <v>43</v>
      </c>
      <c r="F7" s="5" t="s">
        <v>240</v>
      </c>
      <c r="G7" s="5" t="s">
        <v>241</v>
      </c>
      <c r="H7" s="5" t="s">
        <v>68</v>
      </c>
      <c r="I7" s="15">
        <v>41952.608263888891</v>
      </c>
    </row>
    <row r="8" spans="1:11" x14ac:dyDescent="0.25">
      <c r="C8" t="str">
        <f>IF(COUNTBLANK(E8:I8) = 5,"",IF(AND(NOT(ISBLANK(E8)),COUNTBLANK(E8:I8) = 4),"3 Delete",IF(ISBLANK(E8),"2 Add",IF(SHA1Range(E8:I8) = "eafa42876134a67b71dc160a2891485c22295472","0 Original","1 Modify"))))</f>
        <v>0 Original</v>
      </c>
      <c r="D8" s="5" t="s">
        <v>182</v>
      </c>
      <c r="E8" s="3">
        <v>62</v>
      </c>
      <c r="F8" s="5" t="s">
        <v>183</v>
      </c>
      <c r="G8" s="5" t="s">
        <v>184</v>
      </c>
      <c r="H8" s="5" t="s">
        <v>72</v>
      </c>
      <c r="I8" s="15">
        <v>41954.697627314818</v>
      </c>
    </row>
    <row r="9" spans="1:11" x14ac:dyDescent="0.25">
      <c r="C9" t="str">
        <f>IF(COUNTBLANK(E9:I9) = 5,"",IF(AND(NOT(ISBLANK(E9)),COUNTBLANK(E9:I9) = 4),"3 Delete",IF(ISBLANK(E9),"2 Add",IF(SHA1Range(E9:I9) = "c46fc149027729a68679f584283e848c4fd70452","0 Original","1 Modify"))))</f>
        <v>0 Original</v>
      </c>
      <c r="D9" s="5" t="s">
        <v>308</v>
      </c>
      <c r="E9" s="3">
        <v>20</v>
      </c>
      <c r="F9" s="5" t="s">
        <v>309</v>
      </c>
      <c r="G9" s="5" t="s">
        <v>310</v>
      </c>
      <c r="H9" s="5" t="s">
        <v>72</v>
      </c>
      <c r="I9" s="15">
        <v>41959.036307870374</v>
      </c>
    </row>
    <row r="10" spans="1:11" x14ac:dyDescent="0.25">
      <c r="C10" t="str">
        <f>IF(COUNTBLANK(E10:I10) = 5,"",IF(AND(NOT(ISBLANK(E10)),COUNTBLANK(E10:I10) = 4),"3 Delete",IF(ISBLANK(E10),"2 Add",IF(SHA1Range(E10:I10) = "27afc7ab831c73f176fc4f3a77d3672fba779b0b","0 Original","1 Modify"))))</f>
        <v>0 Original</v>
      </c>
      <c r="D10" s="5" t="s">
        <v>293</v>
      </c>
      <c r="E10" s="3">
        <v>25</v>
      </c>
      <c r="F10" s="5" t="s">
        <v>294</v>
      </c>
      <c r="G10" s="5" t="s">
        <v>295</v>
      </c>
      <c r="H10" s="5" t="s">
        <v>76</v>
      </c>
      <c r="I10" s="15">
        <v>41960.66851851852</v>
      </c>
    </row>
    <row r="11" spans="1:11" x14ac:dyDescent="0.25">
      <c r="C11" t="str">
        <f>IF(COUNTBLANK(E11:I11) = 5,"",IF(AND(NOT(ISBLANK(E11)),COUNTBLANK(E11:I11) = 4),"3 Delete",IF(ISBLANK(E11),"2 Add",IF(SHA1Range(E11:I11) = "dde9ec058a017d82fc58b338af400c2916c90e9e","0 Original","1 Modify"))))</f>
        <v>0 Original</v>
      </c>
      <c r="D11" s="5" t="s">
        <v>317</v>
      </c>
      <c r="E11" s="3">
        <v>17</v>
      </c>
      <c r="F11" s="5" t="s">
        <v>318</v>
      </c>
      <c r="G11" s="5" t="s">
        <v>319</v>
      </c>
      <c r="H11" s="5" t="s">
        <v>72</v>
      </c>
      <c r="I11" s="15">
        <v>41963.134016203701</v>
      </c>
    </row>
    <row r="12" spans="1:11" x14ac:dyDescent="0.25">
      <c r="C12" t="str">
        <f>IF(COUNTBLANK(E12:I12) = 5,"",IF(AND(NOT(ISBLANK(E12)),COUNTBLANK(E12:I12) = 4),"3 Delete",IF(ISBLANK(E12),"2 Add",IF(SHA1Range(E12:I12) = "5f4822e065831aa4d787ec4e283f81bf89d262e1","0 Original","1 Modify"))))</f>
        <v>0 Original</v>
      </c>
      <c r="D12" s="5" t="s">
        <v>269</v>
      </c>
      <c r="E12" s="3">
        <v>33</v>
      </c>
      <c r="F12" s="5" t="s">
        <v>270</v>
      </c>
      <c r="G12" s="5" t="s">
        <v>271</v>
      </c>
      <c r="H12" s="5" t="s">
        <v>72</v>
      </c>
      <c r="I12" s="15">
        <v>41964.521064814813</v>
      </c>
    </row>
    <row r="13" spans="1:11" x14ac:dyDescent="0.25">
      <c r="C13" t="str">
        <f>IF(COUNTBLANK(E13:I13) = 5,"",IF(AND(NOT(ISBLANK(E13)),COUNTBLANK(E13:I13) = 4),"3 Delete",IF(ISBLANK(E13),"2 Add",IF(SHA1Range(E13:I13) = "6c3247c05f50575fb18631e8743a08c172fab884","0 Original","1 Modify"))))</f>
        <v>0 Original</v>
      </c>
      <c r="D13" s="5" t="s">
        <v>170</v>
      </c>
      <c r="E13" s="3">
        <v>66</v>
      </c>
      <c r="F13" s="5" t="s">
        <v>171</v>
      </c>
      <c r="G13" s="5" t="s">
        <v>172</v>
      </c>
      <c r="H13" s="5" t="s">
        <v>72</v>
      </c>
      <c r="I13" s="15">
        <v>41966.180752314816</v>
      </c>
    </row>
    <row r="14" spans="1:11" x14ac:dyDescent="0.25">
      <c r="C14" t="str">
        <f>IF(COUNTBLANK(E14:I14) = 5,"",IF(AND(NOT(ISBLANK(E14)),COUNTBLANK(E14:I14) = 4),"3 Delete",IF(ISBLANK(E14),"2 Add",IF(SHA1Range(E14:I14) = "55543aa1c144a930e22effe3e63ca1727dad82fd","0 Original","1 Modify"))))</f>
        <v>0 Original</v>
      </c>
      <c r="D14" s="5" t="s">
        <v>176</v>
      </c>
      <c r="E14" s="3">
        <v>64</v>
      </c>
      <c r="F14" s="5" t="s">
        <v>177</v>
      </c>
      <c r="G14" s="5" t="s">
        <v>178</v>
      </c>
      <c r="H14" s="5" t="s">
        <v>76</v>
      </c>
      <c r="I14" s="15">
        <v>41968.101967592593</v>
      </c>
    </row>
    <row r="15" spans="1:11" x14ac:dyDescent="0.25">
      <c r="C15" t="str">
        <f>IF(COUNTBLANK(E15:I15) = 5,"",IF(AND(NOT(ISBLANK(E15)),COUNTBLANK(E15:I15) = 4),"3 Delete",IF(ISBLANK(E15),"2 Add",IF(SHA1Range(E15:I15) = "948f9e7b71f5488eebcac712c225faa1bca3b427","0 Original","1 Modify"))))</f>
        <v>0 Original</v>
      </c>
      <c r="D15" s="5" t="s">
        <v>95</v>
      </c>
      <c r="E15" s="3">
        <v>91</v>
      </c>
      <c r="F15" s="5" t="s">
        <v>96</v>
      </c>
      <c r="G15" s="5" t="s">
        <v>97</v>
      </c>
      <c r="H15" s="5" t="s">
        <v>76</v>
      </c>
      <c r="I15" s="15">
        <v>41971.578726851854</v>
      </c>
    </row>
    <row r="16" spans="1:11" x14ac:dyDescent="0.25">
      <c r="C16" t="str">
        <f>IF(COUNTBLANK(E16:I16) = 5,"",IF(AND(NOT(ISBLANK(E16)),COUNTBLANK(E16:I16) = 4),"3 Delete",IF(ISBLANK(E16),"2 Add",IF(SHA1Range(E16:I16) = "1af3bd05edf59bde89791b4e3d6248778fa7bfc1","0 Original","1 Modify"))))</f>
        <v>0 Original</v>
      </c>
      <c r="D16" s="5" t="s">
        <v>179</v>
      </c>
      <c r="E16" s="3">
        <v>63</v>
      </c>
      <c r="F16" s="5" t="s">
        <v>180</v>
      </c>
      <c r="G16" s="5" t="s">
        <v>181</v>
      </c>
      <c r="H16" s="5" t="s">
        <v>76</v>
      </c>
      <c r="I16" s="15">
        <v>41975.446250000001</v>
      </c>
    </row>
    <row r="17" spans="3:9" x14ac:dyDescent="0.25">
      <c r="C17" t="str">
        <f>IF(COUNTBLANK(E17:I17) = 5,"",IF(AND(NOT(ISBLANK(E17)),COUNTBLANK(E17:I17) = 4),"3 Delete",IF(ISBLANK(E17),"2 Add",IF(SHA1Range(E17:I17) = "c345112d69a3fd3d81ad895f559186059964f664","0 Original","1 Modify"))))</f>
        <v>0 Original</v>
      </c>
      <c r="D17" s="5" t="s">
        <v>242</v>
      </c>
      <c r="E17" s="3">
        <v>42</v>
      </c>
      <c r="F17" s="5" t="s">
        <v>243</v>
      </c>
      <c r="G17" s="5" t="s">
        <v>244</v>
      </c>
      <c r="H17" s="5" t="s">
        <v>76</v>
      </c>
      <c r="I17" s="15">
        <v>41981.98641203704</v>
      </c>
    </row>
    <row r="18" spans="3:9" x14ac:dyDescent="0.25">
      <c r="C18" t="str">
        <f>IF(COUNTBLANK(E18:I18) = 5,"",IF(AND(NOT(ISBLANK(E18)),COUNTBLANK(E18:I18) = 4),"3 Delete",IF(ISBLANK(E18),"2 Add",IF(SHA1Range(E18:I18) = "84e7dcf073af975751b7723746b4c6d2933d7cca","0 Original","1 Modify"))))</f>
        <v>0 Original</v>
      </c>
      <c r="D18" s="5" t="s">
        <v>215</v>
      </c>
      <c r="E18" s="3">
        <v>51</v>
      </c>
      <c r="F18" s="5" t="s">
        <v>216</v>
      </c>
      <c r="G18" s="5" t="s">
        <v>217</v>
      </c>
      <c r="H18" s="5" t="s">
        <v>68</v>
      </c>
      <c r="I18" s="15">
        <v>41982.391793981478</v>
      </c>
    </row>
    <row r="19" spans="3:9" x14ac:dyDescent="0.25">
      <c r="C19" t="str">
        <f>IF(COUNTBLANK(E19:I19) = 5,"",IF(AND(NOT(ISBLANK(E19)),COUNTBLANK(E19:I19) = 4),"3 Delete",IF(ISBLANK(E19),"2 Add",IF(SHA1Range(E19:I19) = "06569eae26a7b54cec7fe178ee758b0da6698ad5","0 Original","1 Modify"))))</f>
        <v>0 Original</v>
      </c>
      <c r="D19" s="5" t="s">
        <v>350</v>
      </c>
      <c r="E19" s="3">
        <v>6</v>
      </c>
      <c r="F19" s="5" t="s">
        <v>351</v>
      </c>
      <c r="G19" s="5" t="s">
        <v>352</v>
      </c>
      <c r="H19" s="5" t="s">
        <v>76</v>
      </c>
      <c r="I19" s="15">
        <v>41984.823414351849</v>
      </c>
    </row>
    <row r="20" spans="3:9" x14ac:dyDescent="0.25">
      <c r="C20" t="str">
        <f>IF(COUNTBLANK(E20:I20) = 5,"",IF(AND(NOT(ISBLANK(E20)),COUNTBLANK(E20:I20) = 4),"3 Delete",IF(ISBLANK(E20),"2 Add",IF(SHA1Range(E20:I20) = "09313b674e0095ffd8c1dd089c7341341525a862","0 Original","1 Modify"))))</f>
        <v>0 Original</v>
      </c>
      <c r="D20" s="5" t="s">
        <v>363</v>
      </c>
      <c r="E20" s="3">
        <v>1</v>
      </c>
      <c r="F20" s="5" t="s">
        <v>364</v>
      </c>
      <c r="G20" s="5" t="s">
        <v>365</v>
      </c>
      <c r="H20" s="5" t="s">
        <v>72</v>
      </c>
      <c r="I20" s="15">
        <v>41987.093541666669</v>
      </c>
    </row>
    <row r="21" spans="3:9" x14ac:dyDescent="0.25">
      <c r="C21" t="str">
        <f>IF(COUNTBLANK(E21:I21) = 5,"",IF(AND(NOT(ISBLANK(E21)),COUNTBLANK(E21:I21) = 4),"3 Delete",IF(ISBLANK(E21),"2 Add",IF(SHA1Range(E21:I21) = "aa4485fb340fbf1ac3bd4385ad209960117ff27d","0 Original","1 Modify"))))</f>
        <v>0 Original</v>
      </c>
      <c r="D21" s="5" t="s">
        <v>263</v>
      </c>
      <c r="E21" s="3">
        <v>35</v>
      </c>
      <c r="F21" s="5" t="s">
        <v>264</v>
      </c>
      <c r="G21" s="5" t="s">
        <v>265</v>
      </c>
      <c r="H21" s="5" t="s">
        <v>68</v>
      </c>
      <c r="I21" s="15">
        <v>41989.540729166663</v>
      </c>
    </row>
    <row r="22" spans="3:9" x14ac:dyDescent="0.25">
      <c r="C22" t="str">
        <f>IF(COUNTBLANK(E22:I22) = 5,"",IF(AND(NOT(ISBLANK(E22)),COUNTBLANK(E22:I22) = 4),"3 Delete",IF(ISBLANK(E22),"2 Add",IF(SHA1Range(E22:I22) = "8e18c86843a78513ebb4e718777080e6a6f541e1","0 Original","1 Modify"))))</f>
        <v>0 Original</v>
      </c>
      <c r="D22" s="5" t="s">
        <v>83</v>
      </c>
      <c r="E22" s="3">
        <v>95</v>
      </c>
      <c r="F22" s="5" t="s">
        <v>84</v>
      </c>
      <c r="G22" s="5" t="s">
        <v>85</v>
      </c>
      <c r="H22" s="5" t="s">
        <v>76</v>
      </c>
      <c r="I22" s="15">
        <v>41991.397291666668</v>
      </c>
    </row>
    <row r="23" spans="3:9" x14ac:dyDescent="0.25">
      <c r="C23" t="str">
        <f>IF(COUNTBLANK(E23:I23) = 5,"",IF(AND(NOT(ISBLANK(E23)),COUNTBLANK(E23:I23) = 4),"3 Delete",IF(ISBLANK(E23),"2 Add",IF(SHA1Range(E23:I23) = "c2e4be8637c49a8a12ec47733b0b13982a9f792c","0 Original","1 Modify"))))</f>
        <v>0 Original</v>
      </c>
      <c r="D23" s="5" t="s">
        <v>191</v>
      </c>
      <c r="E23" s="3">
        <v>59</v>
      </c>
      <c r="F23" s="5" t="s">
        <v>192</v>
      </c>
      <c r="G23" s="5" t="s">
        <v>193</v>
      </c>
      <c r="H23" s="5" t="s">
        <v>68</v>
      </c>
      <c r="I23" s="15">
        <v>41994.084155092591</v>
      </c>
    </row>
    <row r="24" spans="3:9" x14ac:dyDescent="0.25">
      <c r="C24" t="str">
        <f>IF(COUNTBLANK(E24:I24) = 5,"",IF(AND(NOT(ISBLANK(E24)),COUNTBLANK(E24:I24) = 4),"3 Delete",IF(ISBLANK(E24),"2 Add",IF(SHA1Range(E24:I24) = "a3284e87f2e5515f56eb683dcc03adca1233e38f","0 Original","1 Modify"))))</f>
        <v>0 Original</v>
      </c>
      <c r="D24" s="5" t="s">
        <v>197</v>
      </c>
      <c r="E24" s="3">
        <v>57</v>
      </c>
      <c r="F24" s="5" t="s">
        <v>198</v>
      </c>
      <c r="G24" s="5" t="s">
        <v>199</v>
      </c>
      <c r="H24" s="5" t="s">
        <v>72</v>
      </c>
      <c r="I24" s="15">
        <v>41995.804212962961</v>
      </c>
    </row>
    <row r="25" spans="3:9" x14ac:dyDescent="0.25">
      <c r="C25" t="str">
        <f>IF(COUNTBLANK(E25:I25) = 5,"",IF(AND(NOT(ISBLANK(E25)),COUNTBLANK(E25:I25) = 4),"3 Delete",IF(ISBLANK(E25),"2 Add",IF(SHA1Range(E25:I25) = "7dfb3ddcc2bb9fdfc57a8c597a8f407b43648cb8","0 Original","1 Modify"))))</f>
        <v>0 Original</v>
      </c>
      <c r="D25" s="5" t="s">
        <v>203</v>
      </c>
      <c r="E25" s="3">
        <v>55</v>
      </c>
      <c r="F25" s="5" t="s">
        <v>204</v>
      </c>
      <c r="G25" s="5" t="s">
        <v>205</v>
      </c>
      <c r="H25" s="5" t="s">
        <v>72</v>
      </c>
      <c r="I25" s="15">
        <v>42003.352384259262</v>
      </c>
    </row>
    <row r="26" spans="3:9" x14ac:dyDescent="0.25">
      <c r="C26" t="str">
        <f>IF(COUNTBLANK(E26:I26) = 5,"",IF(AND(NOT(ISBLANK(E26)),COUNTBLANK(E26:I26) = 4),"3 Delete",IF(ISBLANK(E26),"2 Add",IF(SHA1Range(E26:I26) = "d9039cb013a43533968a6343d467d84227468550","0 Original","1 Modify"))))</f>
        <v>0 Original</v>
      </c>
      <c r="D26" s="5" t="s">
        <v>227</v>
      </c>
      <c r="E26" s="3">
        <v>47</v>
      </c>
      <c r="F26" s="5" t="s">
        <v>228</v>
      </c>
      <c r="G26" s="5" t="s">
        <v>229</v>
      </c>
      <c r="H26" s="5" t="s">
        <v>68</v>
      </c>
      <c r="I26" s="15">
        <v>42005.097349537034</v>
      </c>
    </row>
    <row r="27" spans="3:9" x14ac:dyDescent="0.25">
      <c r="C27" t="str">
        <f>IF(COUNTBLANK(E27:I27) = 5,"",IF(AND(NOT(ISBLANK(E27)),COUNTBLANK(E27:I27) = 4),"3 Delete",IF(ISBLANK(E27),"2 Add",IF(SHA1Range(E27:I27) = "5791edf81bebe35e308f5e1cd22f997166595002","0 Original","1 Modify"))))</f>
        <v>0 Original</v>
      </c>
      <c r="D27" s="5" t="s">
        <v>251</v>
      </c>
      <c r="E27" s="3">
        <v>39</v>
      </c>
      <c r="F27" s="5" t="s">
        <v>252</v>
      </c>
      <c r="G27" s="5" t="s">
        <v>253</v>
      </c>
      <c r="H27" s="5" t="s">
        <v>72</v>
      </c>
      <c r="I27" s="15">
        <v>42010.569548611114</v>
      </c>
    </row>
    <row r="28" spans="3:9" x14ac:dyDescent="0.25">
      <c r="C28" t="str">
        <f>IF(COUNTBLANK(E28:I28) = 5,"",IF(AND(NOT(ISBLANK(E28)),COUNTBLANK(E28:I28) = 4),"3 Delete",IF(ISBLANK(E28),"2 Add",IF(SHA1Range(E28:I28) = "292c404b44b64b4950c4fee0b33b35d8ca16b101","0 Original","1 Modify"))))</f>
        <v>0 Original</v>
      </c>
      <c r="D28" s="5" t="s">
        <v>164</v>
      </c>
      <c r="E28" s="3">
        <v>68</v>
      </c>
      <c r="F28" s="5" t="s">
        <v>165</v>
      </c>
      <c r="G28" s="5" t="s">
        <v>166</v>
      </c>
      <c r="H28" s="5" t="s">
        <v>72</v>
      </c>
      <c r="I28" s="15">
        <v>42011.282962962963</v>
      </c>
    </row>
    <row r="29" spans="3:9" x14ac:dyDescent="0.25">
      <c r="C29" t="str">
        <f>IF(COUNTBLANK(E29:I29) = 5,"",IF(AND(NOT(ISBLANK(E29)),COUNTBLANK(E29:I29) = 4),"3 Delete",IF(ISBLANK(E29),"2 Add",IF(SHA1Range(E29:I29) = "b69cae11c68548fdbe7f0fbb2beedc220cdab5fb","0 Original","1 Modify"))))</f>
        <v>0 Original</v>
      </c>
      <c r="D29" s="5" t="s">
        <v>344</v>
      </c>
      <c r="E29" s="3">
        <v>8</v>
      </c>
      <c r="F29" s="5" t="s">
        <v>345</v>
      </c>
      <c r="G29" s="5" t="s">
        <v>346</v>
      </c>
      <c r="H29" s="5" t="s">
        <v>68</v>
      </c>
      <c r="I29" s="15">
        <v>42014.775868055556</v>
      </c>
    </row>
    <row r="30" spans="3:9" x14ac:dyDescent="0.25">
      <c r="C30" t="str">
        <f>IF(COUNTBLANK(E30:I30) = 5,"",IF(AND(NOT(ISBLANK(E30)),COUNTBLANK(E30:I30) = 4),"3 Delete",IF(ISBLANK(E30),"2 Add",IF(SHA1Range(E30:I30) = "5afcaddfebcd14e9984aedf14d97f87ece8ea0c2","0 Original","1 Modify"))))</f>
        <v>0 Original</v>
      </c>
      <c r="D30" s="5" t="s">
        <v>101</v>
      </c>
      <c r="E30" s="3">
        <v>89</v>
      </c>
      <c r="F30" s="5" t="s">
        <v>102</v>
      </c>
      <c r="G30" s="5" t="s">
        <v>103</v>
      </c>
      <c r="H30" s="5" t="s">
        <v>76</v>
      </c>
      <c r="I30" s="15">
        <v>42015.181956018518</v>
      </c>
    </row>
    <row r="31" spans="3:9" x14ac:dyDescent="0.25">
      <c r="C31" t="str">
        <f>IF(COUNTBLANK(E31:I31) = 5,"",IF(AND(NOT(ISBLANK(E31)),COUNTBLANK(E31:I31) = 4),"3 Delete",IF(ISBLANK(E31),"2 Add",IF(SHA1Range(E31:I31) = "82ed9811a7103fa39eeb21b0f9e7fa21b85b3520","0 Original","1 Modify"))))</f>
        <v>0 Original</v>
      </c>
      <c r="D31" s="5" t="s">
        <v>224</v>
      </c>
      <c r="E31" s="3">
        <v>48</v>
      </c>
      <c r="F31" s="5" t="s">
        <v>225</v>
      </c>
      <c r="G31" s="5" t="s">
        <v>226</v>
      </c>
      <c r="H31" s="5" t="s">
        <v>72</v>
      </c>
      <c r="I31" s="15">
        <v>42021.47278935185</v>
      </c>
    </row>
    <row r="32" spans="3:9" x14ac:dyDescent="0.25">
      <c r="C32" t="str">
        <f>IF(COUNTBLANK(E32:I32) = 5,"",IF(AND(NOT(ISBLANK(E32)),COUNTBLANK(E32:I32) = 4),"3 Delete",IF(ISBLANK(E32),"2 Add",IF(SHA1Range(E32:I32) = "6906f0d8dbad1c9e5763330f1498b3df03425c89","0 Original","1 Modify"))))</f>
        <v>0 Original</v>
      </c>
      <c r="D32" s="5" t="s">
        <v>284</v>
      </c>
      <c r="E32" s="3">
        <v>28</v>
      </c>
      <c r="F32" s="5" t="s">
        <v>285</v>
      </c>
      <c r="G32" s="5" t="s">
        <v>286</v>
      </c>
      <c r="H32" s="5" t="s">
        <v>76</v>
      </c>
      <c r="I32" s="15">
        <v>42022.104756944442</v>
      </c>
    </row>
    <row r="33" spans="3:9" x14ac:dyDescent="0.25">
      <c r="C33" t="str">
        <f>IF(COUNTBLANK(E33:I33) = 5,"",IF(AND(NOT(ISBLANK(E33)),COUNTBLANK(E33:I33) = 4),"3 Delete",IF(ISBLANK(E33),"2 Add",IF(SHA1Range(E33:I33) = "d84d5d3c07e205b9a9a4f5174b665de1dc558781","0 Original","1 Modify"))))</f>
        <v>0 Original</v>
      </c>
      <c r="D33" s="5" t="s">
        <v>354</v>
      </c>
      <c r="E33" s="3">
        <v>4</v>
      </c>
      <c r="F33" s="5" t="s">
        <v>355</v>
      </c>
      <c r="G33" s="5" t="s">
        <v>356</v>
      </c>
      <c r="H33" s="5" t="s">
        <v>72</v>
      </c>
      <c r="I33" s="15">
        <v>42028.21570601852</v>
      </c>
    </row>
    <row r="34" spans="3:9" x14ac:dyDescent="0.25">
      <c r="C34" t="str">
        <f>IF(COUNTBLANK(E34:I34) = 5,"",IF(AND(NOT(ISBLANK(E34)),COUNTBLANK(E34:I34) = 4),"3 Delete",IF(ISBLANK(E34),"2 Add",IF(SHA1Range(E34:I34) = "6b92a651e6b696a4524fdd35663b785bdbad5ba2","0 Original","1 Modify"))))</f>
        <v>0 Original</v>
      </c>
      <c r="D34" s="5" t="s">
        <v>326</v>
      </c>
      <c r="E34" s="3">
        <v>14</v>
      </c>
      <c r="F34" s="5" t="s">
        <v>327</v>
      </c>
      <c r="G34" s="5" t="s">
        <v>328</v>
      </c>
      <c r="H34" s="5" t="s">
        <v>68</v>
      </c>
      <c r="I34" s="15">
        <v>42032.804965277777</v>
      </c>
    </row>
    <row r="35" spans="3:9" x14ac:dyDescent="0.25">
      <c r="C35" t="str">
        <f>IF(COUNTBLANK(E35:I35) = 5,"",IF(AND(NOT(ISBLANK(E35)),COUNTBLANK(E35:I35) = 4),"3 Delete",IF(ISBLANK(E35),"2 Add",IF(SHA1Range(E35:I35) = "8f1ae9fdd310248f73e9347249e60d3586d45bdb","0 Original","1 Modify"))))</f>
        <v>0 Original</v>
      </c>
      <c r="D35" s="5" t="s">
        <v>320</v>
      </c>
      <c r="E35" s="3">
        <v>16</v>
      </c>
      <c r="F35" s="5" t="s">
        <v>321</v>
      </c>
      <c r="G35" s="5" t="s">
        <v>322</v>
      </c>
      <c r="H35" s="5" t="s">
        <v>72</v>
      </c>
      <c r="I35" s="15">
        <v>42043.093171296299</v>
      </c>
    </row>
    <row r="36" spans="3:9" x14ac:dyDescent="0.25">
      <c r="C36" t="str">
        <f>IF(COUNTBLANK(E36:I36) = 5,"",IF(AND(NOT(ISBLANK(E36)),COUNTBLANK(E36:I36) = 4),"3 Delete",IF(ISBLANK(E36),"2 Add",IF(SHA1Range(E36:I36) = "81f7b36a863a9730fe0d64766e6aacc3a396cda6","0 Original","1 Modify"))))</f>
        <v>0 Original</v>
      </c>
      <c r="D36" s="5" t="s">
        <v>167</v>
      </c>
      <c r="E36" s="3">
        <v>67</v>
      </c>
      <c r="F36" s="5" t="s">
        <v>168</v>
      </c>
      <c r="G36" s="5" t="s">
        <v>169</v>
      </c>
      <c r="H36" s="5" t="s">
        <v>68</v>
      </c>
      <c r="I36" s="15">
        <v>42044.244699074072</v>
      </c>
    </row>
    <row r="37" spans="3:9" x14ac:dyDescent="0.25">
      <c r="C37" t="str">
        <f>IF(COUNTBLANK(E37:I37) = 5,"",IF(AND(NOT(ISBLANK(E37)),COUNTBLANK(E37:I37) = 4),"3 Delete",IF(ISBLANK(E37),"2 Add",IF(SHA1Range(E37:I37) = "9f85f3d07fd2c460fd6288758e873ef82e7ba363","0 Original","1 Modify"))))</f>
        <v>0 Original</v>
      </c>
      <c r="D37" s="5" t="s">
        <v>77</v>
      </c>
      <c r="E37" s="3">
        <v>97</v>
      </c>
      <c r="F37" s="5" t="s">
        <v>78</v>
      </c>
      <c r="G37" s="5" t="s">
        <v>79</v>
      </c>
      <c r="H37" s="5" t="s">
        <v>68</v>
      </c>
      <c r="I37" s="15">
        <v>42053.170844907407</v>
      </c>
    </row>
    <row r="38" spans="3:9" x14ac:dyDescent="0.25">
      <c r="C38" t="str">
        <f>IF(COUNTBLANK(E38:I38) = 5,"",IF(AND(NOT(ISBLANK(E38)),COUNTBLANK(E38:I38) = 4),"3 Delete",IF(ISBLANK(E38),"2 Add",IF(SHA1Range(E38:I38) = "866eef8d8342b0d182b4edd3e467b4b6a351dcc0","0 Original","1 Modify"))))</f>
        <v>0 Original</v>
      </c>
      <c r="D38" s="5" t="s">
        <v>266</v>
      </c>
      <c r="E38" s="3">
        <v>34</v>
      </c>
      <c r="F38" s="5" t="s">
        <v>267</v>
      </c>
      <c r="G38" s="5" t="s">
        <v>268</v>
      </c>
      <c r="H38" s="5" t="s">
        <v>68</v>
      </c>
      <c r="I38" s="15">
        <v>42055.20689814815</v>
      </c>
    </row>
    <row r="39" spans="3:9" x14ac:dyDescent="0.25">
      <c r="C39" t="str">
        <f>IF(COUNTBLANK(E39:I39) = 5,"",IF(AND(NOT(ISBLANK(E39)),COUNTBLANK(E39:I39) = 4),"3 Delete",IF(ISBLANK(E39),"2 Add",IF(SHA1Range(E39:I39) = "2464608ff93894ce151984cc6c1691dc321b024c","0 Original","1 Modify"))))</f>
        <v>0 Original</v>
      </c>
      <c r="D39" s="5" t="s">
        <v>323</v>
      </c>
      <c r="E39" s="3">
        <v>15</v>
      </c>
      <c r="F39" s="5" t="s">
        <v>324</v>
      </c>
      <c r="G39" s="5" t="s">
        <v>325</v>
      </c>
      <c r="H39" s="5" t="s">
        <v>72</v>
      </c>
      <c r="I39" s="15">
        <v>42058.432928240742</v>
      </c>
    </row>
    <row r="40" spans="3:9" x14ac:dyDescent="0.25">
      <c r="C40" t="str">
        <f>IF(COUNTBLANK(E40:I40) = 5,"",IF(AND(NOT(ISBLANK(E40)),COUNTBLANK(E40:I40) = 4),"3 Delete",IF(ISBLANK(E40),"2 Add",IF(SHA1Range(E40:I40) = "2b1a8fdf31b53f07d22c93e2d7d134b81a9a6e0f","0 Original","1 Modify"))))</f>
        <v>0 Original</v>
      </c>
      <c r="D40" s="5" t="s">
        <v>80</v>
      </c>
      <c r="E40" s="3">
        <v>96</v>
      </c>
      <c r="F40" s="5" t="s">
        <v>81</v>
      </c>
      <c r="G40" s="5" t="s">
        <v>82</v>
      </c>
      <c r="H40" s="5" t="s">
        <v>68</v>
      </c>
      <c r="I40" s="15">
        <v>42062.206701388888</v>
      </c>
    </row>
    <row r="41" spans="3:9" x14ac:dyDescent="0.25">
      <c r="C41" t="str">
        <f>IF(COUNTBLANK(E41:I41) = 5,"",IF(AND(NOT(ISBLANK(E41)),COUNTBLANK(E41:I41) = 4),"3 Delete",IF(ISBLANK(E41),"2 Add",IF(SHA1Range(E41:I41) = "dd87334885fb6dc8346c62966c19d5d65160b0ad","0 Original","1 Modify"))))</f>
        <v>0 Original</v>
      </c>
      <c r="D41" s="5" t="s">
        <v>161</v>
      </c>
      <c r="E41" s="3">
        <v>69</v>
      </c>
      <c r="F41" s="5" t="s">
        <v>162</v>
      </c>
      <c r="G41" s="5" t="s">
        <v>163</v>
      </c>
      <c r="H41" s="5" t="s">
        <v>68</v>
      </c>
      <c r="I41" s="15">
        <v>42062.276550925926</v>
      </c>
    </row>
    <row r="42" spans="3:9" x14ac:dyDescent="0.25">
      <c r="C42" t="str">
        <f>IF(COUNTBLANK(E42:I42) = 5,"",IF(AND(NOT(ISBLANK(E42)),COUNTBLANK(E42:I42) = 4),"3 Delete",IF(ISBLANK(E42),"2 Add",IF(SHA1Range(E42:I42) = "203dc7524db64ea2405df159d59bcf7b47d1509c","0 Original","1 Modify"))))</f>
        <v>0 Original</v>
      </c>
      <c r="D42" s="5" t="s">
        <v>125</v>
      </c>
      <c r="E42" s="3">
        <v>81</v>
      </c>
      <c r="F42" s="5" t="s">
        <v>126</v>
      </c>
      <c r="G42" s="5" t="s">
        <v>127</v>
      </c>
      <c r="H42" s="5" t="s">
        <v>68</v>
      </c>
      <c r="I42" s="15">
        <v>42068.144004629627</v>
      </c>
    </row>
    <row r="43" spans="3:9" x14ac:dyDescent="0.25">
      <c r="C43" t="str">
        <f>IF(COUNTBLANK(E43:I43) = 5,"",IF(AND(NOT(ISBLANK(E43)),COUNTBLANK(E43:I43) = 4),"3 Delete",IF(ISBLANK(E43),"2 Add",IF(SHA1Range(E43:I43) = "309a1bff4b562ad6f53ec3abc5bb10a392f75c15","0 Original","1 Modify"))))</f>
        <v>0 Original</v>
      </c>
      <c r="D43" s="5" t="s">
        <v>278</v>
      </c>
      <c r="E43" s="3">
        <v>30</v>
      </c>
      <c r="F43" s="5" t="s">
        <v>279</v>
      </c>
      <c r="G43" s="5" t="s">
        <v>280</v>
      </c>
      <c r="H43" s="5" t="s">
        <v>68</v>
      </c>
      <c r="I43" s="15">
        <v>42072.921909722223</v>
      </c>
    </row>
    <row r="44" spans="3:9" x14ac:dyDescent="0.25">
      <c r="C44" t="str">
        <f>IF(COUNTBLANK(E44:I44) = 5,"",IF(AND(NOT(ISBLANK(E44)),COUNTBLANK(E44:I44) = 4),"3 Delete",IF(ISBLANK(E44),"2 Add",IF(SHA1Range(E44:I44) = "fc49685eb66786ad39edb8637a1a6355bdbdb68f","0 Original","1 Modify"))))</f>
        <v>0 Original</v>
      </c>
      <c r="D44" s="5" t="s">
        <v>131</v>
      </c>
      <c r="E44" s="3">
        <v>79</v>
      </c>
      <c r="F44" s="5" t="s">
        <v>132</v>
      </c>
      <c r="G44" s="5" t="s">
        <v>133</v>
      </c>
      <c r="H44" s="5" t="s">
        <v>76</v>
      </c>
      <c r="I44" s="15">
        <v>42074.18540509259</v>
      </c>
    </row>
    <row r="45" spans="3:9" x14ac:dyDescent="0.25">
      <c r="C45" t="str">
        <f>IF(COUNTBLANK(E45:I45) = 5,"",IF(AND(NOT(ISBLANK(E45)),COUNTBLANK(E45:I45) = 4),"3 Delete",IF(ISBLANK(E45),"2 Add",IF(SHA1Range(E45:I45) = "1ae36dffba2c8546d9a256f37d70b00b77d9e2eb","0 Original","1 Modify"))))</f>
        <v>0 Original</v>
      </c>
      <c r="D45" s="5" t="s">
        <v>158</v>
      </c>
      <c r="E45" s="3">
        <v>70</v>
      </c>
      <c r="F45" s="5" t="s">
        <v>159</v>
      </c>
      <c r="G45" s="5" t="s">
        <v>160</v>
      </c>
      <c r="H45" s="5" t="s">
        <v>72</v>
      </c>
      <c r="I45" s="15">
        <v>42075.189074074071</v>
      </c>
    </row>
    <row r="46" spans="3:9" x14ac:dyDescent="0.25">
      <c r="C46" t="str">
        <f>IF(COUNTBLANK(E46:I46) = 5,"",IF(AND(NOT(ISBLANK(E46)),COUNTBLANK(E46:I46) = 4),"3 Delete",IF(ISBLANK(E46),"2 Add",IF(SHA1Range(E46:I46) = "a5852cb68d67d69e0bda50631155cb26913c66ee","0 Original","1 Modify"))))</f>
        <v>0 Original</v>
      </c>
      <c r="D46" s="5" t="s">
        <v>335</v>
      </c>
      <c r="E46" s="3">
        <v>11</v>
      </c>
      <c r="F46" s="5" t="s">
        <v>336</v>
      </c>
      <c r="G46" s="5" t="s">
        <v>337</v>
      </c>
      <c r="H46" s="5" t="s">
        <v>72</v>
      </c>
      <c r="I46" s="15">
        <v>42078.386712962965</v>
      </c>
    </row>
    <row r="47" spans="3:9" x14ac:dyDescent="0.25">
      <c r="C47" t="str">
        <f>IF(COUNTBLANK(E47:I47) = 5,"",IF(AND(NOT(ISBLANK(E47)),COUNTBLANK(E47:I47) = 4),"3 Delete",IF(ISBLANK(E47),"2 Add",IF(SHA1Range(E47:I47) = "c56368d9a9fd7c33d471431958543a07502e9ada","0 Original","1 Modify"))))</f>
        <v>0 Original</v>
      </c>
      <c r="D47" s="5" t="s">
        <v>69</v>
      </c>
      <c r="E47" s="3">
        <v>99</v>
      </c>
      <c r="F47" s="5" t="s">
        <v>70</v>
      </c>
      <c r="G47" s="5" t="s">
        <v>71</v>
      </c>
      <c r="H47" s="5" t="s">
        <v>72</v>
      </c>
      <c r="I47" s="15">
        <v>42082.134664351855</v>
      </c>
    </row>
    <row r="48" spans="3:9" x14ac:dyDescent="0.25">
      <c r="C48" t="str">
        <f>IF(COUNTBLANK(E48:I48) = 5,"",IF(AND(NOT(ISBLANK(E48)),COUNTBLANK(E48:I48) = 4),"3 Delete",IF(ISBLANK(E48),"2 Add",IF(SHA1Range(E48:I48) = "41d4db2c6db750eabf183a4c0649cec62c8e05b1","0 Original","1 Modify"))))</f>
        <v>0 Original</v>
      </c>
      <c r="D48" s="5" t="s">
        <v>338</v>
      </c>
      <c r="E48" s="3">
        <v>10</v>
      </c>
      <c r="F48" s="5" t="s">
        <v>339</v>
      </c>
      <c r="G48" s="5" t="s">
        <v>340</v>
      </c>
      <c r="H48" s="5" t="s">
        <v>72</v>
      </c>
      <c r="I48" s="15">
        <v>42088.139537037037</v>
      </c>
    </row>
    <row r="49" spans="3:9" x14ac:dyDescent="0.25">
      <c r="C49" t="str">
        <f>IF(COUNTBLANK(E49:I49) = 5,"",IF(AND(NOT(ISBLANK(E49)),COUNTBLANK(E49:I49) = 4),"3 Delete",IF(ISBLANK(E49),"2 Add",IF(SHA1Range(E49:I49) = "c02059ab12499d1bd3f99a0b52b32f78f824ea68","0 Original","1 Modify"))))</f>
        <v>0 Original</v>
      </c>
      <c r="D49" s="5" t="s">
        <v>305</v>
      </c>
      <c r="E49" s="3">
        <v>21</v>
      </c>
      <c r="F49" s="5" t="s">
        <v>306</v>
      </c>
      <c r="G49" s="5" t="s">
        <v>307</v>
      </c>
      <c r="H49" s="5" t="s">
        <v>68</v>
      </c>
      <c r="I49" s="15">
        <v>42097.243680555555</v>
      </c>
    </row>
    <row r="50" spans="3:9" x14ac:dyDescent="0.25">
      <c r="C50" t="str">
        <f>IF(COUNTBLANK(E50:I50) = 5,"",IF(AND(NOT(ISBLANK(E50)),COUNTBLANK(E50:I50) = 4),"3 Delete",IF(ISBLANK(E50),"2 Add",IF(SHA1Range(E50:I50) = "48dec20ea720199aef2c14bc5d5766823529a716","0 Original","1 Modify"))))</f>
        <v>0 Original</v>
      </c>
      <c r="D50" s="5" t="s">
        <v>245</v>
      </c>
      <c r="E50" s="3">
        <v>41</v>
      </c>
      <c r="F50" s="5" t="s">
        <v>246</v>
      </c>
      <c r="G50" s="5" t="s">
        <v>247</v>
      </c>
      <c r="H50" s="5" t="s">
        <v>72</v>
      </c>
      <c r="I50" s="15">
        <v>42098.4143287037</v>
      </c>
    </row>
    <row r="51" spans="3:9" x14ac:dyDescent="0.25">
      <c r="C51" t="str">
        <f>IF(COUNTBLANK(E51:I51) = 5,"",IF(AND(NOT(ISBLANK(E51)),COUNTBLANK(E51:I51) = 4),"3 Delete",IF(ISBLANK(E51),"2 Add",IF(SHA1Range(E51:I51) = "94556e9beca9d1245ad5354a5d77bcccc0fb1504","0 Original","1 Modify"))))</f>
        <v>0 Original</v>
      </c>
      <c r="D51" s="5" t="s">
        <v>347</v>
      </c>
      <c r="E51" s="3">
        <v>7</v>
      </c>
      <c r="F51" s="5" t="s">
        <v>348</v>
      </c>
      <c r="G51" s="5" t="s">
        <v>349</v>
      </c>
      <c r="H51" s="5" t="s">
        <v>72</v>
      </c>
      <c r="I51" s="15">
        <v>42107.656076388892</v>
      </c>
    </row>
    <row r="52" spans="3:9" x14ac:dyDescent="0.25">
      <c r="C52" t="str">
        <f>IF(COUNTBLANK(E52:I52) = 5,"",IF(AND(NOT(ISBLANK(E52)),COUNTBLANK(E52:I52) = 4),"3 Delete",IF(ISBLANK(E52),"2 Add",IF(SHA1Range(E52:I52) = "9bc923b318f45bd4c95d03468f098ec316a3f740","0 Original","1 Modify"))))</f>
        <v>0 Original</v>
      </c>
      <c r="D52" s="5" t="s">
        <v>116</v>
      </c>
      <c r="E52" s="3">
        <v>84</v>
      </c>
      <c r="F52" s="5" t="s">
        <v>117</v>
      </c>
      <c r="G52" s="5" t="s">
        <v>118</v>
      </c>
      <c r="H52" s="5" t="s">
        <v>72</v>
      </c>
      <c r="I52" s="15">
        <v>42109.718715277777</v>
      </c>
    </row>
    <row r="53" spans="3:9" x14ac:dyDescent="0.25">
      <c r="C53" t="str">
        <f>IF(COUNTBLANK(E53:I53) = 5,"",IF(AND(NOT(ISBLANK(E53)),COUNTBLANK(E53:I53) = 4),"3 Delete",IF(ISBLANK(E53),"2 Add",IF(SHA1Range(E53:I53) = "adadff76978d368df3bd969b28a69fbf4037441d","0 Original","1 Modify"))))</f>
        <v>0 Original</v>
      </c>
      <c r="D53" s="5" t="s">
        <v>173</v>
      </c>
      <c r="E53" s="3">
        <v>65</v>
      </c>
      <c r="F53" s="5" t="s">
        <v>174</v>
      </c>
      <c r="G53" s="5" t="s">
        <v>175</v>
      </c>
      <c r="H53" s="5" t="s">
        <v>76</v>
      </c>
      <c r="I53" s="15">
        <v>42122.00472222222</v>
      </c>
    </row>
    <row r="54" spans="3:9" x14ac:dyDescent="0.25">
      <c r="C54" t="str">
        <f>IF(COUNTBLANK(E54:I54) = 5,"",IF(AND(NOT(ISBLANK(E54)),COUNTBLANK(E54:I54) = 4),"3 Delete",IF(ISBLANK(E54),"2 Add",IF(SHA1Range(E54:I54) = "874bf91c299ed45fe1a3646952d0eef5f7f40b7f","0 Original","1 Modify"))))</f>
        <v>0 Original</v>
      </c>
      <c r="D54" s="5" t="s">
        <v>128</v>
      </c>
      <c r="E54" s="3">
        <v>80</v>
      </c>
      <c r="F54" s="5" t="s">
        <v>129</v>
      </c>
      <c r="G54" s="5" t="s">
        <v>130</v>
      </c>
      <c r="H54" s="5" t="s">
        <v>72</v>
      </c>
      <c r="I54" s="15">
        <v>42125.897013888891</v>
      </c>
    </row>
    <row r="55" spans="3:9" x14ac:dyDescent="0.25">
      <c r="C55" t="str">
        <f>IF(COUNTBLANK(E55:I55) = 5,"",IF(AND(NOT(ISBLANK(E55)),COUNTBLANK(E55:I55) = 4),"3 Delete",IF(ISBLANK(E55),"2 Add",IF(SHA1Range(E55:I55) = "0ad005565a2512d9c05a8fa512d124be7af64d93","0 Original","1 Modify"))))</f>
        <v>0 Original</v>
      </c>
      <c r="D55" s="5" t="s">
        <v>314</v>
      </c>
      <c r="E55" s="3">
        <v>18</v>
      </c>
      <c r="F55" s="5" t="s">
        <v>315</v>
      </c>
      <c r="G55" s="5" t="s">
        <v>316</v>
      </c>
      <c r="H55" s="5" t="s">
        <v>68</v>
      </c>
      <c r="I55" s="15">
        <v>42130.133402777778</v>
      </c>
    </row>
    <row r="56" spans="3:9" x14ac:dyDescent="0.25">
      <c r="C56" t="str">
        <f>IF(COUNTBLANK(E56:I56) = 5,"",IF(AND(NOT(ISBLANK(E56)),COUNTBLANK(E56:I56) = 4),"3 Delete",IF(ISBLANK(E56),"2 Add",IF(SHA1Range(E56:I56) = "71bd188ab0a6dcd5b1382f3e751abaa1ba91eddd","0 Original","1 Modify"))))</f>
        <v>0 Original</v>
      </c>
      <c r="D56" s="5" t="s">
        <v>360</v>
      </c>
      <c r="E56" s="3">
        <v>2</v>
      </c>
      <c r="F56" s="5" t="s">
        <v>361</v>
      </c>
      <c r="G56" s="5" t="s">
        <v>362</v>
      </c>
      <c r="H56" s="5" t="s">
        <v>68</v>
      </c>
      <c r="I56" s="15">
        <v>42130.688750000001</v>
      </c>
    </row>
    <row r="57" spans="3:9" x14ac:dyDescent="0.25">
      <c r="C57" t="str">
        <f>IF(COUNTBLANK(E57:I57) = 5,"",IF(AND(NOT(ISBLANK(E57)),COUNTBLANK(E57:I57) = 4),"3 Delete",IF(ISBLANK(E57),"2 Add",IF(SHA1Range(E57:I57) = "c920e80b90ac367f98f6393ab77995aa5be4fbb5","0 Original","1 Modify"))))</f>
        <v>0 Original</v>
      </c>
      <c r="D57" s="5" t="s">
        <v>302</v>
      </c>
      <c r="E57" s="3">
        <v>22</v>
      </c>
      <c r="F57" s="5" t="s">
        <v>303</v>
      </c>
      <c r="G57" s="5" t="s">
        <v>304</v>
      </c>
      <c r="H57" s="5" t="s">
        <v>68</v>
      </c>
      <c r="I57" s="15">
        <v>42130.730381944442</v>
      </c>
    </row>
    <row r="58" spans="3:9" x14ac:dyDescent="0.25">
      <c r="C58" t="str">
        <f>IF(COUNTBLANK(E58:I58) = 5,"",IF(AND(NOT(ISBLANK(E58)),COUNTBLANK(E58:I58) = 4),"3 Delete",IF(ISBLANK(E58),"2 Add",IF(SHA1Range(E58:I58) = "8c22a2109b7763fd6d9cb44e85957fa93f092970","0 Original","1 Modify"))))</f>
        <v>0 Original</v>
      </c>
      <c r="D58" s="5" t="s">
        <v>287</v>
      </c>
      <c r="E58" s="3">
        <v>27</v>
      </c>
      <c r="F58" s="5" t="s">
        <v>288</v>
      </c>
      <c r="G58" s="5" t="s">
        <v>289</v>
      </c>
      <c r="H58" s="5" t="s">
        <v>76</v>
      </c>
      <c r="I58" s="15">
        <v>42133.024837962963</v>
      </c>
    </row>
    <row r="59" spans="3:9" x14ac:dyDescent="0.25">
      <c r="C59" t="str">
        <f>IF(COUNTBLANK(E59:I59) = 5,"",IF(AND(NOT(ISBLANK(E59)),COUNTBLANK(E59:I59) = 4),"3 Delete",IF(ISBLANK(E59),"2 Add",IF(SHA1Range(E59:I59) = "cc5284fefe828af2073331011282058b1edcc3ac","0 Original","1 Modify"))))</f>
        <v>0 Original</v>
      </c>
      <c r="D59" s="5" t="s">
        <v>89</v>
      </c>
      <c r="E59" s="3">
        <v>93</v>
      </c>
      <c r="F59" s="5" t="s">
        <v>90</v>
      </c>
      <c r="G59" s="5" t="s">
        <v>91</v>
      </c>
      <c r="H59" s="5" t="s">
        <v>76</v>
      </c>
      <c r="I59" s="15">
        <v>42134.038136574076</v>
      </c>
    </row>
    <row r="60" spans="3:9" x14ac:dyDescent="0.25">
      <c r="C60" t="str">
        <f>IF(COUNTBLANK(E60:I60) = 5,"",IF(AND(NOT(ISBLANK(E60)),COUNTBLANK(E60:I60) = 4),"3 Delete",IF(ISBLANK(E60),"2 Add",IF(SHA1Range(E60:I60) = "affa7940024ae3a63238875e90dddca11193a296","0 Original","1 Modify"))))</f>
        <v>0 Original</v>
      </c>
      <c r="D60" s="5" t="s">
        <v>299</v>
      </c>
      <c r="E60" s="3">
        <v>23</v>
      </c>
      <c r="F60" s="5" t="s">
        <v>300</v>
      </c>
      <c r="G60" s="5" t="s">
        <v>301</v>
      </c>
      <c r="H60" s="5" t="s">
        <v>72</v>
      </c>
      <c r="I60" s="15">
        <v>42135.381631944445</v>
      </c>
    </row>
    <row r="61" spans="3:9" x14ac:dyDescent="0.25">
      <c r="C61" t="str">
        <f>IF(COUNTBLANK(E61:I61) = 5,"",IF(AND(NOT(ISBLANK(E61)),COUNTBLANK(E61:I61) = 4),"3 Delete",IF(ISBLANK(E61),"2 Add",IF(SHA1Range(E61:I61) = "9f5a21177dc86222cae0c2a917e084a4ba4f9006","0 Original","1 Modify"))))</f>
        <v>0 Original</v>
      </c>
      <c r="D61" s="5" t="s">
        <v>73</v>
      </c>
      <c r="E61" s="3">
        <v>98</v>
      </c>
      <c r="F61" s="5" t="s">
        <v>74</v>
      </c>
      <c r="G61" s="5" t="s">
        <v>75</v>
      </c>
      <c r="H61" s="5" t="s">
        <v>76</v>
      </c>
      <c r="I61" s="15">
        <v>42135.845833333333</v>
      </c>
    </row>
    <row r="62" spans="3:9" x14ac:dyDescent="0.25">
      <c r="C62" t="str">
        <f>IF(COUNTBLANK(E62:I62) = 5,"",IF(AND(NOT(ISBLANK(E62)),COUNTBLANK(E62:I62) = 4),"3 Delete",IF(ISBLANK(E62),"2 Add",IF(SHA1Range(E62:I62) = "dbe9ca2b771af66ebbdafd9a5af32fa65694f0ea","0 Original","1 Modify"))))</f>
        <v>0 Original</v>
      </c>
      <c r="D62" s="5" t="s">
        <v>230</v>
      </c>
      <c r="E62" s="3">
        <v>46</v>
      </c>
      <c r="F62" s="5" t="s">
        <v>231</v>
      </c>
      <c r="G62" s="5" t="s">
        <v>232</v>
      </c>
      <c r="H62" s="5" t="s">
        <v>76</v>
      </c>
      <c r="I62" s="15">
        <v>42135.879016203704</v>
      </c>
    </row>
    <row r="63" spans="3:9" x14ac:dyDescent="0.25">
      <c r="C63" t="str">
        <f>IF(COUNTBLANK(E63:I63) = 5,"",IF(AND(NOT(ISBLANK(E63)),COUNTBLANK(E63:I63) = 4),"3 Delete",IF(ISBLANK(E63),"2 Add",IF(SHA1Range(E63:I63) = "69ffaab8b7031fb790e749f7594ad5a475ae39cd","0 Original","1 Modify"))))</f>
        <v>0 Original</v>
      </c>
      <c r="D63" s="5" t="s">
        <v>296</v>
      </c>
      <c r="E63" s="3">
        <v>24</v>
      </c>
      <c r="F63" s="5" t="s">
        <v>297</v>
      </c>
      <c r="G63" s="5" t="s">
        <v>298</v>
      </c>
      <c r="H63" s="5" t="s">
        <v>76</v>
      </c>
      <c r="I63" s="15">
        <v>42136.479618055557</v>
      </c>
    </row>
    <row r="64" spans="3:9" x14ac:dyDescent="0.25">
      <c r="C64" t="str">
        <f>IF(COUNTBLANK(E64:I64) = 5,"",IF(AND(NOT(ISBLANK(E64)),COUNTBLANK(E64:I64) = 4),"3 Delete",IF(ISBLANK(E64),"2 Add",IF(SHA1Range(E64:I64) = "1f3709e1d0b9fca184bad96880fd20d4d0e53da4","0 Original","1 Modify"))))</f>
        <v>0 Original</v>
      </c>
      <c r="D64" s="5" t="s">
        <v>329</v>
      </c>
      <c r="E64" s="3">
        <v>13</v>
      </c>
      <c r="F64" s="5" t="s">
        <v>330</v>
      </c>
      <c r="G64" s="5" t="s">
        <v>331</v>
      </c>
      <c r="H64" s="5" t="s">
        <v>68</v>
      </c>
      <c r="I64" s="15">
        <v>42136.511550925927</v>
      </c>
    </row>
    <row r="65" spans="3:9" x14ac:dyDescent="0.25">
      <c r="C65" t="str">
        <f>IF(COUNTBLANK(E65:I65) = 5,"",IF(AND(NOT(ISBLANK(E65)),COUNTBLANK(E65:I65) = 4),"3 Delete",IF(ISBLANK(E65),"2 Add",IF(SHA1Range(E65:I65) = "1eab807bc294474723dbc7a0030b39895a56cb58","0 Original","1 Modify"))))</f>
        <v>0 Original</v>
      </c>
      <c r="D65" s="5" t="s">
        <v>113</v>
      </c>
      <c r="E65" s="3">
        <v>85</v>
      </c>
      <c r="F65" s="5" t="s">
        <v>114</v>
      </c>
      <c r="G65" s="5" t="s">
        <v>115</v>
      </c>
      <c r="H65" s="5" t="s">
        <v>72</v>
      </c>
      <c r="I65" s="15">
        <v>42144.960821759261</v>
      </c>
    </row>
    <row r="66" spans="3:9" x14ac:dyDescent="0.25">
      <c r="C66" t="str">
        <f>IF(COUNTBLANK(E66:I66) = 5,"",IF(AND(NOT(ISBLANK(E66)),COUNTBLANK(E66:I66) = 4),"3 Delete",IF(ISBLANK(E66),"2 Add",IF(SHA1Range(E66:I66) = "a1454beefc6fb7211576fb334c05a3dc4e701d3e","0 Original","1 Modify"))))</f>
        <v>0 Original</v>
      </c>
      <c r="D66" s="5" t="s">
        <v>65</v>
      </c>
      <c r="E66" s="3">
        <v>100</v>
      </c>
      <c r="F66" s="5" t="s">
        <v>66</v>
      </c>
      <c r="G66" s="5" t="s">
        <v>67</v>
      </c>
      <c r="H66" s="5" t="s">
        <v>68</v>
      </c>
      <c r="I66" s="15">
        <v>42145.19425925926</v>
      </c>
    </row>
    <row r="67" spans="3:9" x14ac:dyDescent="0.25">
      <c r="C67" t="str">
        <f>IF(COUNTBLANK(E67:I67) = 5,"",IF(AND(NOT(ISBLANK(E67)),COUNTBLANK(E67:I67) = 4),"3 Delete",IF(ISBLANK(E67),"2 Add",IF(SHA1Range(E67:I67) = "8b61872568bb9eee60f03d34f95ad2ad32b12c07","0 Original","1 Modify"))))</f>
        <v>0 Original</v>
      </c>
      <c r="D67" s="5" t="s">
        <v>248</v>
      </c>
      <c r="E67" s="3">
        <v>40</v>
      </c>
      <c r="F67" s="5" t="s">
        <v>249</v>
      </c>
      <c r="G67" s="5" t="s">
        <v>250</v>
      </c>
      <c r="H67" s="5" t="s">
        <v>76</v>
      </c>
      <c r="I67" s="15">
        <v>42145.769085648149</v>
      </c>
    </row>
    <row r="68" spans="3:9" x14ac:dyDescent="0.25">
      <c r="C68" t="str">
        <f>IF(COUNTBLANK(E68:I68) = 5,"",IF(AND(NOT(ISBLANK(E68)),COUNTBLANK(E68:I68) = 4),"3 Delete",IF(ISBLANK(E68),"2 Add",IF(SHA1Range(E68:I68) = "7ba9167c0a2e8fde9df43c32c80fd6849aeb7919","0 Original","1 Modify"))))</f>
        <v>0 Original</v>
      </c>
      <c r="D68" s="5" t="s">
        <v>254</v>
      </c>
      <c r="E68" s="3">
        <v>38</v>
      </c>
      <c r="F68" s="5" t="s">
        <v>255</v>
      </c>
      <c r="G68" s="5" t="s">
        <v>256</v>
      </c>
      <c r="H68" s="5" t="s">
        <v>72</v>
      </c>
      <c r="I68" s="15">
        <v>42147.179710648146</v>
      </c>
    </row>
    <row r="69" spans="3:9" x14ac:dyDescent="0.25">
      <c r="C69" t="str">
        <f>IF(COUNTBLANK(E69:I69) = 5,"",IF(AND(NOT(ISBLANK(E69)),COUNTBLANK(E69:I69) = 4),"3 Delete",IF(ISBLANK(E69),"2 Add",IF(SHA1Range(E69:I69) = "fd482bfee5f09e4aa8507154359d9ab01f9a7c38","0 Original","1 Modify"))))</f>
        <v>0 Original</v>
      </c>
      <c r="D69" s="5" t="s">
        <v>149</v>
      </c>
      <c r="E69" s="3">
        <v>73</v>
      </c>
      <c r="F69" s="5" t="s">
        <v>150</v>
      </c>
      <c r="G69" s="5" t="s">
        <v>151</v>
      </c>
      <c r="H69" s="5" t="s">
        <v>72</v>
      </c>
      <c r="I69" s="15">
        <v>42149.551365740743</v>
      </c>
    </row>
    <row r="70" spans="3:9" x14ac:dyDescent="0.25">
      <c r="C70" t="str">
        <f>IF(COUNTBLANK(E70:I70) = 5,"",IF(AND(NOT(ISBLANK(E70)),COUNTBLANK(E70:I70) = 4),"3 Delete",IF(ISBLANK(E70),"2 Add",IF(SHA1Range(E70:I70) = "38c6ea6c3b4ca93c20fed04fe65757a652ae4462","0 Original","1 Modify"))))</f>
        <v>0 Original</v>
      </c>
      <c r="D70" s="5" t="s">
        <v>104</v>
      </c>
      <c r="E70" s="3">
        <v>88</v>
      </c>
      <c r="F70" s="5" t="s">
        <v>105</v>
      </c>
      <c r="G70" s="5" t="s">
        <v>106</v>
      </c>
      <c r="H70" s="5" t="s">
        <v>72</v>
      </c>
      <c r="I70" s="15">
        <v>42157.544537037036</v>
      </c>
    </row>
    <row r="71" spans="3:9" x14ac:dyDescent="0.25">
      <c r="C71" t="str">
        <f>IF(COUNTBLANK(E71:I71) = 5,"",IF(AND(NOT(ISBLANK(E71)),COUNTBLANK(E71:I71) = 4),"3 Delete",IF(ISBLANK(E71),"2 Add",IF(SHA1Range(E71:I71) = "41490a443077bbd0b34e923e6b290b76d53f3c85","0 Original","1 Modify"))))</f>
        <v>0 Original</v>
      </c>
      <c r="D71" s="5" t="s">
        <v>260</v>
      </c>
      <c r="E71" s="3">
        <v>36</v>
      </c>
      <c r="F71" s="5" t="s">
        <v>261</v>
      </c>
      <c r="G71" s="5" t="s">
        <v>262</v>
      </c>
      <c r="H71" s="5" t="s">
        <v>68</v>
      </c>
      <c r="I71" s="15">
        <v>42163.334641203706</v>
      </c>
    </row>
    <row r="72" spans="3:9" x14ac:dyDescent="0.25">
      <c r="C72" t="str">
        <f>IF(COUNTBLANK(E72:I72) = 5,"",IF(AND(NOT(ISBLANK(E72)),COUNTBLANK(E72:I72) = 4),"3 Delete",IF(ISBLANK(E72),"2 Add",IF(SHA1Range(E72:I72) = "a32b6e26bcbbd2a4b7f5dbedc210be1dabe250d2","0 Original","1 Modify"))))</f>
        <v>0 Original</v>
      </c>
      <c r="D72" s="5" t="s">
        <v>290</v>
      </c>
      <c r="E72" s="3">
        <v>26</v>
      </c>
      <c r="F72" s="5" t="s">
        <v>291</v>
      </c>
      <c r="G72" s="5" t="s">
        <v>292</v>
      </c>
      <c r="H72" s="5" t="s">
        <v>76</v>
      </c>
      <c r="I72" s="15">
        <v>42164.898009259261</v>
      </c>
    </row>
    <row r="73" spans="3:9" x14ac:dyDescent="0.25">
      <c r="C73" t="str">
        <f>IF(COUNTBLANK(E73:I73) = 5,"",IF(AND(NOT(ISBLANK(E73)),COUNTBLANK(E73:I73) = 4),"3 Delete",IF(ISBLANK(E73),"2 Add",IF(SHA1Range(E73:I73) = "d94ebb9a3f903d4336c3047934f7a53342444544","0 Original","1 Modify"))))</f>
        <v>0 Original</v>
      </c>
      <c r="D73" s="5" t="s">
        <v>188</v>
      </c>
      <c r="E73" s="3">
        <v>60</v>
      </c>
      <c r="F73" s="5" t="s">
        <v>189</v>
      </c>
      <c r="G73" s="5" t="s">
        <v>190</v>
      </c>
      <c r="H73" s="5" t="s">
        <v>72</v>
      </c>
      <c r="I73" s="15">
        <v>42165.837951388887</v>
      </c>
    </row>
    <row r="74" spans="3:9" x14ac:dyDescent="0.25">
      <c r="C74" t="str">
        <f>IF(COUNTBLANK(E74:I74) = 5,"",IF(AND(NOT(ISBLANK(E74)),COUNTBLANK(E74:I74) = 4),"3 Delete",IF(ISBLANK(E74),"2 Add",IF(SHA1Range(E74:I74) = "1270ecbd6fccb3a50272b66ec5e8fd50cc28e0a9","0 Original","1 Modify"))))</f>
        <v>0 Original</v>
      </c>
      <c r="D74" s="5" t="s">
        <v>212</v>
      </c>
      <c r="E74" s="3">
        <v>52</v>
      </c>
      <c r="F74" s="5" t="s">
        <v>213</v>
      </c>
      <c r="G74" s="5" t="s">
        <v>214</v>
      </c>
      <c r="H74" s="5" t="s">
        <v>72</v>
      </c>
      <c r="I74" s="15">
        <v>42169.419699074075</v>
      </c>
    </row>
    <row r="75" spans="3:9" x14ac:dyDescent="0.25">
      <c r="C75" t="str">
        <f>IF(COUNTBLANK(E75:I75) = 5,"",IF(AND(NOT(ISBLANK(E75)),COUNTBLANK(E75:I75) = 4),"3 Delete",IF(ISBLANK(E75),"2 Add",IF(SHA1Range(E75:I75) = "95b040d02647e1143762dc1a0f8a617c0fc79247","0 Original","1 Modify"))))</f>
        <v>0 Original</v>
      </c>
      <c r="D75" s="5" t="s">
        <v>185</v>
      </c>
      <c r="E75" s="3">
        <v>61</v>
      </c>
      <c r="F75" s="5" t="s">
        <v>186</v>
      </c>
      <c r="G75" s="5" t="s">
        <v>187</v>
      </c>
      <c r="H75" s="5" t="s">
        <v>76</v>
      </c>
      <c r="I75" s="15">
        <v>42170.795011574075</v>
      </c>
    </row>
    <row r="76" spans="3:9" x14ac:dyDescent="0.25">
      <c r="C76" t="str">
        <f>IF(COUNTBLANK(E76:I76) = 5,"",IF(AND(NOT(ISBLANK(E76)),COUNTBLANK(E76:I76) = 4),"3 Delete",IF(ISBLANK(E76),"2 Add",IF(SHA1Range(E76:I76) = "76afc5b80955dc0713a99701071b37ec6343e961","0 Original","1 Modify"))))</f>
        <v>0 Original</v>
      </c>
      <c r="D76" s="5" t="s">
        <v>257</v>
      </c>
      <c r="E76" s="3">
        <v>37</v>
      </c>
      <c r="F76" s="5" t="s">
        <v>258</v>
      </c>
      <c r="G76" s="5" t="s">
        <v>259</v>
      </c>
      <c r="H76" s="5" t="s">
        <v>76</v>
      </c>
      <c r="I76" s="15">
        <v>42171.229467592595</v>
      </c>
    </row>
    <row r="77" spans="3:9" x14ac:dyDescent="0.25">
      <c r="C77" t="str">
        <f>IF(COUNTBLANK(E77:I77) = 5,"",IF(AND(NOT(ISBLANK(E77)),COUNTBLANK(E77:I77) = 4),"3 Delete",IF(ISBLANK(E77),"2 Add",IF(SHA1Range(E77:I77) = "9f27ecc5eb2d488b8df745ea641319f57058b0bf","0 Original","1 Modify"))))</f>
        <v>0 Original</v>
      </c>
      <c r="D77" s="5" t="s">
        <v>341</v>
      </c>
      <c r="E77" s="3">
        <v>9</v>
      </c>
      <c r="F77" s="5" t="s">
        <v>342</v>
      </c>
      <c r="G77" s="5" t="s">
        <v>343</v>
      </c>
      <c r="H77" s="5" t="s">
        <v>72</v>
      </c>
      <c r="I77" s="15">
        <v>42175.691921296297</v>
      </c>
    </row>
    <row r="78" spans="3:9" x14ac:dyDescent="0.25">
      <c r="C78" t="str">
        <f>IF(COUNTBLANK(E78:I78) = 5,"",IF(AND(NOT(ISBLANK(E78)),COUNTBLANK(E78:I78) = 4),"3 Delete",IF(ISBLANK(E78),"2 Add",IF(SHA1Range(E78:I78) = "8449e82418ac7a49b5f9e1ee439b83e9d2168fc7","0 Original","1 Modify"))))</f>
        <v>0 Original</v>
      </c>
      <c r="D78" s="5" t="s">
        <v>110</v>
      </c>
      <c r="E78" s="3">
        <v>86</v>
      </c>
      <c r="F78" s="5" t="s">
        <v>111</v>
      </c>
      <c r="G78" s="5" t="s">
        <v>112</v>
      </c>
      <c r="H78" s="5" t="s">
        <v>72</v>
      </c>
      <c r="I78" s="15">
        <v>42185.94027777778</v>
      </c>
    </row>
    <row r="79" spans="3:9" x14ac:dyDescent="0.25">
      <c r="C79" t="str">
        <f>IF(COUNTBLANK(E79:I79) = 5,"",IF(AND(NOT(ISBLANK(E79)),COUNTBLANK(E79:I79) = 4),"3 Delete",IF(ISBLANK(E79),"2 Add",IF(SHA1Range(E79:I79) = "625830cc6f76eed21de29a04a5223600738799be","0 Original","1 Modify"))))</f>
        <v>0 Original</v>
      </c>
      <c r="D79" s="5" t="s">
        <v>233</v>
      </c>
      <c r="E79" s="3">
        <v>45</v>
      </c>
      <c r="F79" s="5" t="s">
        <v>234</v>
      </c>
      <c r="G79" s="5" t="s">
        <v>235</v>
      </c>
      <c r="H79" s="5" t="s">
        <v>68</v>
      </c>
      <c r="I79" s="15">
        <v>42187.589907407404</v>
      </c>
    </row>
    <row r="80" spans="3:9" x14ac:dyDescent="0.25">
      <c r="C80" t="str">
        <f>IF(COUNTBLANK(E80:I80) = 5,"",IF(AND(NOT(ISBLANK(E80)),COUNTBLANK(E80:I80) = 4),"3 Delete",IF(ISBLANK(E80),"2 Add",IF(SHA1Range(E80:I80) = "f451e9036e765ebbcfd4ee4529590323608c6a48","0 Original","1 Modify"))))</f>
        <v>0 Original</v>
      </c>
      <c r="D80" s="5" t="s">
        <v>119</v>
      </c>
      <c r="E80" s="3">
        <v>83</v>
      </c>
      <c r="F80" s="5" t="s">
        <v>120</v>
      </c>
      <c r="G80" s="5" t="s">
        <v>121</v>
      </c>
      <c r="H80" s="5" t="s">
        <v>76</v>
      </c>
      <c r="I80" s="15">
        <v>42195.433530092596</v>
      </c>
    </row>
    <row r="81" spans="3:9" x14ac:dyDescent="0.25">
      <c r="C81" t="str">
        <f>IF(COUNTBLANK(E81:I81) = 5,"",IF(AND(NOT(ISBLANK(E81)),COUNTBLANK(E81:I81) = 4),"3 Delete",IF(ISBLANK(E81),"2 Add",IF(SHA1Range(E81:I81) = "56971db2d5b33ade91021a68d8ba4ee094ebd525","0 Original","1 Modify"))))</f>
        <v>0 Original</v>
      </c>
      <c r="D81" s="5" t="s">
        <v>146</v>
      </c>
      <c r="E81" s="3">
        <v>74</v>
      </c>
      <c r="F81" s="5" t="s">
        <v>147</v>
      </c>
      <c r="G81" s="5" t="s">
        <v>148</v>
      </c>
      <c r="H81" s="5" t="s">
        <v>76</v>
      </c>
      <c r="I81" s="15">
        <v>42197.489930555559</v>
      </c>
    </row>
    <row r="82" spans="3:9" x14ac:dyDescent="0.25">
      <c r="C82" t="str">
        <f>IF(COUNTBLANK(E82:I82) = 5,"",IF(AND(NOT(ISBLANK(E82)),COUNTBLANK(E82:I82) = 4),"3 Delete",IF(ISBLANK(E82),"2 Add",IF(SHA1Range(E82:I82) = "e115b6494f0fabc8bf6b556320b63a35660ceec5","0 Original","1 Modify"))))</f>
        <v>0 Original</v>
      </c>
      <c r="D82" s="5" t="s">
        <v>134</v>
      </c>
      <c r="E82" s="3">
        <v>78</v>
      </c>
      <c r="F82" s="5" t="s">
        <v>135</v>
      </c>
      <c r="G82" s="5" t="s">
        <v>136</v>
      </c>
      <c r="H82" s="5" t="s">
        <v>72</v>
      </c>
      <c r="I82" s="15">
        <v>42204.436319444445</v>
      </c>
    </row>
    <row r="83" spans="3:9" x14ac:dyDescent="0.25">
      <c r="C83" t="str">
        <f>IF(COUNTBLANK(E83:I83) = 5,"",IF(AND(NOT(ISBLANK(E83)),COUNTBLANK(E83:I83) = 4),"3 Delete",IF(ISBLANK(E83),"2 Add",IF(SHA1Range(E83:I83) = "525f79c6ff253131c84de2121c7e827e95d2592b","0 Original","1 Modify"))))</f>
        <v>0 Original</v>
      </c>
      <c r="D83" s="5" t="s">
        <v>332</v>
      </c>
      <c r="E83" s="3">
        <v>12</v>
      </c>
      <c r="F83" s="5" t="s">
        <v>333</v>
      </c>
      <c r="G83" s="5" t="s">
        <v>334</v>
      </c>
      <c r="H83" s="5" t="s">
        <v>76</v>
      </c>
      <c r="I83" s="15">
        <v>42210.710787037038</v>
      </c>
    </row>
    <row r="84" spans="3:9" x14ac:dyDescent="0.25">
      <c r="C84" t="str">
        <f>IF(COUNTBLANK(E84:I84) = 5,"",IF(AND(NOT(ISBLANK(E84)),COUNTBLANK(E84:I84) = 4),"3 Delete",IF(ISBLANK(E84),"2 Add",IF(SHA1Range(E84:I84) = "791036f24de9378f5a09d66b4a4d466b4aeb1768","0 Original","1 Modify"))))</f>
        <v>0 Original</v>
      </c>
      <c r="D84" s="5" t="s">
        <v>122</v>
      </c>
      <c r="E84" s="3">
        <v>82</v>
      </c>
      <c r="F84" s="5" t="s">
        <v>123</v>
      </c>
      <c r="G84" s="5" t="s">
        <v>124</v>
      </c>
      <c r="H84" s="5" t="s">
        <v>68</v>
      </c>
      <c r="I84" s="15">
        <v>42212.312893518516</v>
      </c>
    </row>
    <row r="85" spans="3:9" x14ac:dyDescent="0.25">
      <c r="C85" t="str">
        <f>IF(COUNTBLANK(E85:I85) = 5,"",IF(AND(NOT(ISBLANK(E85)),COUNTBLANK(E85:I85) = 4),"3 Delete",IF(ISBLANK(E85),"2 Add",IF(SHA1Range(E85:I85) = "95af1473c2e1de247ba8c02f21e70b5586bb2d2e","0 Original","1 Modify"))))</f>
        <v>0 Original</v>
      </c>
      <c r="D85" s="5" t="s">
        <v>357</v>
      </c>
      <c r="E85" s="3">
        <v>3</v>
      </c>
      <c r="F85" s="5" t="s">
        <v>358</v>
      </c>
      <c r="G85" s="5" t="s">
        <v>359</v>
      </c>
      <c r="H85" s="5" t="s">
        <v>72</v>
      </c>
      <c r="I85" s="15">
        <v>42218.512129629627</v>
      </c>
    </row>
    <row r="86" spans="3:9" x14ac:dyDescent="0.25">
      <c r="C86" t="str">
        <f>IF(COUNTBLANK(E86:I86) = 5,"",IF(AND(NOT(ISBLANK(E86)),COUNTBLANK(E86:I86) = 4),"3 Delete",IF(ISBLANK(E86),"2 Add",IF(SHA1Range(E86:I86) = "4f425a636e3ec64f7f60125119d1b16bad861f51","0 Original","1 Modify"))))</f>
        <v>0 Original</v>
      </c>
      <c r="D86" s="5" t="s">
        <v>209</v>
      </c>
      <c r="E86" s="3">
        <v>53</v>
      </c>
      <c r="F86" s="5" t="s">
        <v>210</v>
      </c>
      <c r="G86" s="5" t="s">
        <v>211</v>
      </c>
      <c r="H86" s="5" t="s">
        <v>76</v>
      </c>
      <c r="I86" s="15">
        <v>42221.509421296294</v>
      </c>
    </row>
    <row r="87" spans="3:9" x14ac:dyDescent="0.25">
      <c r="C87" t="str">
        <f>IF(COUNTBLANK(E87:I87) = 5,"",IF(AND(NOT(ISBLANK(E87)),COUNTBLANK(E87:I87) = 4),"3 Delete",IF(ISBLANK(E87),"2 Add",IF(SHA1Range(E87:I87) = "a877df02e79b223fefe92e647f830947e6f68be6","0 Original","1 Modify"))))</f>
        <v>0 Original</v>
      </c>
      <c r="D87" s="5" t="s">
        <v>281</v>
      </c>
      <c r="E87" s="3">
        <v>29</v>
      </c>
      <c r="F87" s="5" t="s">
        <v>282</v>
      </c>
      <c r="G87" s="5" t="s">
        <v>283</v>
      </c>
      <c r="H87" s="5" t="s">
        <v>76</v>
      </c>
      <c r="I87" s="15">
        <v>42225.492997685185</v>
      </c>
    </row>
    <row r="88" spans="3:9" x14ac:dyDescent="0.25">
      <c r="C88" t="str">
        <f>IF(COUNTBLANK(E88:I88) = 5,"",IF(AND(NOT(ISBLANK(E88)),COUNTBLANK(E88:I88) = 4),"3 Delete",IF(ISBLANK(E88),"2 Add",IF(SHA1Range(E88:I88) = "80c66e70e423ebf75157f24feff2c88a5d63a9fd","0 Original","1 Modify"))))</f>
        <v>0 Original</v>
      </c>
      <c r="D88" s="5" t="s">
        <v>311</v>
      </c>
      <c r="E88" s="3">
        <v>19</v>
      </c>
      <c r="F88" s="5" t="s">
        <v>312</v>
      </c>
      <c r="G88" s="5" t="s">
        <v>313</v>
      </c>
      <c r="H88" s="5" t="s">
        <v>68</v>
      </c>
      <c r="I88" s="15">
        <v>42229.172418981485</v>
      </c>
    </row>
    <row r="89" spans="3:9" x14ac:dyDescent="0.25">
      <c r="C89" t="str">
        <f>IF(COUNTBLANK(E89:I89) = 5,"",IF(AND(NOT(ISBLANK(E89)),COUNTBLANK(E89:I89) = 4),"3 Delete",IF(ISBLANK(E89),"2 Add",IF(SHA1Range(E89:I89) = "6a436a1fa32108bad160255ab0648c182eadacd3","0 Original","1 Modify"))))</f>
        <v>0 Original</v>
      </c>
      <c r="D89" s="5" t="s">
        <v>140</v>
      </c>
      <c r="E89" s="3">
        <v>76</v>
      </c>
      <c r="F89" s="5" t="s">
        <v>141</v>
      </c>
      <c r="G89" s="5" t="s">
        <v>142</v>
      </c>
      <c r="H89" s="5" t="s">
        <v>68</v>
      </c>
      <c r="I89" s="15">
        <v>42230.125601851854</v>
      </c>
    </row>
    <row r="90" spans="3:9" x14ac:dyDescent="0.25">
      <c r="C90" t="str">
        <f>IF(COUNTBLANK(E90:I90) = 5,"",IF(AND(NOT(ISBLANK(E90)),COUNTBLANK(E90:I90) = 4),"3 Delete",IF(ISBLANK(E90),"2 Add",IF(SHA1Range(E90:I90) = "7d898201e88e176bcc50633868a202bfd2ccf586","0 Original","1 Modify"))))</f>
        <v>0 Original</v>
      </c>
      <c r="D90" s="5" t="s">
        <v>221</v>
      </c>
      <c r="E90" s="3">
        <v>49</v>
      </c>
      <c r="F90" s="5" t="s">
        <v>222</v>
      </c>
      <c r="G90" s="5" t="s">
        <v>223</v>
      </c>
      <c r="H90" s="5" t="s">
        <v>72</v>
      </c>
      <c r="I90" s="15">
        <v>42236.794988425929</v>
      </c>
    </row>
    <row r="91" spans="3:9" x14ac:dyDescent="0.25">
      <c r="C91" t="str">
        <f>IF(COUNTBLANK(E91:I91) = 5,"",IF(AND(NOT(ISBLANK(E91)),COUNTBLANK(E91:I91) = 4),"3 Delete",IF(ISBLANK(E91),"2 Add",IF(SHA1Range(E91:I91) = "47029df714957dd1a5249121a47262dcaeeb9067","0 Original","1 Modify"))))</f>
        <v>0 Original</v>
      </c>
      <c r="D91" s="5" t="s">
        <v>98</v>
      </c>
      <c r="E91" s="3">
        <v>90</v>
      </c>
      <c r="F91" s="5" t="s">
        <v>99</v>
      </c>
      <c r="G91" s="5" t="s">
        <v>100</v>
      </c>
      <c r="H91" s="5" t="s">
        <v>72</v>
      </c>
      <c r="I91" s="15">
        <v>42268.350092592591</v>
      </c>
    </row>
    <row r="92" spans="3:9" x14ac:dyDescent="0.25">
      <c r="C92" t="str">
        <f>IF(COUNTBLANK(E92:I92) = 5,"",IF(AND(NOT(ISBLANK(E92)),COUNTBLANK(E92:I92) = 4),"3 Delete",IF(ISBLANK(E92),"2 Add",IF(SHA1Range(E92:I92) = "c60ed73c49070dce773a87cf77807ac61f5af98b","0 Original","1 Modify"))))</f>
        <v>0 Original</v>
      </c>
      <c r="D92" s="5" t="s">
        <v>137</v>
      </c>
      <c r="E92" s="3">
        <v>77</v>
      </c>
      <c r="F92" s="5" t="s">
        <v>138</v>
      </c>
      <c r="G92" s="5" t="s">
        <v>139</v>
      </c>
      <c r="H92" s="5" t="s">
        <v>68</v>
      </c>
      <c r="I92" s="15">
        <v>42272.538136574076</v>
      </c>
    </row>
    <row r="93" spans="3:9" x14ac:dyDescent="0.25">
      <c r="C93" t="str">
        <f>IF(COUNTBLANK(E93:I93) = 5,"",IF(AND(NOT(ISBLANK(E93)),COUNTBLANK(E93:I93) = 4),"3 Delete",IF(ISBLANK(E93),"2 Add",IF(SHA1Range(E93:I93) = "9b314356f283ad07b41199b8b48226375179e957","0 Original","1 Modify"))))</f>
        <v>0 Original</v>
      </c>
      <c r="D93" s="5" t="s">
        <v>143</v>
      </c>
      <c r="E93" s="3">
        <v>75</v>
      </c>
      <c r="F93" s="5" t="s">
        <v>144</v>
      </c>
      <c r="G93" s="5" t="s">
        <v>145</v>
      </c>
      <c r="H93" s="5" t="s">
        <v>76</v>
      </c>
      <c r="I93" s="15">
        <v>42275.390127314815</v>
      </c>
    </row>
    <row r="94" spans="3:9" x14ac:dyDescent="0.25">
      <c r="C94" t="str">
        <f>IF(COUNTBLANK(E94:I94) = 5,"",IF(AND(NOT(ISBLANK(E94)),COUNTBLANK(E94:I94) = 4),"3 Delete",IF(ISBLANK(E94),"2 Add",IF(SHA1Range(E94:I94) = "86e87625a4c3342294662f7966584cb02e259e72","0 Original","1 Modify"))))</f>
        <v>0 Original</v>
      </c>
      <c r="D94" s="5" t="s">
        <v>155</v>
      </c>
      <c r="E94" s="3">
        <v>71</v>
      </c>
      <c r="F94" s="5" t="s">
        <v>156</v>
      </c>
      <c r="G94" s="5" t="s">
        <v>157</v>
      </c>
      <c r="H94" s="5" t="s">
        <v>68</v>
      </c>
      <c r="I94" s="15">
        <v>42250.981562499997</v>
      </c>
    </row>
    <row r="95" spans="3:9" x14ac:dyDescent="0.25">
      <c r="C95" t="str">
        <f>IF(COUNTBLANK(E95:I95) = 5,"",IF(AND(NOT(ISBLANK(E95)),COUNTBLANK(E95:I95) = 4),"3 Delete",IF(ISBLANK(E95),"2 Add",IF(SHA1Range(E95:I95) = "ac3cf1c19a0fb30afcbf1faab26dac08355fff94","0 Original","1 Modify"))))</f>
        <v>0 Original</v>
      </c>
      <c r="D95" s="5" t="s">
        <v>194</v>
      </c>
      <c r="E95" s="3">
        <v>58</v>
      </c>
      <c r="F95" s="5" t="s">
        <v>195</v>
      </c>
      <c r="G95" s="5" t="s">
        <v>196</v>
      </c>
      <c r="H95" s="5" t="s">
        <v>76</v>
      </c>
      <c r="I95" s="15">
        <v>42240.994247685187</v>
      </c>
    </row>
    <row r="96" spans="3:9" x14ac:dyDescent="0.25">
      <c r="C96" t="str">
        <f>IF(COUNTBLANK(E96:I96) = 5,"",IF(AND(NOT(ISBLANK(E96)),COUNTBLANK(E96:I96) = 4),"3 Delete",IF(ISBLANK(E96),"2 Add",IF(SHA1Range(E96:I96) = "68f9b0e3e8327b9215bc00f24ebd8d30394e2046","0 Original","1 Modify"))))</f>
        <v>0 Original</v>
      </c>
      <c r="D96" s="5" t="s">
        <v>200</v>
      </c>
      <c r="E96" s="3">
        <v>56</v>
      </c>
      <c r="F96" s="5" t="s">
        <v>201</v>
      </c>
      <c r="G96" s="5" t="s">
        <v>202</v>
      </c>
      <c r="H96" s="5" t="s">
        <v>68</v>
      </c>
      <c r="I96" s="15">
        <v>42281.944085648145</v>
      </c>
    </row>
    <row r="97" spans="3:9" x14ac:dyDescent="0.25">
      <c r="C97" t="str">
        <f>IF(COUNTBLANK(E97:I97) = 5,"",IF(AND(NOT(ISBLANK(E97)),COUNTBLANK(E97:I97) = 4),"3 Delete",IF(ISBLANK(E97),"2 Add",IF(SHA1Range(E97:I97) = "292ed378bf5ad127f839617dad06a0274002eb2c","0 Original","1 Modify"))))</f>
        <v>0 Original</v>
      </c>
      <c r="D97" s="5" t="s">
        <v>206</v>
      </c>
      <c r="E97" s="3">
        <v>54</v>
      </c>
      <c r="F97" s="5" t="s">
        <v>207</v>
      </c>
      <c r="G97" s="5" t="s">
        <v>208</v>
      </c>
      <c r="H97" s="5" t="s">
        <v>68</v>
      </c>
      <c r="I97" s="15">
        <v>42270.421724537038</v>
      </c>
    </row>
    <row r="98" spans="3:9" x14ac:dyDescent="0.25">
      <c r="C98" t="str">
        <f>IF(COUNTBLANK(E98:I98) = 5,"",IF(AND(NOT(ISBLANK(E98)),COUNTBLANK(E98:I98) = 4),"3 Delete",IF(ISBLANK(E98),"2 Add",IF(SHA1Range(E98:I98) = "b92b4d319c5b40a8dad16fe00e48ed33facd64e5","0 Original","1 Modify"))))</f>
        <v>0 Original</v>
      </c>
      <c r="D98" s="5" t="s">
        <v>236</v>
      </c>
      <c r="E98" s="3">
        <v>44</v>
      </c>
      <c r="F98" s="5" t="s">
        <v>237</v>
      </c>
      <c r="G98" s="5" t="s">
        <v>238</v>
      </c>
      <c r="H98" s="5" t="s">
        <v>68</v>
      </c>
      <c r="I98" s="15">
        <v>42290.898981481485</v>
      </c>
    </row>
    <row r="99" spans="3:9" x14ac:dyDescent="0.25">
      <c r="C99" t="str">
        <f>IF(COUNTBLANK(E99:I99) = 5,"",IF(AND(NOT(ISBLANK(E99)),COUNTBLANK(E99:I99) = 4),"3 Delete",IF(ISBLANK(E99),"2 Add",IF(SHA1Range(E99:I99) = "5a8418f9e0f88228e981d3c3a000bfc0ec418a4f","0 Original","1 Modify"))))</f>
        <v>0 Original</v>
      </c>
      <c r="D99" s="5" t="s">
        <v>272</v>
      </c>
      <c r="E99" s="3">
        <v>32</v>
      </c>
      <c r="F99" s="5" t="s">
        <v>273</v>
      </c>
      <c r="G99" s="5" t="s">
        <v>274</v>
      </c>
      <c r="H99" s="5" t="s">
        <v>68</v>
      </c>
      <c r="I99" s="15">
        <v>42290.846296296295</v>
      </c>
    </row>
    <row r="100" spans="3:9" x14ac:dyDescent="0.25">
      <c r="C100" t="str">
        <f>IF(COUNTBLANK(E100:I100) = 5,"",IF(AND(NOT(ISBLANK(E100)),COUNTBLANK(E100:I100) = 4),"3 Delete",IF(ISBLANK(E100),"2 Add",IF(SHA1Range(E100:I100) = "3f93278e79233fc1549d75608689aa4281212910","0 Original","1 Modify"))))</f>
        <v>0 Original</v>
      </c>
      <c r="D100" s="5" t="s">
        <v>275</v>
      </c>
      <c r="E100" s="3">
        <v>31</v>
      </c>
      <c r="F100" s="5" t="s">
        <v>276</v>
      </c>
      <c r="G100" s="5" t="s">
        <v>277</v>
      </c>
      <c r="H100" s="5" t="s">
        <v>72</v>
      </c>
      <c r="I100" s="15">
        <v>42282.288564814815</v>
      </c>
    </row>
    <row r="101" spans="3:9" x14ac:dyDescent="0.25">
      <c r="C101" t="str">
        <f>IF(COUNTBLANK(E101:I101) = 5,"",IF(AND(NOT(ISBLANK(E101)),COUNTBLANK(E101:I101) = 4),"3 Delete",IF(ISBLANK(E101),"2 Add",IF(SHA1Range(E101:I101) = "b858cb282617fb0956d960215c8e84d1ccf909c6","0 Original","1 Modify"))))</f>
        <v/>
      </c>
    </row>
    <row r="102" spans="3:9" x14ac:dyDescent="0.25">
      <c r="C102" t="str">
        <f>IF(COUNTBLANK(E102:I102) = 5,"",IF(AND(NOT(ISBLANK(E102)),COUNTBLANK(E102:I102) = 4),"3 Delete",IF(ISBLANK(E102),"2 Add",IF(SHA1Range(E102:I102) = "b858cb282617fb0956d960215c8e84d1ccf909c6","0 Original","1 Modify"))))</f>
        <v/>
      </c>
    </row>
  </sheetData>
  <sortState ref="C2:I102">
    <sortCondition ref="I1"/>
  </sortState>
  <conditionalFormatting sqref="C2">
    <cfRule type="cellIs" dxfId="38654" priority="1" stopIfTrue="1" operator="equal">
      <formula>"1 Modify"</formula>
    </cfRule>
    <cfRule type="cellIs" dxfId="38653" priority="2" stopIfTrue="1" operator="equal">
      <formula>"2 Add"</formula>
    </cfRule>
    <cfRule type="cellIs" dxfId="38652" priority="3" stopIfTrue="1" operator="equal">
      <formula>"3 Delete"</formula>
    </cfRule>
  </conditionalFormatting>
  <conditionalFormatting sqref="C3">
    <cfRule type="cellIs" dxfId="38651" priority="4" stopIfTrue="1" operator="equal">
      <formula>"1 Modify"</formula>
    </cfRule>
    <cfRule type="cellIs" dxfId="38650" priority="5" stopIfTrue="1" operator="equal">
      <formula>"2 Add"</formula>
    </cfRule>
    <cfRule type="cellIs" dxfId="38649" priority="6" stopIfTrue="1" operator="equal">
      <formula>"3 Delete"</formula>
    </cfRule>
  </conditionalFormatting>
  <conditionalFormatting sqref="C4">
    <cfRule type="cellIs" dxfId="38648" priority="7" stopIfTrue="1" operator="equal">
      <formula>"1 Modify"</formula>
    </cfRule>
    <cfRule type="cellIs" dxfId="38647" priority="8" stopIfTrue="1" operator="equal">
      <formula>"2 Add"</formula>
    </cfRule>
    <cfRule type="cellIs" dxfId="38646" priority="9" stopIfTrue="1" operator="equal">
      <formula>"3 Delete"</formula>
    </cfRule>
  </conditionalFormatting>
  <conditionalFormatting sqref="C5">
    <cfRule type="cellIs" dxfId="38645" priority="10" stopIfTrue="1" operator="equal">
      <formula>"1 Modify"</formula>
    </cfRule>
    <cfRule type="cellIs" dxfId="38644" priority="11" stopIfTrue="1" operator="equal">
      <formula>"2 Add"</formula>
    </cfRule>
    <cfRule type="cellIs" dxfId="38643" priority="12" stopIfTrue="1" operator="equal">
      <formula>"3 Delete"</formula>
    </cfRule>
  </conditionalFormatting>
  <conditionalFormatting sqref="C6">
    <cfRule type="cellIs" dxfId="38642" priority="13" stopIfTrue="1" operator="equal">
      <formula>"1 Modify"</formula>
    </cfRule>
    <cfRule type="cellIs" dxfId="38641" priority="14" stopIfTrue="1" operator="equal">
      <formula>"2 Add"</formula>
    </cfRule>
    <cfRule type="cellIs" dxfId="38640" priority="15" stopIfTrue="1" operator="equal">
      <formula>"3 Delete"</formula>
    </cfRule>
  </conditionalFormatting>
  <conditionalFormatting sqref="C7">
    <cfRule type="cellIs" dxfId="38639" priority="16" stopIfTrue="1" operator="equal">
      <formula>"1 Modify"</formula>
    </cfRule>
    <cfRule type="cellIs" dxfId="38638" priority="17" stopIfTrue="1" operator="equal">
      <formula>"2 Add"</formula>
    </cfRule>
    <cfRule type="cellIs" dxfId="38637" priority="18" stopIfTrue="1" operator="equal">
      <formula>"3 Delete"</formula>
    </cfRule>
  </conditionalFormatting>
  <conditionalFormatting sqref="C8">
    <cfRule type="cellIs" dxfId="38636" priority="19" stopIfTrue="1" operator="equal">
      <formula>"1 Modify"</formula>
    </cfRule>
    <cfRule type="cellIs" dxfId="38635" priority="20" stopIfTrue="1" operator="equal">
      <formula>"2 Add"</formula>
    </cfRule>
    <cfRule type="cellIs" dxfId="38634" priority="21" stopIfTrue="1" operator="equal">
      <formula>"3 Delete"</formula>
    </cfRule>
  </conditionalFormatting>
  <conditionalFormatting sqref="C9">
    <cfRule type="cellIs" dxfId="38633" priority="22" stopIfTrue="1" operator="equal">
      <formula>"1 Modify"</formula>
    </cfRule>
    <cfRule type="cellIs" dxfId="38632" priority="23" stopIfTrue="1" operator="equal">
      <formula>"2 Add"</formula>
    </cfRule>
    <cfRule type="cellIs" dxfId="38631" priority="24" stopIfTrue="1" operator="equal">
      <formula>"3 Delete"</formula>
    </cfRule>
  </conditionalFormatting>
  <conditionalFormatting sqref="C10">
    <cfRule type="cellIs" dxfId="38630" priority="25" stopIfTrue="1" operator="equal">
      <formula>"1 Modify"</formula>
    </cfRule>
    <cfRule type="cellIs" dxfId="38629" priority="26" stopIfTrue="1" operator="equal">
      <formula>"2 Add"</formula>
    </cfRule>
    <cfRule type="cellIs" dxfId="38628" priority="27" stopIfTrue="1" operator="equal">
      <formula>"3 Delete"</formula>
    </cfRule>
  </conditionalFormatting>
  <conditionalFormatting sqref="C11">
    <cfRule type="cellIs" dxfId="38627" priority="28" stopIfTrue="1" operator="equal">
      <formula>"1 Modify"</formula>
    </cfRule>
    <cfRule type="cellIs" dxfId="38626" priority="29" stopIfTrue="1" operator="equal">
      <formula>"2 Add"</formula>
    </cfRule>
    <cfRule type="cellIs" dxfId="38625" priority="30" stopIfTrue="1" operator="equal">
      <formula>"3 Delete"</formula>
    </cfRule>
  </conditionalFormatting>
  <conditionalFormatting sqref="C12">
    <cfRule type="cellIs" dxfId="38624" priority="31" stopIfTrue="1" operator="equal">
      <formula>"1 Modify"</formula>
    </cfRule>
    <cfRule type="cellIs" dxfId="38623" priority="32" stopIfTrue="1" operator="equal">
      <formula>"2 Add"</formula>
    </cfRule>
    <cfRule type="cellIs" dxfId="38622" priority="33" stopIfTrue="1" operator="equal">
      <formula>"3 Delete"</formula>
    </cfRule>
  </conditionalFormatting>
  <conditionalFormatting sqref="C13">
    <cfRule type="cellIs" dxfId="38621" priority="34" stopIfTrue="1" operator="equal">
      <formula>"1 Modify"</formula>
    </cfRule>
    <cfRule type="cellIs" dxfId="38620" priority="35" stopIfTrue="1" operator="equal">
      <formula>"2 Add"</formula>
    </cfRule>
    <cfRule type="cellIs" dxfId="38619" priority="36" stopIfTrue="1" operator="equal">
      <formula>"3 Delete"</formula>
    </cfRule>
  </conditionalFormatting>
  <conditionalFormatting sqref="C14">
    <cfRule type="cellIs" dxfId="38618" priority="37" stopIfTrue="1" operator="equal">
      <formula>"1 Modify"</formula>
    </cfRule>
    <cfRule type="cellIs" dxfId="38617" priority="38" stopIfTrue="1" operator="equal">
      <formula>"2 Add"</formula>
    </cfRule>
    <cfRule type="cellIs" dxfId="38616" priority="39" stopIfTrue="1" operator="equal">
      <formula>"3 Delete"</formula>
    </cfRule>
  </conditionalFormatting>
  <conditionalFormatting sqref="C15">
    <cfRule type="cellIs" dxfId="38615" priority="40" stopIfTrue="1" operator="equal">
      <formula>"1 Modify"</formula>
    </cfRule>
    <cfRule type="cellIs" dxfId="38614" priority="41" stopIfTrue="1" operator="equal">
      <formula>"2 Add"</formula>
    </cfRule>
    <cfRule type="cellIs" dxfId="38613" priority="42" stopIfTrue="1" operator="equal">
      <formula>"3 Delete"</formula>
    </cfRule>
  </conditionalFormatting>
  <conditionalFormatting sqref="C16">
    <cfRule type="cellIs" dxfId="38612" priority="43" stopIfTrue="1" operator="equal">
      <formula>"1 Modify"</formula>
    </cfRule>
    <cfRule type="cellIs" dxfId="38611" priority="44" stopIfTrue="1" operator="equal">
      <formula>"2 Add"</formula>
    </cfRule>
    <cfRule type="cellIs" dxfId="38610" priority="45" stopIfTrue="1" operator="equal">
      <formula>"3 Delete"</formula>
    </cfRule>
  </conditionalFormatting>
  <conditionalFormatting sqref="C17">
    <cfRule type="cellIs" dxfId="38609" priority="46" stopIfTrue="1" operator="equal">
      <formula>"1 Modify"</formula>
    </cfRule>
    <cfRule type="cellIs" dxfId="38608" priority="47" stopIfTrue="1" operator="equal">
      <formula>"2 Add"</formula>
    </cfRule>
    <cfRule type="cellIs" dxfId="38607" priority="48" stopIfTrue="1" operator="equal">
      <formula>"3 Delete"</formula>
    </cfRule>
  </conditionalFormatting>
  <conditionalFormatting sqref="C18">
    <cfRule type="cellIs" dxfId="38606" priority="49" stopIfTrue="1" operator="equal">
      <formula>"1 Modify"</formula>
    </cfRule>
    <cfRule type="cellIs" dxfId="38605" priority="50" stopIfTrue="1" operator="equal">
      <formula>"2 Add"</formula>
    </cfRule>
    <cfRule type="cellIs" dxfId="38604" priority="51" stopIfTrue="1" operator="equal">
      <formula>"3 Delete"</formula>
    </cfRule>
  </conditionalFormatting>
  <conditionalFormatting sqref="C19">
    <cfRule type="cellIs" dxfId="38603" priority="52" stopIfTrue="1" operator="equal">
      <formula>"1 Modify"</formula>
    </cfRule>
    <cfRule type="cellIs" dxfId="38602" priority="53" stopIfTrue="1" operator="equal">
      <formula>"2 Add"</formula>
    </cfRule>
    <cfRule type="cellIs" dxfId="38601" priority="54" stopIfTrue="1" operator="equal">
      <formula>"3 Delete"</formula>
    </cfRule>
  </conditionalFormatting>
  <conditionalFormatting sqref="C20">
    <cfRule type="cellIs" dxfId="38600" priority="55" stopIfTrue="1" operator="equal">
      <formula>"1 Modify"</formula>
    </cfRule>
    <cfRule type="cellIs" dxfId="38599" priority="56" stopIfTrue="1" operator="equal">
      <formula>"2 Add"</formula>
    </cfRule>
    <cfRule type="cellIs" dxfId="38598" priority="57" stopIfTrue="1" operator="equal">
      <formula>"3 Delete"</formula>
    </cfRule>
  </conditionalFormatting>
  <conditionalFormatting sqref="C21">
    <cfRule type="cellIs" dxfId="38597" priority="58" stopIfTrue="1" operator="equal">
      <formula>"1 Modify"</formula>
    </cfRule>
    <cfRule type="cellIs" dxfId="38596" priority="59" stopIfTrue="1" operator="equal">
      <formula>"2 Add"</formula>
    </cfRule>
    <cfRule type="cellIs" dxfId="38595" priority="60" stopIfTrue="1" operator="equal">
      <formula>"3 Delete"</formula>
    </cfRule>
  </conditionalFormatting>
  <conditionalFormatting sqref="C22">
    <cfRule type="cellIs" dxfId="38594" priority="61" stopIfTrue="1" operator="equal">
      <formula>"1 Modify"</formula>
    </cfRule>
  </conditionalFormatting>
  <conditionalFormatting sqref="C22">
    <cfRule type="cellIs" dxfId="38593" priority="62" stopIfTrue="1" operator="equal">
      <formula>"2 Add"</formula>
    </cfRule>
  </conditionalFormatting>
  <conditionalFormatting sqref="C22">
    <cfRule type="cellIs" dxfId="38592" priority="63" stopIfTrue="1" operator="equal">
      <formula>"3 Delete"</formula>
    </cfRule>
  </conditionalFormatting>
  <conditionalFormatting sqref="C23">
    <cfRule type="cellIs" dxfId="38591" priority="64" stopIfTrue="1" operator="equal">
      <formula>"1 Modify"</formula>
    </cfRule>
  </conditionalFormatting>
  <conditionalFormatting sqref="C23">
    <cfRule type="cellIs" dxfId="38590" priority="65" stopIfTrue="1" operator="equal">
      <formula>"2 Add"</formula>
    </cfRule>
  </conditionalFormatting>
  <conditionalFormatting sqref="C23">
    <cfRule type="cellIs" dxfId="38589" priority="66" stopIfTrue="1" operator="equal">
      <formula>"3 Delete"</formula>
    </cfRule>
  </conditionalFormatting>
  <conditionalFormatting sqref="C24">
    <cfRule type="cellIs" dxfId="38588" priority="67" stopIfTrue="1" operator="equal">
      <formula>"1 Modify"</formula>
    </cfRule>
  </conditionalFormatting>
  <conditionalFormatting sqref="C24">
    <cfRule type="cellIs" dxfId="38587" priority="68" stopIfTrue="1" operator="equal">
      <formula>"2 Add"</formula>
    </cfRule>
  </conditionalFormatting>
  <conditionalFormatting sqref="C24">
    <cfRule type="cellIs" dxfId="38586" priority="69" stopIfTrue="1" operator="equal">
      <formula>"3 Delete"</formula>
    </cfRule>
  </conditionalFormatting>
  <conditionalFormatting sqref="C25">
    <cfRule type="cellIs" dxfId="38585" priority="70" stopIfTrue="1" operator="equal">
      <formula>"1 Modify"</formula>
    </cfRule>
  </conditionalFormatting>
  <conditionalFormatting sqref="C25">
    <cfRule type="cellIs" dxfId="38584" priority="71" stopIfTrue="1" operator="equal">
      <formula>"2 Add"</formula>
    </cfRule>
  </conditionalFormatting>
  <conditionalFormatting sqref="C25">
    <cfRule type="cellIs" dxfId="38583" priority="72" stopIfTrue="1" operator="equal">
      <formula>"3 Delete"</formula>
    </cfRule>
  </conditionalFormatting>
  <conditionalFormatting sqref="C26">
    <cfRule type="cellIs" dxfId="38582" priority="73" stopIfTrue="1" operator="equal">
      <formula>"1 Modify"</formula>
    </cfRule>
  </conditionalFormatting>
  <conditionalFormatting sqref="C26">
    <cfRule type="cellIs" dxfId="38581" priority="74" stopIfTrue="1" operator="equal">
      <formula>"2 Add"</formula>
    </cfRule>
  </conditionalFormatting>
  <conditionalFormatting sqref="C26">
    <cfRule type="cellIs" dxfId="38580" priority="75" stopIfTrue="1" operator="equal">
      <formula>"3 Delete"</formula>
    </cfRule>
  </conditionalFormatting>
  <conditionalFormatting sqref="C27">
    <cfRule type="cellIs" dxfId="38579" priority="76" stopIfTrue="1" operator="equal">
      <formula>"1 Modify"</formula>
    </cfRule>
  </conditionalFormatting>
  <conditionalFormatting sqref="C27">
    <cfRule type="cellIs" dxfId="38578" priority="77" stopIfTrue="1" operator="equal">
      <formula>"2 Add"</formula>
    </cfRule>
  </conditionalFormatting>
  <conditionalFormatting sqref="C27">
    <cfRule type="cellIs" dxfId="38577" priority="78" stopIfTrue="1" operator="equal">
      <formula>"3 Delete"</formula>
    </cfRule>
  </conditionalFormatting>
  <conditionalFormatting sqref="C28">
    <cfRule type="cellIs" dxfId="38576" priority="79" stopIfTrue="1" operator="equal">
      <formula>"1 Modify"</formula>
    </cfRule>
  </conditionalFormatting>
  <conditionalFormatting sqref="C28">
    <cfRule type="cellIs" dxfId="38575" priority="80" stopIfTrue="1" operator="equal">
      <formula>"2 Add"</formula>
    </cfRule>
  </conditionalFormatting>
  <conditionalFormatting sqref="C28">
    <cfRule type="cellIs" dxfId="38574" priority="81" stopIfTrue="1" operator="equal">
      <formula>"3 Delete"</formula>
    </cfRule>
  </conditionalFormatting>
  <conditionalFormatting sqref="C29">
    <cfRule type="cellIs" dxfId="38573" priority="82" stopIfTrue="1" operator="equal">
      <formula>"1 Modify"</formula>
    </cfRule>
  </conditionalFormatting>
  <conditionalFormatting sqref="C29">
    <cfRule type="cellIs" dxfId="38572" priority="83" stopIfTrue="1" operator="equal">
      <formula>"2 Add"</formula>
    </cfRule>
  </conditionalFormatting>
  <conditionalFormatting sqref="C29">
    <cfRule type="cellIs" dxfId="38571" priority="84" stopIfTrue="1" operator="equal">
      <formula>"3 Delete"</formula>
    </cfRule>
  </conditionalFormatting>
  <conditionalFormatting sqref="C30">
    <cfRule type="cellIs" dxfId="38570" priority="85" stopIfTrue="1" operator="equal">
      <formula>"1 Modify"</formula>
    </cfRule>
  </conditionalFormatting>
  <conditionalFormatting sqref="C30">
    <cfRule type="cellIs" dxfId="38569" priority="86" stopIfTrue="1" operator="equal">
      <formula>"2 Add"</formula>
    </cfRule>
  </conditionalFormatting>
  <conditionalFormatting sqref="C30">
    <cfRule type="cellIs" dxfId="38568" priority="87" stopIfTrue="1" operator="equal">
      <formula>"3 Delete"</formula>
    </cfRule>
  </conditionalFormatting>
  <conditionalFormatting sqref="C31">
    <cfRule type="cellIs" dxfId="38567" priority="88" stopIfTrue="1" operator="equal">
      <formula>"1 Modify"</formula>
    </cfRule>
  </conditionalFormatting>
  <conditionalFormatting sqref="C31">
    <cfRule type="cellIs" dxfId="38566" priority="89" stopIfTrue="1" operator="equal">
      <formula>"2 Add"</formula>
    </cfRule>
  </conditionalFormatting>
  <conditionalFormatting sqref="C31">
    <cfRule type="cellIs" dxfId="38565" priority="90" stopIfTrue="1" operator="equal">
      <formula>"3 Delete"</formula>
    </cfRule>
  </conditionalFormatting>
  <conditionalFormatting sqref="C32">
    <cfRule type="cellIs" dxfId="38564" priority="91" stopIfTrue="1" operator="equal">
      <formula>"1 Modify"</formula>
    </cfRule>
  </conditionalFormatting>
  <conditionalFormatting sqref="C32">
    <cfRule type="cellIs" dxfId="38563" priority="92" stopIfTrue="1" operator="equal">
      <formula>"2 Add"</formula>
    </cfRule>
  </conditionalFormatting>
  <conditionalFormatting sqref="C32">
    <cfRule type="cellIs" dxfId="38562" priority="93" stopIfTrue="1" operator="equal">
      <formula>"3 Delete"</formula>
    </cfRule>
  </conditionalFormatting>
  <conditionalFormatting sqref="C33">
    <cfRule type="cellIs" dxfId="38561" priority="94" stopIfTrue="1" operator="equal">
      <formula>"1 Modify"</formula>
    </cfRule>
  </conditionalFormatting>
  <conditionalFormatting sqref="C33">
    <cfRule type="cellIs" dxfId="38560" priority="95" stopIfTrue="1" operator="equal">
      <formula>"2 Add"</formula>
    </cfRule>
  </conditionalFormatting>
  <conditionalFormatting sqref="C33">
    <cfRule type="cellIs" dxfId="38559" priority="96" stopIfTrue="1" operator="equal">
      <formula>"3 Delete"</formula>
    </cfRule>
  </conditionalFormatting>
  <conditionalFormatting sqref="C34">
    <cfRule type="cellIs" dxfId="38558" priority="97" stopIfTrue="1" operator="equal">
      <formula>"1 Modify"</formula>
    </cfRule>
  </conditionalFormatting>
  <conditionalFormatting sqref="C34">
    <cfRule type="cellIs" dxfId="38557" priority="98" stopIfTrue="1" operator="equal">
      <formula>"2 Add"</formula>
    </cfRule>
  </conditionalFormatting>
  <conditionalFormatting sqref="C34">
    <cfRule type="cellIs" dxfId="38556" priority="99" stopIfTrue="1" operator="equal">
      <formula>"3 Delete"</formula>
    </cfRule>
  </conditionalFormatting>
  <conditionalFormatting sqref="C35">
    <cfRule type="cellIs" dxfId="38555" priority="100" stopIfTrue="1" operator="equal">
      <formula>"1 Modify"</formula>
    </cfRule>
  </conditionalFormatting>
  <conditionalFormatting sqref="C35">
    <cfRule type="cellIs" dxfId="38554" priority="101" stopIfTrue="1" operator="equal">
      <formula>"2 Add"</formula>
    </cfRule>
  </conditionalFormatting>
  <conditionalFormatting sqref="C35">
    <cfRule type="cellIs" dxfId="38553" priority="102" stopIfTrue="1" operator="equal">
      <formula>"3 Delete"</formula>
    </cfRule>
  </conditionalFormatting>
  <conditionalFormatting sqref="C36">
    <cfRule type="cellIs" dxfId="38552" priority="103" stopIfTrue="1" operator="equal">
      <formula>"1 Modify"</formula>
    </cfRule>
  </conditionalFormatting>
  <conditionalFormatting sqref="C36">
    <cfRule type="cellIs" dxfId="38551" priority="104" stopIfTrue="1" operator="equal">
      <formula>"2 Add"</formula>
    </cfRule>
  </conditionalFormatting>
  <conditionalFormatting sqref="C36">
    <cfRule type="cellIs" dxfId="38550" priority="105" stopIfTrue="1" operator="equal">
      <formula>"3 Delete"</formula>
    </cfRule>
  </conditionalFormatting>
  <conditionalFormatting sqref="C37">
    <cfRule type="cellIs" dxfId="38549" priority="106" stopIfTrue="1" operator="equal">
      <formula>"1 Modify"</formula>
    </cfRule>
  </conditionalFormatting>
  <conditionalFormatting sqref="C37">
    <cfRule type="cellIs" dxfId="38548" priority="107" stopIfTrue="1" operator="equal">
      <formula>"2 Add"</formula>
    </cfRule>
  </conditionalFormatting>
  <conditionalFormatting sqref="C37">
    <cfRule type="cellIs" dxfId="38547" priority="108" stopIfTrue="1" operator="equal">
      <formula>"3 Delete"</formula>
    </cfRule>
  </conditionalFormatting>
  <conditionalFormatting sqref="C38">
    <cfRule type="cellIs" dxfId="38546" priority="109" stopIfTrue="1" operator="equal">
      <formula>"1 Modify"</formula>
    </cfRule>
  </conditionalFormatting>
  <conditionalFormatting sqref="C38">
    <cfRule type="cellIs" dxfId="38545" priority="110" stopIfTrue="1" operator="equal">
      <formula>"2 Add"</formula>
    </cfRule>
  </conditionalFormatting>
  <conditionalFormatting sqref="C38">
    <cfRule type="cellIs" dxfId="38544" priority="111" stopIfTrue="1" operator="equal">
      <formula>"3 Delete"</formula>
    </cfRule>
  </conditionalFormatting>
  <conditionalFormatting sqref="C39">
    <cfRule type="cellIs" dxfId="38543" priority="112" stopIfTrue="1" operator="equal">
      <formula>"1 Modify"</formula>
    </cfRule>
  </conditionalFormatting>
  <conditionalFormatting sqref="C39">
    <cfRule type="cellIs" dxfId="38542" priority="113" stopIfTrue="1" operator="equal">
      <formula>"2 Add"</formula>
    </cfRule>
  </conditionalFormatting>
  <conditionalFormatting sqref="C39">
    <cfRule type="cellIs" dxfId="38541" priority="114" stopIfTrue="1" operator="equal">
      <formula>"3 Delete"</formula>
    </cfRule>
  </conditionalFormatting>
  <conditionalFormatting sqref="C40">
    <cfRule type="cellIs" dxfId="38540" priority="115" stopIfTrue="1" operator="equal">
      <formula>"1 Modify"</formula>
    </cfRule>
  </conditionalFormatting>
  <conditionalFormatting sqref="C40">
    <cfRule type="cellIs" dxfId="38539" priority="116" stopIfTrue="1" operator="equal">
      <formula>"2 Add"</formula>
    </cfRule>
  </conditionalFormatting>
  <conditionalFormatting sqref="C40">
    <cfRule type="cellIs" dxfId="38538" priority="117" stopIfTrue="1" operator="equal">
      <formula>"3 Delete"</formula>
    </cfRule>
  </conditionalFormatting>
  <conditionalFormatting sqref="C41">
    <cfRule type="cellIs" dxfId="38537" priority="118" stopIfTrue="1" operator="equal">
      <formula>"1 Modify"</formula>
    </cfRule>
  </conditionalFormatting>
  <conditionalFormatting sqref="C41">
    <cfRule type="cellIs" dxfId="38536" priority="119" stopIfTrue="1" operator="equal">
      <formula>"2 Add"</formula>
    </cfRule>
  </conditionalFormatting>
  <conditionalFormatting sqref="C41">
    <cfRule type="cellIs" dxfId="38535" priority="120" stopIfTrue="1" operator="equal">
      <formula>"3 Delete"</formula>
    </cfRule>
  </conditionalFormatting>
  <conditionalFormatting sqref="C42">
    <cfRule type="cellIs" dxfId="38534" priority="121" stopIfTrue="1" operator="equal">
      <formula>"1 Modify"</formula>
    </cfRule>
  </conditionalFormatting>
  <conditionalFormatting sqref="C42">
    <cfRule type="cellIs" dxfId="38533" priority="122" stopIfTrue="1" operator="equal">
      <formula>"2 Add"</formula>
    </cfRule>
  </conditionalFormatting>
  <conditionalFormatting sqref="C42">
    <cfRule type="cellIs" dxfId="38532" priority="123" stopIfTrue="1" operator="equal">
      <formula>"3 Delete"</formula>
    </cfRule>
  </conditionalFormatting>
  <conditionalFormatting sqref="C43">
    <cfRule type="cellIs" dxfId="38531" priority="124" stopIfTrue="1" operator="equal">
      <formula>"1 Modify"</formula>
    </cfRule>
  </conditionalFormatting>
  <conditionalFormatting sqref="C43">
    <cfRule type="cellIs" dxfId="38530" priority="125" stopIfTrue="1" operator="equal">
      <formula>"2 Add"</formula>
    </cfRule>
  </conditionalFormatting>
  <conditionalFormatting sqref="C43">
    <cfRule type="cellIs" dxfId="38529" priority="126" stopIfTrue="1" operator="equal">
      <formula>"3 Delete"</formula>
    </cfRule>
  </conditionalFormatting>
  <conditionalFormatting sqref="C44">
    <cfRule type="cellIs" dxfId="38528" priority="127" stopIfTrue="1" operator="equal">
      <formula>"1 Modify"</formula>
    </cfRule>
  </conditionalFormatting>
  <conditionalFormatting sqref="C44">
    <cfRule type="cellIs" dxfId="38527" priority="128" stopIfTrue="1" operator="equal">
      <formula>"2 Add"</formula>
    </cfRule>
  </conditionalFormatting>
  <conditionalFormatting sqref="C44">
    <cfRule type="cellIs" dxfId="38526" priority="129" stopIfTrue="1" operator="equal">
      <formula>"3 Delete"</formula>
    </cfRule>
  </conditionalFormatting>
  <conditionalFormatting sqref="C45">
    <cfRule type="cellIs" dxfId="38525" priority="130" stopIfTrue="1" operator="equal">
      <formula>"1 Modify"</formula>
    </cfRule>
  </conditionalFormatting>
  <conditionalFormatting sqref="C45">
    <cfRule type="cellIs" dxfId="38524" priority="131" stopIfTrue="1" operator="equal">
      <formula>"2 Add"</formula>
    </cfRule>
  </conditionalFormatting>
  <conditionalFormatting sqref="C45">
    <cfRule type="cellIs" dxfId="38523" priority="132" stopIfTrue="1" operator="equal">
      <formula>"3 Delete"</formula>
    </cfRule>
  </conditionalFormatting>
  <conditionalFormatting sqref="C46">
    <cfRule type="cellIs" dxfId="38522" priority="133" stopIfTrue="1" operator="equal">
      <formula>"1 Modify"</formula>
    </cfRule>
  </conditionalFormatting>
  <conditionalFormatting sqref="C46">
    <cfRule type="cellIs" dxfId="38521" priority="134" stopIfTrue="1" operator="equal">
      <formula>"2 Add"</formula>
    </cfRule>
  </conditionalFormatting>
  <conditionalFormatting sqref="C46">
    <cfRule type="cellIs" dxfId="38520" priority="135" stopIfTrue="1" operator="equal">
      <formula>"3 Delete"</formula>
    </cfRule>
  </conditionalFormatting>
  <conditionalFormatting sqref="C47">
    <cfRule type="cellIs" dxfId="38519" priority="136" stopIfTrue="1" operator="equal">
      <formula>"1 Modify"</formula>
    </cfRule>
  </conditionalFormatting>
  <conditionalFormatting sqref="C47">
    <cfRule type="cellIs" dxfId="38518" priority="137" stopIfTrue="1" operator="equal">
      <formula>"2 Add"</formula>
    </cfRule>
  </conditionalFormatting>
  <conditionalFormatting sqref="C47">
    <cfRule type="cellIs" dxfId="38517" priority="138" stopIfTrue="1" operator="equal">
      <formula>"3 Delete"</formula>
    </cfRule>
  </conditionalFormatting>
  <conditionalFormatting sqref="C48">
    <cfRule type="cellIs" dxfId="38516" priority="139" stopIfTrue="1" operator="equal">
      <formula>"1 Modify"</formula>
    </cfRule>
  </conditionalFormatting>
  <conditionalFormatting sqref="C48">
    <cfRule type="cellIs" dxfId="38515" priority="140" stopIfTrue="1" operator="equal">
      <formula>"2 Add"</formula>
    </cfRule>
  </conditionalFormatting>
  <conditionalFormatting sqref="C48">
    <cfRule type="cellIs" dxfId="38514" priority="141" stopIfTrue="1" operator="equal">
      <formula>"3 Delete"</formula>
    </cfRule>
  </conditionalFormatting>
  <conditionalFormatting sqref="C49">
    <cfRule type="cellIs" dxfId="38513" priority="142" stopIfTrue="1" operator="equal">
      <formula>"1 Modify"</formula>
    </cfRule>
  </conditionalFormatting>
  <conditionalFormatting sqref="C49">
    <cfRule type="cellIs" dxfId="38512" priority="143" stopIfTrue="1" operator="equal">
      <formula>"2 Add"</formula>
    </cfRule>
  </conditionalFormatting>
  <conditionalFormatting sqref="C49">
    <cfRule type="cellIs" dxfId="38511" priority="144" stopIfTrue="1" operator="equal">
      <formula>"3 Delete"</formula>
    </cfRule>
  </conditionalFormatting>
  <conditionalFormatting sqref="C50">
    <cfRule type="cellIs" dxfId="38510" priority="145" stopIfTrue="1" operator="equal">
      <formula>"1 Modify"</formula>
    </cfRule>
  </conditionalFormatting>
  <conditionalFormatting sqref="C50">
    <cfRule type="cellIs" dxfId="38509" priority="146" stopIfTrue="1" operator="equal">
      <formula>"2 Add"</formula>
    </cfRule>
  </conditionalFormatting>
  <conditionalFormatting sqref="C50">
    <cfRule type="cellIs" dxfId="38508" priority="147" stopIfTrue="1" operator="equal">
      <formula>"3 Delete"</formula>
    </cfRule>
  </conditionalFormatting>
  <conditionalFormatting sqref="C51">
    <cfRule type="cellIs" dxfId="38507" priority="148" stopIfTrue="1" operator="equal">
      <formula>"1 Modify"</formula>
    </cfRule>
  </conditionalFormatting>
  <conditionalFormatting sqref="C51">
    <cfRule type="cellIs" dxfId="38506" priority="149" stopIfTrue="1" operator="equal">
      <formula>"2 Add"</formula>
    </cfRule>
  </conditionalFormatting>
  <conditionalFormatting sqref="C51">
    <cfRule type="cellIs" dxfId="38505" priority="150" stopIfTrue="1" operator="equal">
      <formula>"3 Delete"</formula>
    </cfRule>
  </conditionalFormatting>
  <conditionalFormatting sqref="C52">
    <cfRule type="cellIs" dxfId="38504" priority="151" stopIfTrue="1" operator="equal">
      <formula>"1 Modify"</formula>
    </cfRule>
  </conditionalFormatting>
  <conditionalFormatting sqref="C52">
    <cfRule type="cellIs" dxfId="38503" priority="152" stopIfTrue="1" operator="equal">
      <formula>"2 Add"</formula>
    </cfRule>
  </conditionalFormatting>
  <conditionalFormatting sqref="C52">
    <cfRule type="cellIs" dxfId="38502" priority="153" stopIfTrue="1" operator="equal">
      <formula>"3 Delete"</formula>
    </cfRule>
  </conditionalFormatting>
  <conditionalFormatting sqref="C53">
    <cfRule type="cellIs" dxfId="38501" priority="154" stopIfTrue="1" operator="equal">
      <formula>"1 Modify"</formula>
    </cfRule>
  </conditionalFormatting>
  <conditionalFormatting sqref="C53">
    <cfRule type="cellIs" dxfId="38500" priority="155" stopIfTrue="1" operator="equal">
      <formula>"2 Add"</formula>
    </cfRule>
  </conditionalFormatting>
  <conditionalFormatting sqref="C53">
    <cfRule type="cellIs" dxfId="38499" priority="156" stopIfTrue="1" operator="equal">
      <formula>"3 Delete"</formula>
    </cfRule>
  </conditionalFormatting>
  <conditionalFormatting sqref="C54">
    <cfRule type="cellIs" dxfId="38498" priority="157" stopIfTrue="1" operator="equal">
      <formula>"1 Modify"</formula>
    </cfRule>
  </conditionalFormatting>
  <conditionalFormatting sqref="C54">
    <cfRule type="cellIs" dxfId="38497" priority="158" stopIfTrue="1" operator="equal">
      <formula>"2 Add"</formula>
    </cfRule>
  </conditionalFormatting>
  <conditionalFormatting sqref="C54">
    <cfRule type="cellIs" dxfId="38496" priority="159" stopIfTrue="1" operator="equal">
      <formula>"3 Delete"</formula>
    </cfRule>
  </conditionalFormatting>
  <conditionalFormatting sqref="C55">
    <cfRule type="cellIs" dxfId="38495" priority="160" stopIfTrue="1" operator="equal">
      <formula>"1 Modify"</formula>
    </cfRule>
  </conditionalFormatting>
  <conditionalFormatting sqref="C55">
    <cfRule type="cellIs" dxfId="38494" priority="161" stopIfTrue="1" operator="equal">
      <formula>"2 Add"</formula>
    </cfRule>
  </conditionalFormatting>
  <conditionalFormatting sqref="C55">
    <cfRule type="cellIs" dxfId="38493" priority="162" stopIfTrue="1" operator="equal">
      <formula>"3 Delete"</formula>
    </cfRule>
  </conditionalFormatting>
  <conditionalFormatting sqref="C56">
    <cfRule type="cellIs" dxfId="38492" priority="163" stopIfTrue="1" operator="equal">
      <formula>"1 Modify"</formula>
    </cfRule>
  </conditionalFormatting>
  <conditionalFormatting sqref="C56">
    <cfRule type="cellIs" dxfId="38491" priority="164" stopIfTrue="1" operator="equal">
      <formula>"2 Add"</formula>
    </cfRule>
  </conditionalFormatting>
  <conditionalFormatting sqref="C56">
    <cfRule type="cellIs" dxfId="38490" priority="165" stopIfTrue="1" operator="equal">
      <formula>"3 Delete"</formula>
    </cfRule>
  </conditionalFormatting>
  <conditionalFormatting sqref="C57">
    <cfRule type="cellIs" dxfId="38489" priority="166" stopIfTrue="1" operator="equal">
      <formula>"1 Modify"</formula>
    </cfRule>
  </conditionalFormatting>
  <conditionalFormatting sqref="C57">
    <cfRule type="cellIs" dxfId="38488" priority="167" stopIfTrue="1" operator="equal">
      <formula>"2 Add"</formula>
    </cfRule>
  </conditionalFormatting>
  <conditionalFormatting sqref="C57">
    <cfRule type="cellIs" dxfId="38487" priority="168" stopIfTrue="1" operator="equal">
      <formula>"3 Delete"</formula>
    </cfRule>
  </conditionalFormatting>
  <conditionalFormatting sqref="C58">
    <cfRule type="cellIs" dxfId="38486" priority="169" stopIfTrue="1" operator="equal">
      <formula>"1 Modify"</formula>
    </cfRule>
  </conditionalFormatting>
  <conditionalFormatting sqref="C58">
    <cfRule type="cellIs" dxfId="38485" priority="170" stopIfTrue="1" operator="equal">
      <formula>"2 Add"</formula>
    </cfRule>
  </conditionalFormatting>
  <conditionalFormatting sqref="C58">
    <cfRule type="cellIs" dxfId="38484" priority="171" stopIfTrue="1" operator="equal">
      <formula>"3 Delete"</formula>
    </cfRule>
  </conditionalFormatting>
  <conditionalFormatting sqref="C59">
    <cfRule type="cellIs" dxfId="38483" priority="172" stopIfTrue="1" operator="equal">
      <formula>"1 Modify"</formula>
    </cfRule>
  </conditionalFormatting>
  <conditionalFormatting sqref="C59">
    <cfRule type="cellIs" dxfId="38482" priority="173" stopIfTrue="1" operator="equal">
      <formula>"2 Add"</formula>
    </cfRule>
  </conditionalFormatting>
  <conditionalFormatting sqref="C59">
    <cfRule type="cellIs" dxfId="38481" priority="174" stopIfTrue="1" operator="equal">
      <formula>"3 Delete"</formula>
    </cfRule>
  </conditionalFormatting>
  <conditionalFormatting sqref="C60">
    <cfRule type="cellIs" dxfId="38480" priority="175" stopIfTrue="1" operator="equal">
      <formula>"1 Modify"</formula>
    </cfRule>
  </conditionalFormatting>
  <conditionalFormatting sqref="C60">
    <cfRule type="cellIs" dxfId="38479" priority="176" stopIfTrue="1" operator="equal">
      <formula>"2 Add"</formula>
    </cfRule>
  </conditionalFormatting>
  <conditionalFormatting sqref="C60">
    <cfRule type="cellIs" dxfId="38478" priority="177" stopIfTrue="1" operator="equal">
      <formula>"3 Delete"</formula>
    </cfRule>
  </conditionalFormatting>
  <conditionalFormatting sqref="C61">
    <cfRule type="cellIs" dxfId="38477" priority="178" stopIfTrue="1" operator="equal">
      <formula>"1 Modify"</formula>
    </cfRule>
  </conditionalFormatting>
  <conditionalFormatting sqref="C61">
    <cfRule type="cellIs" dxfId="38476" priority="179" stopIfTrue="1" operator="equal">
      <formula>"2 Add"</formula>
    </cfRule>
  </conditionalFormatting>
  <conditionalFormatting sqref="C61">
    <cfRule type="cellIs" dxfId="38475" priority="180" stopIfTrue="1" operator="equal">
      <formula>"3 Delete"</formula>
    </cfRule>
  </conditionalFormatting>
  <conditionalFormatting sqref="C62">
    <cfRule type="cellIs" dxfId="38474" priority="181" stopIfTrue="1" operator="equal">
      <formula>"1 Modify"</formula>
    </cfRule>
  </conditionalFormatting>
  <conditionalFormatting sqref="C62">
    <cfRule type="cellIs" dxfId="38473" priority="182" stopIfTrue="1" operator="equal">
      <formula>"2 Add"</formula>
    </cfRule>
  </conditionalFormatting>
  <conditionalFormatting sqref="C62">
    <cfRule type="cellIs" dxfId="38472" priority="183" stopIfTrue="1" operator="equal">
      <formula>"3 Delete"</formula>
    </cfRule>
  </conditionalFormatting>
  <conditionalFormatting sqref="C63">
    <cfRule type="cellIs" dxfId="38471" priority="184" stopIfTrue="1" operator="equal">
      <formula>"1 Modify"</formula>
    </cfRule>
  </conditionalFormatting>
  <conditionalFormatting sqref="C63">
    <cfRule type="cellIs" dxfId="38470" priority="185" stopIfTrue="1" operator="equal">
      <formula>"2 Add"</formula>
    </cfRule>
  </conditionalFormatting>
  <conditionalFormatting sqref="C63">
    <cfRule type="cellIs" dxfId="38469" priority="186" stopIfTrue="1" operator="equal">
      <formula>"3 Delete"</formula>
    </cfRule>
  </conditionalFormatting>
  <conditionalFormatting sqref="C64">
    <cfRule type="cellIs" dxfId="38468" priority="187" stopIfTrue="1" operator="equal">
      <formula>"1 Modify"</formula>
    </cfRule>
  </conditionalFormatting>
  <conditionalFormatting sqref="C64">
    <cfRule type="cellIs" dxfId="38467" priority="188" stopIfTrue="1" operator="equal">
      <formula>"2 Add"</formula>
    </cfRule>
  </conditionalFormatting>
  <conditionalFormatting sqref="C64">
    <cfRule type="cellIs" dxfId="38466" priority="189" stopIfTrue="1" operator="equal">
      <formula>"3 Delete"</formula>
    </cfRule>
  </conditionalFormatting>
  <conditionalFormatting sqref="C65">
    <cfRule type="cellIs" dxfId="38465" priority="190" stopIfTrue="1" operator="equal">
      <formula>"1 Modify"</formula>
    </cfRule>
  </conditionalFormatting>
  <conditionalFormatting sqref="C65">
    <cfRule type="cellIs" dxfId="38464" priority="191" stopIfTrue="1" operator="equal">
      <formula>"2 Add"</formula>
    </cfRule>
  </conditionalFormatting>
  <conditionalFormatting sqref="C65">
    <cfRule type="cellIs" dxfId="38463" priority="192" stopIfTrue="1" operator="equal">
      <formula>"3 Delete"</formula>
    </cfRule>
  </conditionalFormatting>
  <conditionalFormatting sqref="C66">
    <cfRule type="cellIs" dxfId="38462" priority="193" stopIfTrue="1" operator="equal">
      <formula>"1 Modify"</formula>
    </cfRule>
  </conditionalFormatting>
  <conditionalFormatting sqref="C66">
    <cfRule type="cellIs" dxfId="38461" priority="194" stopIfTrue="1" operator="equal">
      <formula>"2 Add"</formula>
    </cfRule>
  </conditionalFormatting>
  <conditionalFormatting sqref="C66">
    <cfRule type="cellIs" dxfId="38460" priority="195" stopIfTrue="1" operator="equal">
      <formula>"3 Delete"</formula>
    </cfRule>
  </conditionalFormatting>
  <conditionalFormatting sqref="C67">
    <cfRule type="cellIs" dxfId="38459" priority="196" stopIfTrue="1" operator="equal">
      <formula>"1 Modify"</formula>
    </cfRule>
  </conditionalFormatting>
  <conditionalFormatting sqref="C67">
    <cfRule type="cellIs" dxfId="38458" priority="197" stopIfTrue="1" operator="equal">
      <formula>"2 Add"</formula>
    </cfRule>
  </conditionalFormatting>
  <conditionalFormatting sqref="C67">
    <cfRule type="cellIs" dxfId="38457" priority="198" stopIfTrue="1" operator="equal">
      <formula>"3 Delete"</formula>
    </cfRule>
  </conditionalFormatting>
  <conditionalFormatting sqref="C68">
    <cfRule type="cellIs" dxfId="38456" priority="199" stopIfTrue="1" operator="equal">
      <formula>"1 Modify"</formula>
    </cfRule>
  </conditionalFormatting>
  <conditionalFormatting sqref="C68">
    <cfRule type="cellIs" dxfId="38455" priority="200" stopIfTrue="1" operator="equal">
      <formula>"2 Add"</formula>
    </cfRule>
  </conditionalFormatting>
  <conditionalFormatting sqref="C68">
    <cfRule type="cellIs" dxfId="38454" priority="201" stopIfTrue="1" operator="equal">
      <formula>"3 Delete"</formula>
    </cfRule>
  </conditionalFormatting>
  <conditionalFormatting sqref="C69">
    <cfRule type="cellIs" dxfId="38453" priority="202" stopIfTrue="1" operator="equal">
      <formula>"1 Modify"</formula>
    </cfRule>
  </conditionalFormatting>
  <conditionalFormatting sqref="C69">
    <cfRule type="cellIs" dxfId="38452" priority="203" stopIfTrue="1" operator="equal">
      <formula>"2 Add"</formula>
    </cfRule>
  </conditionalFormatting>
  <conditionalFormatting sqref="C69">
    <cfRule type="cellIs" dxfId="38451" priority="204" stopIfTrue="1" operator="equal">
      <formula>"3 Delete"</formula>
    </cfRule>
  </conditionalFormatting>
  <conditionalFormatting sqref="C70">
    <cfRule type="cellIs" dxfId="38450" priority="205" stopIfTrue="1" operator="equal">
      <formula>"1 Modify"</formula>
    </cfRule>
  </conditionalFormatting>
  <conditionalFormatting sqref="C70">
    <cfRule type="cellIs" dxfId="38449" priority="206" stopIfTrue="1" operator="equal">
      <formula>"2 Add"</formula>
    </cfRule>
  </conditionalFormatting>
  <conditionalFormatting sqref="C70">
    <cfRule type="cellIs" dxfId="38448" priority="207" stopIfTrue="1" operator="equal">
      <formula>"3 Delete"</formula>
    </cfRule>
  </conditionalFormatting>
  <conditionalFormatting sqref="C71">
    <cfRule type="cellIs" dxfId="38447" priority="208" stopIfTrue="1" operator="equal">
      <formula>"1 Modify"</formula>
    </cfRule>
  </conditionalFormatting>
  <conditionalFormatting sqref="C71">
    <cfRule type="cellIs" dxfId="38446" priority="209" stopIfTrue="1" operator="equal">
      <formula>"2 Add"</formula>
    </cfRule>
  </conditionalFormatting>
  <conditionalFormatting sqref="C71">
    <cfRule type="cellIs" dxfId="38445" priority="210" stopIfTrue="1" operator="equal">
      <formula>"3 Delete"</formula>
    </cfRule>
  </conditionalFormatting>
  <conditionalFormatting sqref="C72">
    <cfRule type="cellIs" dxfId="38444" priority="211" stopIfTrue="1" operator="equal">
      <formula>"1 Modify"</formula>
    </cfRule>
  </conditionalFormatting>
  <conditionalFormatting sqref="C72">
    <cfRule type="cellIs" dxfId="38443" priority="212" stopIfTrue="1" operator="equal">
      <formula>"2 Add"</formula>
    </cfRule>
  </conditionalFormatting>
  <conditionalFormatting sqref="C72">
    <cfRule type="cellIs" dxfId="38442" priority="213" stopIfTrue="1" operator="equal">
      <formula>"3 Delete"</formula>
    </cfRule>
  </conditionalFormatting>
  <conditionalFormatting sqref="C73">
    <cfRule type="cellIs" dxfId="38441" priority="214" stopIfTrue="1" operator="equal">
      <formula>"1 Modify"</formula>
    </cfRule>
  </conditionalFormatting>
  <conditionalFormatting sqref="C73">
    <cfRule type="cellIs" dxfId="38440" priority="215" stopIfTrue="1" operator="equal">
      <formula>"2 Add"</formula>
    </cfRule>
  </conditionalFormatting>
  <conditionalFormatting sqref="C73">
    <cfRule type="cellIs" dxfId="38439" priority="216" stopIfTrue="1" operator="equal">
      <formula>"3 Delete"</formula>
    </cfRule>
  </conditionalFormatting>
  <conditionalFormatting sqref="C74">
    <cfRule type="cellIs" dxfId="38438" priority="217" stopIfTrue="1" operator="equal">
      <formula>"1 Modify"</formula>
    </cfRule>
  </conditionalFormatting>
  <conditionalFormatting sqref="C74">
    <cfRule type="cellIs" dxfId="38437" priority="218" stopIfTrue="1" operator="equal">
      <formula>"2 Add"</formula>
    </cfRule>
  </conditionalFormatting>
  <conditionalFormatting sqref="C74">
    <cfRule type="cellIs" dxfId="38436" priority="219" stopIfTrue="1" operator="equal">
      <formula>"3 Delete"</formula>
    </cfRule>
  </conditionalFormatting>
  <conditionalFormatting sqref="C75">
    <cfRule type="cellIs" dxfId="38435" priority="220" stopIfTrue="1" operator="equal">
      <formula>"1 Modify"</formula>
    </cfRule>
  </conditionalFormatting>
  <conditionalFormatting sqref="C75">
    <cfRule type="cellIs" dxfId="38434" priority="221" stopIfTrue="1" operator="equal">
      <formula>"2 Add"</formula>
    </cfRule>
  </conditionalFormatting>
  <conditionalFormatting sqref="C75">
    <cfRule type="cellIs" dxfId="38433" priority="222" stopIfTrue="1" operator="equal">
      <formula>"3 Delete"</formula>
    </cfRule>
  </conditionalFormatting>
  <conditionalFormatting sqref="C76">
    <cfRule type="cellIs" dxfId="38432" priority="223" stopIfTrue="1" operator="equal">
      <formula>"1 Modify"</formula>
    </cfRule>
  </conditionalFormatting>
  <conditionalFormatting sqref="C76">
    <cfRule type="cellIs" dxfId="38431" priority="224" stopIfTrue="1" operator="equal">
      <formula>"2 Add"</formula>
    </cfRule>
  </conditionalFormatting>
  <conditionalFormatting sqref="C76">
    <cfRule type="cellIs" dxfId="38430" priority="225" stopIfTrue="1" operator="equal">
      <formula>"3 Delete"</formula>
    </cfRule>
  </conditionalFormatting>
  <conditionalFormatting sqref="C77">
    <cfRule type="cellIs" dxfId="38429" priority="226" stopIfTrue="1" operator="equal">
      <formula>"1 Modify"</formula>
    </cfRule>
  </conditionalFormatting>
  <conditionalFormatting sqref="C77">
    <cfRule type="cellIs" dxfId="38428" priority="227" stopIfTrue="1" operator="equal">
      <formula>"2 Add"</formula>
    </cfRule>
  </conditionalFormatting>
  <conditionalFormatting sqref="C77">
    <cfRule type="cellIs" dxfId="38427" priority="228" stopIfTrue="1" operator="equal">
      <formula>"3 Delete"</formula>
    </cfRule>
  </conditionalFormatting>
  <conditionalFormatting sqref="C78">
    <cfRule type="cellIs" dxfId="38426" priority="229" stopIfTrue="1" operator="equal">
      <formula>"1 Modify"</formula>
    </cfRule>
  </conditionalFormatting>
  <conditionalFormatting sqref="C78">
    <cfRule type="cellIs" dxfId="38425" priority="230" stopIfTrue="1" operator="equal">
      <formula>"2 Add"</formula>
    </cfRule>
  </conditionalFormatting>
  <conditionalFormatting sqref="C78">
    <cfRule type="cellIs" dxfId="38424" priority="231" stopIfTrue="1" operator="equal">
      <formula>"3 Delete"</formula>
    </cfRule>
  </conditionalFormatting>
  <conditionalFormatting sqref="C79">
    <cfRule type="cellIs" dxfId="38423" priority="232" stopIfTrue="1" operator="equal">
      <formula>"1 Modify"</formula>
    </cfRule>
  </conditionalFormatting>
  <conditionalFormatting sqref="C79">
    <cfRule type="cellIs" dxfId="38422" priority="233" stopIfTrue="1" operator="equal">
      <formula>"2 Add"</formula>
    </cfRule>
  </conditionalFormatting>
  <conditionalFormatting sqref="C79">
    <cfRule type="cellIs" dxfId="38421" priority="234" stopIfTrue="1" operator="equal">
      <formula>"3 Delete"</formula>
    </cfRule>
  </conditionalFormatting>
  <conditionalFormatting sqref="C80">
    <cfRule type="cellIs" dxfId="38420" priority="235" stopIfTrue="1" operator="equal">
      <formula>"1 Modify"</formula>
    </cfRule>
  </conditionalFormatting>
  <conditionalFormatting sqref="C80">
    <cfRule type="cellIs" dxfId="38419" priority="236" stopIfTrue="1" operator="equal">
      <formula>"2 Add"</formula>
    </cfRule>
  </conditionalFormatting>
  <conditionalFormatting sqref="C80">
    <cfRule type="cellIs" dxfId="38418" priority="237" stopIfTrue="1" operator="equal">
      <formula>"3 Delete"</formula>
    </cfRule>
  </conditionalFormatting>
  <conditionalFormatting sqref="C81">
    <cfRule type="cellIs" dxfId="38417" priority="238" stopIfTrue="1" operator="equal">
      <formula>"1 Modify"</formula>
    </cfRule>
  </conditionalFormatting>
  <conditionalFormatting sqref="C81">
    <cfRule type="cellIs" dxfId="38416" priority="239" stopIfTrue="1" operator="equal">
      <formula>"2 Add"</formula>
    </cfRule>
  </conditionalFormatting>
  <conditionalFormatting sqref="C81">
    <cfRule type="cellIs" dxfId="38415" priority="240" stopIfTrue="1" operator="equal">
      <formula>"3 Delete"</formula>
    </cfRule>
  </conditionalFormatting>
  <conditionalFormatting sqref="C82">
    <cfRule type="cellIs" dxfId="38414" priority="241" stopIfTrue="1" operator="equal">
      <formula>"1 Modify"</formula>
    </cfRule>
  </conditionalFormatting>
  <conditionalFormatting sqref="C82">
    <cfRule type="cellIs" dxfId="38413" priority="242" stopIfTrue="1" operator="equal">
      <formula>"2 Add"</formula>
    </cfRule>
  </conditionalFormatting>
  <conditionalFormatting sqref="C82">
    <cfRule type="cellIs" dxfId="38412" priority="243" stopIfTrue="1" operator="equal">
      <formula>"3 Delete"</formula>
    </cfRule>
  </conditionalFormatting>
  <conditionalFormatting sqref="C83">
    <cfRule type="cellIs" dxfId="38411" priority="244" stopIfTrue="1" operator="equal">
      <formula>"1 Modify"</formula>
    </cfRule>
  </conditionalFormatting>
  <conditionalFormatting sqref="C83">
    <cfRule type="cellIs" dxfId="38410" priority="245" stopIfTrue="1" operator="equal">
      <formula>"2 Add"</formula>
    </cfRule>
  </conditionalFormatting>
  <conditionalFormatting sqref="C83">
    <cfRule type="cellIs" dxfId="38409" priority="246" stopIfTrue="1" operator="equal">
      <formula>"3 Delete"</formula>
    </cfRule>
  </conditionalFormatting>
  <conditionalFormatting sqref="C84">
    <cfRule type="cellIs" dxfId="38408" priority="247" stopIfTrue="1" operator="equal">
      <formula>"1 Modify"</formula>
    </cfRule>
  </conditionalFormatting>
  <conditionalFormatting sqref="C84">
    <cfRule type="cellIs" dxfId="38407" priority="248" stopIfTrue="1" operator="equal">
      <formula>"2 Add"</formula>
    </cfRule>
  </conditionalFormatting>
  <conditionalFormatting sqref="C84">
    <cfRule type="cellIs" dxfId="38406" priority="249" stopIfTrue="1" operator="equal">
      <formula>"3 Delete"</formula>
    </cfRule>
  </conditionalFormatting>
  <conditionalFormatting sqref="C85">
    <cfRule type="cellIs" dxfId="38405" priority="250" stopIfTrue="1" operator="equal">
      <formula>"1 Modify"</formula>
    </cfRule>
  </conditionalFormatting>
  <conditionalFormatting sqref="C85">
    <cfRule type="cellIs" dxfId="38404" priority="251" stopIfTrue="1" operator="equal">
      <formula>"2 Add"</formula>
    </cfRule>
  </conditionalFormatting>
  <conditionalFormatting sqref="C85">
    <cfRule type="cellIs" dxfId="38403" priority="252" stopIfTrue="1" operator="equal">
      <formula>"3 Delete"</formula>
    </cfRule>
  </conditionalFormatting>
  <conditionalFormatting sqref="C86">
    <cfRule type="cellIs" dxfId="38402" priority="253" stopIfTrue="1" operator="equal">
      <formula>"1 Modify"</formula>
    </cfRule>
  </conditionalFormatting>
  <conditionalFormatting sqref="C86">
    <cfRule type="cellIs" dxfId="38401" priority="254" stopIfTrue="1" operator="equal">
      <formula>"2 Add"</formula>
    </cfRule>
  </conditionalFormatting>
  <conditionalFormatting sqref="C86">
    <cfRule type="cellIs" dxfId="38400" priority="255" stopIfTrue="1" operator="equal">
      <formula>"3 Delete"</formula>
    </cfRule>
  </conditionalFormatting>
  <conditionalFormatting sqref="C87">
    <cfRule type="cellIs" dxfId="38399" priority="256" stopIfTrue="1" operator="equal">
      <formula>"1 Modify"</formula>
    </cfRule>
  </conditionalFormatting>
  <conditionalFormatting sqref="C87">
    <cfRule type="cellIs" dxfId="38398" priority="257" stopIfTrue="1" operator="equal">
      <formula>"2 Add"</formula>
    </cfRule>
  </conditionalFormatting>
  <conditionalFormatting sqref="C87">
    <cfRule type="cellIs" dxfId="38397" priority="258" stopIfTrue="1" operator="equal">
      <formula>"3 Delete"</formula>
    </cfRule>
  </conditionalFormatting>
  <conditionalFormatting sqref="C88">
    <cfRule type="cellIs" dxfId="38396" priority="259" stopIfTrue="1" operator="equal">
      <formula>"1 Modify"</formula>
    </cfRule>
  </conditionalFormatting>
  <conditionalFormatting sqref="C88">
    <cfRule type="cellIs" dxfId="38395" priority="260" stopIfTrue="1" operator="equal">
      <formula>"2 Add"</formula>
    </cfRule>
  </conditionalFormatting>
  <conditionalFormatting sqref="C88">
    <cfRule type="cellIs" dxfId="38394" priority="261" stopIfTrue="1" operator="equal">
      <formula>"3 Delete"</formula>
    </cfRule>
  </conditionalFormatting>
  <conditionalFormatting sqref="C89">
    <cfRule type="cellIs" dxfId="38393" priority="262" stopIfTrue="1" operator="equal">
      <formula>"1 Modify"</formula>
    </cfRule>
  </conditionalFormatting>
  <conditionalFormatting sqref="C89">
    <cfRule type="cellIs" dxfId="38392" priority="263" stopIfTrue="1" operator="equal">
      <formula>"2 Add"</formula>
    </cfRule>
  </conditionalFormatting>
  <conditionalFormatting sqref="C89">
    <cfRule type="cellIs" dxfId="38391" priority="264" stopIfTrue="1" operator="equal">
      <formula>"3 Delete"</formula>
    </cfRule>
  </conditionalFormatting>
  <conditionalFormatting sqref="C90">
    <cfRule type="cellIs" dxfId="38390" priority="265" stopIfTrue="1" operator="equal">
      <formula>"1 Modify"</formula>
    </cfRule>
  </conditionalFormatting>
  <conditionalFormatting sqref="C90">
    <cfRule type="cellIs" dxfId="38389" priority="266" stopIfTrue="1" operator="equal">
      <formula>"2 Add"</formula>
    </cfRule>
  </conditionalFormatting>
  <conditionalFormatting sqref="C90">
    <cfRule type="cellIs" dxfId="38388" priority="267" stopIfTrue="1" operator="equal">
      <formula>"3 Delete"</formula>
    </cfRule>
  </conditionalFormatting>
  <conditionalFormatting sqref="C91">
    <cfRule type="cellIs" dxfId="38114" priority="268" stopIfTrue="1" operator="equal">
      <formula>"1 Modify"</formula>
    </cfRule>
  </conditionalFormatting>
  <conditionalFormatting sqref="C91">
    <cfRule type="cellIs" dxfId="38113" priority="269" stopIfTrue="1" operator="equal">
      <formula>"2 Add"</formula>
    </cfRule>
  </conditionalFormatting>
  <conditionalFormatting sqref="C91">
    <cfRule type="cellIs" dxfId="38112" priority="270" stopIfTrue="1" operator="equal">
      <formula>"3 Delete"</formula>
    </cfRule>
  </conditionalFormatting>
  <conditionalFormatting sqref="C92">
    <cfRule type="cellIs" dxfId="38111" priority="271" stopIfTrue="1" operator="equal">
      <formula>"1 Modify"</formula>
    </cfRule>
  </conditionalFormatting>
  <conditionalFormatting sqref="C92">
    <cfRule type="cellIs" dxfId="38110" priority="272" stopIfTrue="1" operator="equal">
      <formula>"2 Add"</formula>
    </cfRule>
  </conditionalFormatting>
  <conditionalFormatting sqref="C92">
    <cfRule type="cellIs" dxfId="38109" priority="273" stopIfTrue="1" operator="equal">
      <formula>"3 Delete"</formula>
    </cfRule>
  </conditionalFormatting>
  <conditionalFormatting sqref="C93">
    <cfRule type="cellIs" dxfId="38108" priority="274" stopIfTrue="1" operator="equal">
      <formula>"1 Modify"</formula>
    </cfRule>
  </conditionalFormatting>
  <conditionalFormatting sqref="C93">
    <cfRule type="cellIs" dxfId="38107" priority="275" stopIfTrue="1" operator="equal">
      <formula>"2 Add"</formula>
    </cfRule>
  </conditionalFormatting>
  <conditionalFormatting sqref="C93">
    <cfRule type="cellIs" dxfId="38106" priority="276" stopIfTrue="1" operator="equal">
      <formula>"3 Delete"</formula>
    </cfRule>
  </conditionalFormatting>
  <conditionalFormatting sqref="C94">
    <cfRule type="cellIs" dxfId="38105" priority="277" stopIfTrue="1" operator="equal">
      <formula>"1 Modify"</formula>
    </cfRule>
  </conditionalFormatting>
  <conditionalFormatting sqref="C94">
    <cfRule type="cellIs" dxfId="38104" priority="278" stopIfTrue="1" operator="equal">
      <formula>"2 Add"</formula>
    </cfRule>
  </conditionalFormatting>
  <conditionalFormatting sqref="C94">
    <cfRule type="cellIs" dxfId="38103" priority="279" stopIfTrue="1" operator="equal">
      <formula>"3 Delete"</formula>
    </cfRule>
  </conditionalFormatting>
  <conditionalFormatting sqref="C95">
    <cfRule type="cellIs" dxfId="38102" priority="280" stopIfTrue="1" operator="equal">
      <formula>"1 Modify"</formula>
    </cfRule>
  </conditionalFormatting>
  <conditionalFormatting sqref="C95">
    <cfRule type="cellIs" dxfId="38101" priority="281" stopIfTrue="1" operator="equal">
      <formula>"2 Add"</formula>
    </cfRule>
  </conditionalFormatting>
  <conditionalFormatting sqref="C95">
    <cfRule type="cellIs" dxfId="38100" priority="282" stopIfTrue="1" operator="equal">
      <formula>"3 Delete"</formula>
    </cfRule>
  </conditionalFormatting>
  <conditionalFormatting sqref="C96">
    <cfRule type="cellIs" dxfId="38099" priority="283" stopIfTrue="1" operator="equal">
      <formula>"1 Modify"</formula>
    </cfRule>
  </conditionalFormatting>
  <conditionalFormatting sqref="C96">
    <cfRule type="cellIs" dxfId="38098" priority="284" stopIfTrue="1" operator="equal">
      <formula>"2 Add"</formula>
    </cfRule>
  </conditionalFormatting>
  <conditionalFormatting sqref="C96">
    <cfRule type="cellIs" dxfId="38097" priority="285" stopIfTrue="1" operator="equal">
      <formula>"3 Delete"</formula>
    </cfRule>
  </conditionalFormatting>
  <conditionalFormatting sqref="C97">
    <cfRule type="cellIs" dxfId="38096" priority="286" stopIfTrue="1" operator="equal">
      <formula>"1 Modify"</formula>
    </cfRule>
  </conditionalFormatting>
  <conditionalFormatting sqref="C97">
    <cfRule type="cellIs" dxfId="38095" priority="287" stopIfTrue="1" operator="equal">
      <formula>"2 Add"</formula>
    </cfRule>
  </conditionalFormatting>
  <conditionalFormatting sqref="C97">
    <cfRule type="cellIs" dxfId="38094" priority="288" stopIfTrue="1" operator="equal">
      <formula>"3 Delete"</formula>
    </cfRule>
  </conditionalFormatting>
  <conditionalFormatting sqref="C98">
    <cfRule type="cellIs" dxfId="38093" priority="289" stopIfTrue="1" operator="equal">
      <formula>"1 Modify"</formula>
    </cfRule>
  </conditionalFormatting>
  <conditionalFormatting sqref="C98">
    <cfRule type="cellIs" dxfId="38092" priority="290" stopIfTrue="1" operator="equal">
      <formula>"2 Add"</formula>
    </cfRule>
  </conditionalFormatting>
  <conditionalFormatting sqref="C98">
    <cfRule type="cellIs" dxfId="38091" priority="291" stopIfTrue="1" operator="equal">
      <formula>"3 Delete"</formula>
    </cfRule>
  </conditionalFormatting>
  <conditionalFormatting sqref="C99">
    <cfRule type="cellIs" dxfId="38090" priority="292" stopIfTrue="1" operator="equal">
      <formula>"1 Modify"</formula>
    </cfRule>
  </conditionalFormatting>
  <conditionalFormatting sqref="C99">
    <cfRule type="cellIs" dxfId="38089" priority="293" stopIfTrue="1" operator="equal">
      <formula>"2 Add"</formula>
    </cfRule>
  </conditionalFormatting>
  <conditionalFormatting sqref="C99">
    <cfRule type="cellIs" dxfId="38088" priority="294" stopIfTrue="1" operator="equal">
      <formula>"3 Delete"</formula>
    </cfRule>
  </conditionalFormatting>
  <conditionalFormatting sqref="C100">
    <cfRule type="cellIs" dxfId="38087" priority="295" stopIfTrue="1" operator="equal">
      <formula>"1 Modify"</formula>
    </cfRule>
  </conditionalFormatting>
  <conditionalFormatting sqref="C100">
    <cfRule type="cellIs" dxfId="38086" priority="296" stopIfTrue="1" operator="equal">
      <formula>"2 Add"</formula>
    </cfRule>
  </conditionalFormatting>
  <conditionalFormatting sqref="C100">
    <cfRule type="cellIs" dxfId="38085" priority="297" stopIfTrue="1" operator="equal">
      <formula>"3 Delete"</formula>
    </cfRule>
  </conditionalFormatting>
  <conditionalFormatting sqref="C101">
    <cfRule type="cellIs" dxfId="38084" priority="298" stopIfTrue="1" operator="equal">
      <formula>"1 Modify"</formula>
    </cfRule>
  </conditionalFormatting>
  <conditionalFormatting sqref="C101">
    <cfRule type="cellIs" dxfId="38083" priority="299" stopIfTrue="1" operator="equal">
      <formula>"2 Add"</formula>
    </cfRule>
  </conditionalFormatting>
  <conditionalFormatting sqref="C101">
    <cfRule type="cellIs" dxfId="38082" priority="300" stopIfTrue="1" operator="equal">
      <formula>"3 Delete"</formula>
    </cfRule>
  </conditionalFormatting>
  <conditionalFormatting sqref="C102">
    <cfRule type="cellIs" dxfId="38116" priority="301" stopIfTrue="1" operator="equal">
      <formula>"1 Modify"</formula>
    </cfRule>
    <cfRule type="cellIs" priority="312" stopIfTrue="1" operator="equal">
      <formula>"3 Delete"</formula>
    </cfRule>
    <cfRule type="cellIs" priority="315" stopIfTrue="1" operator="equal">
      <formula>"3 Delete"</formula>
    </cfRule>
    <cfRule type="cellIs" priority="318" stopIfTrue="1" operator="equal">
      <formula>"3 Delete"</formula>
    </cfRule>
    <cfRule type="cellIs" priority="321" stopIfTrue="1" operator="equal">
      <formula>"3 Delete"</formula>
    </cfRule>
  </conditionalFormatting>
  <conditionalFormatting sqref="C102">
    <cfRule type="cellIs" dxfId="38117" priority="302" stopIfTrue="1" operator="equal">
      <formula>"2 Add"</formula>
    </cfRule>
    <cfRule type="cellIs" priority="313" stopIfTrue="1" operator="equal">
      <formula>"1 Modify"</formula>
    </cfRule>
    <cfRule type="cellIs" priority="316" stopIfTrue="1" operator="equal">
      <formula>"1 Modify"</formula>
    </cfRule>
    <cfRule type="cellIs" priority="319" stopIfTrue="1" operator="equal">
      <formula>"1 Modify"</formula>
    </cfRule>
  </conditionalFormatting>
  <conditionalFormatting sqref="C102">
    <cfRule type="cellIs" dxfId="38115" priority="303" stopIfTrue="1" operator="equal">
      <formula>"3 Delete"</formula>
    </cfRule>
    <cfRule type="cellIs" priority="314" stopIfTrue="1" operator="equal">
      <formula>"2 Add"</formula>
    </cfRule>
    <cfRule type="cellIs" priority="317" stopIfTrue="1" operator="equal">
      <formula>"2 Add"</formula>
    </cfRule>
    <cfRule type="cellIs" priority="320" stopIfTrue="1" operator="equal">
      <formula>"2 Add"</formula>
    </cfRule>
  </conditionalFormatting>
  <conditionalFormatting sqref="C102">
    <cfRule type="cellIs" priority="304" stopIfTrue="1" operator="equal">
      <formula>"1 Modify"</formula>
    </cfRule>
    <cfRule type="cellIs" priority="311" stopIfTrue="1" operator="equal">
      <formula>"2 Add"</formula>
    </cfRule>
  </conditionalFormatting>
  <conditionalFormatting sqref="C102">
    <cfRule type="cellIs" priority="305" stopIfTrue="1" operator="equal">
      <formula>"2 Add"</formula>
    </cfRule>
  </conditionalFormatting>
  <conditionalFormatting sqref="C102">
    <cfRule type="cellIs" priority="306" stopIfTrue="1" operator="equal">
      <formula>"3 Delete"</formula>
    </cfRule>
  </conditionalFormatting>
  <conditionalFormatting sqref="C102">
    <cfRule type="cellIs" priority="307" stopIfTrue="1" operator="equal">
      <formula>"1 Modify"</formula>
    </cfRule>
  </conditionalFormatting>
  <conditionalFormatting sqref="C102">
    <cfRule type="cellIs" priority="308" stopIfTrue="1" operator="equal">
      <formula>"2 Add"</formula>
    </cfRule>
  </conditionalFormatting>
  <conditionalFormatting sqref="C102">
    <cfRule type="cellIs" priority="309" stopIfTrue="1" operator="equal">
      <formula>"3 Delete"</formula>
    </cfRule>
  </conditionalFormatting>
  <conditionalFormatting sqref="C102">
    <cfRule type="cellIs" priority="310" stopIfTrue="1" operator="equal">
      <formula>"1 Modify"</formula>
    </cfRule>
  </conditionalFormatting>
  <conditionalFormatting sqref="C91">
    <cfRule type="cellIs" priority="322" stopIfTrue="1" operator="equal">
      <formula>"1 Modify"</formula>
    </cfRule>
  </conditionalFormatting>
  <conditionalFormatting sqref="C91">
    <cfRule type="cellIs" priority="323" stopIfTrue="1" operator="equal">
      <formula>"2 Add"</formula>
    </cfRule>
  </conditionalFormatting>
  <conditionalFormatting sqref="C91">
    <cfRule type="cellIs" priority="324" stopIfTrue="1" operator="equal">
      <formula>"3 Delete"</formula>
    </cfRule>
  </conditionalFormatting>
  <conditionalFormatting sqref="C92">
    <cfRule type="cellIs" priority="325" stopIfTrue="1" operator="equal">
      <formula>"1 Modify"</formula>
    </cfRule>
  </conditionalFormatting>
  <conditionalFormatting sqref="C92">
    <cfRule type="cellIs" priority="326" stopIfTrue="1" operator="equal">
      <formula>"2 Add"</formula>
    </cfRule>
  </conditionalFormatting>
  <conditionalFormatting sqref="C92">
    <cfRule type="cellIs" priority="327" stopIfTrue="1" operator="equal">
      <formula>"3 Delete"</formula>
    </cfRule>
  </conditionalFormatting>
  <conditionalFormatting sqref="C93">
    <cfRule type="cellIs" priority="328" stopIfTrue="1" operator="equal">
      <formula>"1 Modify"</formula>
    </cfRule>
  </conditionalFormatting>
  <conditionalFormatting sqref="C93">
    <cfRule type="cellIs" priority="329" stopIfTrue="1" operator="equal">
      <formula>"2 Add"</formula>
    </cfRule>
  </conditionalFormatting>
  <conditionalFormatting sqref="C93">
    <cfRule type="cellIs" priority="330" stopIfTrue="1" operator="equal">
      <formula>"3 Delete"</formula>
    </cfRule>
  </conditionalFormatting>
  <conditionalFormatting sqref="C94">
    <cfRule type="cellIs" priority="331" stopIfTrue="1" operator="equal">
      <formula>"1 Modify"</formula>
    </cfRule>
  </conditionalFormatting>
  <conditionalFormatting sqref="C94">
    <cfRule type="cellIs" priority="332" stopIfTrue="1" operator="equal">
      <formula>"2 Add"</formula>
    </cfRule>
  </conditionalFormatting>
  <conditionalFormatting sqref="C94">
    <cfRule type="cellIs" priority="333" stopIfTrue="1" operator="equal">
      <formula>"3 Delete"</formula>
    </cfRule>
  </conditionalFormatting>
  <conditionalFormatting sqref="C95">
    <cfRule type="cellIs" priority="334" stopIfTrue="1" operator="equal">
      <formula>"1 Modify"</formula>
    </cfRule>
  </conditionalFormatting>
  <conditionalFormatting sqref="C95">
    <cfRule type="cellIs" priority="335" stopIfTrue="1" operator="equal">
      <formula>"2 Add"</formula>
    </cfRule>
  </conditionalFormatting>
  <conditionalFormatting sqref="C95">
    <cfRule type="cellIs" priority="336" stopIfTrue="1" operator="equal">
      <formula>"3 Delete"</formula>
    </cfRule>
  </conditionalFormatting>
  <conditionalFormatting sqref="C96">
    <cfRule type="cellIs" priority="337" stopIfTrue="1" operator="equal">
      <formula>"1 Modify"</formula>
    </cfRule>
  </conditionalFormatting>
  <conditionalFormatting sqref="C96">
    <cfRule type="cellIs" priority="338" stopIfTrue="1" operator="equal">
      <formula>"2 Add"</formula>
    </cfRule>
  </conditionalFormatting>
  <conditionalFormatting sqref="C96">
    <cfRule type="cellIs" priority="339" stopIfTrue="1" operator="equal">
      <formula>"3 Delete"</formula>
    </cfRule>
  </conditionalFormatting>
  <conditionalFormatting sqref="C97">
    <cfRule type="cellIs" priority="340" stopIfTrue="1" operator="equal">
      <formula>"1 Modify"</formula>
    </cfRule>
  </conditionalFormatting>
  <conditionalFormatting sqref="C97">
    <cfRule type="cellIs" priority="341" stopIfTrue="1" operator="equal">
      <formula>"2 Add"</formula>
    </cfRule>
  </conditionalFormatting>
  <conditionalFormatting sqref="C97">
    <cfRule type="cellIs" priority="342" stopIfTrue="1" operator="equal">
      <formula>"3 Delete"</formula>
    </cfRule>
  </conditionalFormatting>
  <conditionalFormatting sqref="C98">
    <cfRule type="cellIs" priority="343" stopIfTrue="1" operator="equal">
      <formula>"1 Modify"</formula>
    </cfRule>
  </conditionalFormatting>
  <conditionalFormatting sqref="C98">
    <cfRule type="cellIs" priority="344" stopIfTrue="1" operator="equal">
      <formula>"2 Add"</formula>
    </cfRule>
  </conditionalFormatting>
  <conditionalFormatting sqref="C98">
    <cfRule type="cellIs" priority="345" stopIfTrue="1" operator="equal">
      <formula>"3 Delete"</formula>
    </cfRule>
  </conditionalFormatting>
  <conditionalFormatting sqref="C99">
    <cfRule type="cellIs" priority="346" stopIfTrue="1" operator="equal">
      <formula>"1 Modify"</formula>
    </cfRule>
  </conditionalFormatting>
  <conditionalFormatting sqref="C99">
    <cfRule type="cellIs" priority="347" stopIfTrue="1" operator="equal">
      <formula>"2 Add"</formula>
    </cfRule>
  </conditionalFormatting>
  <conditionalFormatting sqref="C99">
    <cfRule type="cellIs" priority="348" stopIfTrue="1" operator="equal">
      <formula>"3 Delete"</formula>
    </cfRule>
  </conditionalFormatting>
  <conditionalFormatting sqref="C100">
    <cfRule type="cellIs" priority="349" stopIfTrue="1" operator="equal">
      <formula>"1 Modify"</formula>
    </cfRule>
  </conditionalFormatting>
  <conditionalFormatting sqref="C100">
    <cfRule type="cellIs" priority="350" stopIfTrue="1" operator="equal">
      <formula>"2 Add"</formula>
    </cfRule>
  </conditionalFormatting>
  <conditionalFormatting sqref="C100">
    <cfRule type="cellIs" priority="351" stopIfTrue="1" operator="equal">
      <formula>"3 Delete"</formula>
    </cfRule>
  </conditionalFormatting>
  <conditionalFormatting sqref="C101">
    <cfRule type="cellIs" priority="352" stopIfTrue="1" operator="equal">
      <formula>"1 Modify"</formula>
    </cfRule>
  </conditionalFormatting>
  <conditionalFormatting sqref="C101">
    <cfRule type="cellIs" priority="353" stopIfTrue="1" operator="equal">
      <formula>"2 Add"</formula>
    </cfRule>
  </conditionalFormatting>
  <conditionalFormatting sqref="C101">
    <cfRule type="cellIs" priority="354" stopIfTrue="1" operator="equal">
      <formula>"3 Delete"</formula>
    </cfRule>
  </conditionalFormatting>
  <conditionalFormatting sqref="C101">
    <cfRule type="cellIs" priority="355" stopIfTrue="1" operator="equal">
      <formula>"1 Modify"</formula>
    </cfRule>
  </conditionalFormatting>
  <conditionalFormatting sqref="C101">
    <cfRule type="cellIs" priority="356" stopIfTrue="1" operator="equal">
      <formula>"2 Add"</formula>
    </cfRule>
  </conditionalFormatting>
  <conditionalFormatting sqref="C101">
    <cfRule type="cellIs" priority="357" stopIfTrue="1" operator="equal">
      <formula>"3 Delete"</formula>
    </cfRule>
  </conditionalFormatting>
  <dataValidations count="4">
    <dataValidation type="custom" allowBlank="1" showInputMessage="1" showErrorMessage="1" error="Column is read-only" sqref="C2:E1048576">
      <formula1>FALSE</formula1>
    </dataValidation>
    <dataValidation type="custom" allowBlank="1" showInputMessage="1" showErrorMessage="1" error="Column Headers are read-only" sqref="C1:I1">
      <formula1>FALSE</formula1>
    </dataValidation>
    <dataValidation type="date" operator="greaterThan" allowBlank="1" showInputMessage="1" showErrorMessage="1" error="Value must be a Date" sqref="I2:I1048576">
      <formula1>1</formula1>
    </dataValidation>
    <dataValidation type="custom" allowBlank="1" showInputMessage="1" showErrorMessage="1" error="Column Headers are read-only" sqref="A1">
      <formula1>FALSE</formula1>
    </dataValidation>
  </dataValidations>
  <hyperlinks>
    <hyperlink ref="A2" tooltip="macro:RefreshSheet" display="Refresh"/>
    <hyperlink ref="A3" tooltip="macro:SaveActiveSheet" display="Save"/>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dimension ref="A1:K176"/>
  <sheetViews>
    <sheetView workbookViewId="0">
      <selection activeCell="H2" sqref="H2"/>
    </sheetView>
  </sheetViews>
  <sheetFormatPr baseColWidth="10" defaultRowHeight="15" x14ac:dyDescent="0.25"/>
  <cols>
    <col min="2" max="2" width="5.28515625" customWidth="1"/>
    <col min="4" max="4" width="11.42578125" style="5"/>
    <col min="5" max="5" width="11.42578125" style="3"/>
    <col min="6" max="6" width="11.42578125" style="5"/>
    <col min="7" max="7" width="11.42578125" style="9"/>
    <col min="8" max="8" width="21.7109375" style="5" customWidth="1"/>
    <col min="9" max="10" width="11.42578125" style="5"/>
    <col min="11" max="11" width="11.42578125" style="7"/>
  </cols>
  <sheetData>
    <row r="1" spans="1:11" x14ac:dyDescent="0.25">
      <c r="A1" s="1" t="s">
        <v>54</v>
      </c>
      <c r="C1" s="1" t="s">
        <v>5</v>
      </c>
      <c r="D1" s="6" t="s">
        <v>50</v>
      </c>
      <c r="E1" s="4" t="s">
        <v>6</v>
      </c>
      <c r="F1" s="6" t="s">
        <v>7</v>
      </c>
      <c r="G1" s="10" t="s">
        <v>11</v>
      </c>
      <c r="H1" s="6" t="s">
        <v>367</v>
      </c>
      <c r="I1" s="6" t="s">
        <v>368</v>
      </c>
      <c r="J1" s="6" t="s">
        <v>9</v>
      </c>
      <c r="K1" s="8" t="s">
        <v>10</v>
      </c>
    </row>
    <row r="2" spans="1:11" x14ac:dyDescent="0.25">
      <c r="A2" s="2" t="s">
        <v>366</v>
      </c>
      <c r="C2" t="str">
        <f>IF(COUNTBLANK(E2:K2) = 7,"",IF(AND(NOT(ISBLANK(E2)),COUNTBLANK(E2:K2) = 6),"3 Delete",IF(ISBLANK(E2),"2 Add",IF(SHA1Range(E2:K2) = "91e06fdb92c497d885062b1457cfd07ba93b2d86","0 Original","1 Modify"))))</f>
        <v>0 Original</v>
      </c>
      <c r="D2" s="5" t="s">
        <v>958</v>
      </c>
      <c r="E2" s="3">
        <v>1001</v>
      </c>
      <c r="F2" s="5" t="s">
        <v>959</v>
      </c>
      <c r="G2" s="9">
        <v>5.99</v>
      </c>
      <c r="H2" s="5" t="s">
        <v>387</v>
      </c>
      <c r="I2" s="5" t="s">
        <v>960</v>
      </c>
    </row>
    <row r="3" spans="1:11" x14ac:dyDescent="0.25">
      <c r="A3" s="2" t="s">
        <v>55</v>
      </c>
      <c r="C3" t="str">
        <f>IF(COUNTBLANK(E3:K3) = 7,"",IF(AND(NOT(ISBLANK(E3)),COUNTBLANK(E3:K3) = 6),"3 Delete",IF(ISBLANK(E3),"2 Add",IF(SHA1Range(E3:K3) = "2817e220e90b38113c8b231351b4f1230f571f62","0 Original","1 Modify"))))</f>
        <v>0 Original</v>
      </c>
      <c r="D3" s="5" t="s">
        <v>955</v>
      </c>
      <c r="E3" s="3">
        <v>1002</v>
      </c>
      <c r="F3" s="5" t="s">
        <v>956</v>
      </c>
      <c r="G3" s="9">
        <v>8.99</v>
      </c>
      <c r="H3" s="5" t="s">
        <v>402</v>
      </c>
      <c r="I3" s="5" t="s">
        <v>957</v>
      </c>
    </row>
    <row r="4" spans="1:11" x14ac:dyDescent="0.25">
      <c r="C4" t="str">
        <f>IF(COUNTBLANK(E4:K4) = 7,"",IF(AND(NOT(ISBLANK(E4)),COUNTBLANK(E4:K4) = 6),"3 Delete",IF(ISBLANK(E4),"2 Add",IF(SHA1Range(E4:K4) = "21b99db89624d56f0dc1097993c6b0365fa2e57c","0 Original","1 Modify"))))</f>
        <v>0 Original</v>
      </c>
      <c r="D4" s="5" t="s">
        <v>952</v>
      </c>
      <c r="E4" s="3">
        <v>1003</v>
      </c>
      <c r="F4" s="5" t="s">
        <v>953</v>
      </c>
      <c r="G4" s="9">
        <v>9.99</v>
      </c>
      <c r="H4" s="5" t="s">
        <v>402</v>
      </c>
      <c r="I4" s="5" t="s">
        <v>954</v>
      </c>
    </row>
    <row r="5" spans="1:11" x14ac:dyDescent="0.25">
      <c r="C5" t="str">
        <f>IF(COUNTBLANK(E5:K5) = 7,"",IF(AND(NOT(ISBLANK(E5)),COUNTBLANK(E5:K5) = 6),"3 Delete",IF(ISBLANK(E5),"2 Add",IF(SHA1Range(E5:K5) = "d15481933140034c7f322af58b7d6af8ebdbcbb8","0 Original","1 Modify"))))</f>
        <v>0 Original</v>
      </c>
      <c r="D5" s="5" t="s">
        <v>948</v>
      </c>
      <c r="E5" s="3">
        <v>1004</v>
      </c>
      <c r="F5" s="5" t="s">
        <v>949</v>
      </c>
      <c r="G5" s="9">
        <v>4.99</v>
      </c>
      <c r="H5" s="5" t="s">
        <v>950</v>
      </c>
      <c r="I5" s="5" t="s">
        <v>951</v>
      </c>
    </row>
    <row r="6" spans="1:11" x14ac:dyDescent="0.25">
      <c r="C6" t="str">
        <f>IF(COUNTBLANK(E6:K6) = 7,"",IF(AND(NOT(ISBLANK(E6)),COUNTBLANK(E6:K6) = 6),"3 Delete",IF(ISBLANK(E6),"2 Add",IF(SHA1Range(E6:K6) = "05d81a338d0f381b81c1960fa071733266366d5a","0 Original","1 Modify"))))</f>
        <v>0 Original</v>
      </c>
      <c r="D6" s="5" t="s">
        <v>945</v>
      </c>
      <c r="E6" s="3">
        <v>1005</v>
      </c>
      <c r="F6" s="5" t="s">
        <v>946</v>
      </c>
      <c r="G6" s="9">
        <v>4.99</v>
      </c>
      <c r="H6" s="5" t="s">
        <v>402</v>
      </c>
      <c r="I6" s="5" t="s">
        <v>947</v>
      </c>
    </row>
    <row r="7" spans="1:11" x14ac:dyDescent="0.25">
      <c r="C7" t="str">
        <f>IF(COUNTBLANK(E7:K7) = 7,"",IF(AND(NOT(ISBLANK(E7)),COUNTBLANK(E7:K7) = 6),"3 Delete",IF(ISBLANK(E7),"2 Add",IF(SHA1Range(E7:K7) = "9c619567d480dd8bde525d1a12cb143aea85b107","0 Original","1 Modify"))))</f>
        <v>0 Original</v>
      </c>
      <c r="D7" s="5" t="s">
        <v>942</v>
      </c>
      <c r="E7" s="3">
        <v>1006</v>
      </c>
      <c r="F7" s="5" t="s">
        <v>943</v>
      </c>
      <c r="G7" s="9">
        <v>6.99</v>
      </c>
      <c r="H7" s="5" t="s">
        <v>695</v>
      </c>
      <c r="I7" s="5" t="s">
        <v>944</v>
      </c>
    </row>
    <row r="8" spans="1:11" x14ac:dyDescent="0.25">
      <c r="C8" t="str">
        <f>IF(COUNTBLANK(E8:K8) = 7,"",IF(AND(NOT(ISBLANK(E8)),COUNTBLANK(E8:K8) = 6),"3 Delete",IF(ISBLANK(E8),"2 Add",IF(SHA1Range(E8:K8) = "7f5229b7f34f20aeb66a2b1e130a3b65d980e9fb","0 Original","1 Modify"))))</f>
        <v>0 Original</v>
      </c>
      <c r="D8" s="5" t="s">
        <v>939</v>
      </c>
      <c r="E8" s="3">
        <v>1007</v>
      </c>
      <c r="F8" s="5" t="s">
        <v>940</v>
      </c>
      <c r="G8" s="9">
        <v>5.99</v>
      </c>
      <c r="H8" s="5" t="s">
        <v>695</v>
      </c>
      <c r="I8" s="5" t="s">
        <v>941</v>
      </c>
    </row>
    <row r="9" spans="1:11" x14ac:dyDescent="0.25">
      <c r="C9" t="str">
        <f>IF(COUNTBLANK(E9:K9) = 7,"",IF(AND(NOT(ISBLANK(E9)),COUNTBLANK(E9:K9) = 6),"3 Delete",IF(ISBLANK(E9),"2 Add",IF(SHA1Range(E9:K9) = "17dd39f461f3bab9d379dceabd06ebbdd5ac2200","0 Original","1 Modify"))))</f>
        <v>0 Original</v>
      </c>
      <c r="D9" s="5" t="s">
        <v>935</v>
      </c>
      <c r="E9" s="3">
        <v>1008</v>
      </c>
      <c r="F9" s="5" t="s">
        <v>936</v>
      </c>
      <c r="G9" s="9">
        <v>6.99</v>
      </c>
      <c r="H9" s="5" t="s">
        <v>937</v>
      </c>
      <c r="I9" s="5" t="s">
        <v>938</v>
      </c>
    </row>
    <row r="10" spans="1:11" x14ac:dyDescent="0.25">
      <c r="C10" t="str">
        <f>IF(COUNTBLANK(E10:K10) = 7,"",IF(AND(NOT(ISBLANK(E10)),COUNTBLANK(E10:K10) = 6),"3 Delete",IF(ISBLANK(E10),"2 Add",IF(SHA1Range(E10:K10) = "9a9f4d090cdf1a147bbc0fe4410ed481386508d6","0 Original","1 Modify"))))</f>
        <v>0 Original</v>
      </c>
      <c r="D10" s="5" t="s">
        <v>932</v>
      </c>
      <c r="E10" s="3">
        <v>1009</v>
      </c>
      <c r="F10" s="5" t="s">
        <v>933</v>
      </c>
      <c r="G10" s="9">
        <v>9.99</v>
      </c>
      <c r="H10" s="5" t="s">
        <v>402</v>
      </c>
      <c r="I10" s="5" t="s">
        <v>934</v>
      </c>
    </row>
    <row r="11" spans="1:11" x14ac:dyDescent="0.25">
      <c r="C11" t="str">
        <f>IF(COUNTBLANK(E11:K11) = 7,"",IF(AND(NOT(ISBLANK(E11)),COUNTBLANK(E11:K11) = 6),"3 Delete",IF(ISBLANK(E11),"2 Add",IF(SHA1Range(E11:K11) = "6bd09dee953ec3beb7db6598cd989718fd483738","0 Original","1 Modify"))))</f>
        <v>0 Original</v>
      </c>
      <c r="D11" s="5" t="s">
        <v>929</v>
      </c>
      <c r="E11" s="3">
        <v>1010</v>
      </c>
      <c r="F11" s="5" t="s">
        <v>930</v>
      </c>
      <c r="G11" s="9">
        <v>9.99</v>
      </c>
      <c r="H11" s="5" t="s">
        <v>402</v>
      </c>
      <c r="I11" s="5" t="s">
        <v>931</v>
      </c>
    </row>
    <row r="12" spans="1:11" x14ac:dyDescent="0.25">
      <c r="C12" t="str">
        <f>IF(COUNTBLANK(E12:K12) = 7,"",IF(AND(NOT(ISBLANK(E12)),COUNTBLANK(E12:K12) = 6),"3 Delete",IF(ISBLANK(E12),"2 Add",IF(SHA1Range(E12:K12) = "a873dea9eaa4eb124e152f630915df174b3b490d","0 Original","1 Modify"))))</f>
        <v>0 Original</v>
      </c>
      <c r="D12" s="5" t="s">
        <v>926</v>
      </c>
      <c r="E12" s="3">
        <v>1011</v>
      </c>
      <c r="F12" s="5" t="s">
        <v>927</v>
      </c>
      <c r="G12" s="9">
        <v>9.99</v>
      </c>
      <c r="H12" s="5" t="s">
        <v>402</v>
      </c>
      <c r="I12" s="5" t="s">
        <v>928</v>
      </c>
    </row>
    <row r="13" spans="1:11" x14ac:dyDescent="0.25">
      <c r="C13" t="str">
        <f>IF(COUNTBLANK(E13:K13) = 7,"",IF(AND(NOT(ISBLANK(E13)),COUNTBLANK(E13:K13) = 6),"3 Delete",IF(ISBLANK(E13),"2 Add",IF(SHA1Range(E13:K13) = "c49c7100ad6d4769084949195f5fe246b535621c","0 Original","1 Modify"))))</f>
        <v>0 Original</v>
      </c>
      <c r="D13" s="5" t="s">
        <v>922</v>
      </c>
      <c r="E13" s="3">
        <v>1012</v>
      </c>
      <c r="F13" s="5" t="s">
        <v>923</v>
      </c>
      <c r="G13" s="9">
        <v>5.99</v>
      </c>
      <c r="H13" s="5" t="s">
        <v>924</v>
      </c>
      <c r="I13" s="5" t="s">
        <v>925</v>
      </c>
    </row>
    <row r="14" spans="1:11" x14ac:dyDescent="0.25">
      <c r="C14" t="str">
        <f>IF(COUNTBLANK(E14:K14) = 7,"",IF(AND(NOT(ISBLANK(E14)),COUNTBLANK(E14:K14) = 6),"3 Delete",IF(ISBLANK(E14),"2 Add",IF(SHA1Range(E14:K14) = "f8eeed3dafebaae3956831228fe7e7d20256b14c","0 Original","1 Modify"))))</f>
        <v>0 Original</v>
      </c>
      <c r="D14" s="5" t="s">
        <v>915</v>
      </c>
      <c r="E14" s="3">
        <v>1014</v>
      </c>
      <c r="F14" s="5" t="s">
        <v>916</v>
      </c>
      <c r="G14" s="9">
        <v>9.99</v>
      </c>
      <c r="H14" s="5" t="s">
        <v>402</v>
      </c>
      <c r="I14" s="5" t="s">
        <v>917</v>
      </c>
    </row>
    <row r="15" spans="1:11" x14ac:dyDescent="0.25">
      <c r="C15" t="str">
        <f>IF(COUNTBLANK(E15:K15) = 7,"",IF(AND(NOT(ISBLANK(E15)),COUNTBLANK(E15:K15) = 6),"3 Delete",IF(ISBLANK(E15),"2 Add",IF(SHA1Range(E15:K15) = "f2b8d2ba71f08bb8a952d0ebe38348ec74b4c411","0 Original","1 Modify"))))</f>
        <v>0 Original</v>
      </c>
      <c r="D15" s="5" t="s">
        <v>918</v>
      </c>
      <c r="E15" s="3">
        <v>1013</v>
      </c>
      <c r="F15" s="5" t="s">
        <v>919</v>
      </c>
      <c r="G15" s="9">
        <v>8.99</v>
      </c>
      <c r="H15" s="5" t="s">
        <v>920</v>
      </c>
      <c r="I15" s="5" t="s">
        <v>921</v>
      </c>
    </row>
    <row r="16" spans="1:11" x14ac:dyDescent="0.25">
      <c r="C16" t="str">
        <f>IF(COUNTBLANK(E16:K16) = 7,"",IF(AND(NOT(ISBLANK(E16)),COUNTBLANK(E16:K16) = 6),"3 Delete",IF(ISBLANK(E16),"2 Add",IF(SHA1Range(E16:K16) = "ad80c6df8be1ae874ffe911816539076de3e0ada","0 Original","1 Modify"))))</f>
        <v>0 Original</v>
      </c>
      <c r="D16" s="5" t="s">
        <v>912</v>
      </c>
      <c r="E16" s="3">
        <v>1015</v>
      </c>
      <c r="F16" s="5" t="s">
        <v>913</v>
      </c>
      <c r="G16" s="9">
        <v>6.99</v>
      </c>
      <c r="H16" s="5" t="s">
        <v>387</v>
      </c>
      <c r="I16" s="5" t="s">
        <v>914</v>
      </c>
    </row>
    <row r="17" spans="3:9" x14ac:dyDescent="0.25">
      <c r="C17" t="str">
        <f>IF(COUNTBLANK(E17:K17) = 7,"",IF(AND(NOT(ISBLANK(E17)),COUNTBLANK(E17:K17) = 6),"3 Delete",IF(ISBLANK(E17),"2 Add",IF(SHA1Range(E17:K17) = "c9375d5a06c11658ee9f8be439db0fa6aca0a368","0 Original","1 Modify"))))</f>
        <v>0 Original</v>
      </c>
      <c r="D17" s="5" t="s">
        <v>909</v>
      </c>
      <c r="E17" s="3">
        <v>1016</v>
      </c>
      <c r="F17" s="5" t="s">
        <v>910</v>
      </c>
      <c r="G17" s="9">
        <v>5.99</v>
      </c>
      <c r="H17" s="5" t="s">
        <v>737</v>
      </c>
      <c r="I17" s="5" t="s">
        <v>911</v>
      </c>
    </row>
    <row r="18" spans="3:9" x14ac:dyDescent="0.25">
      <c r="C18" t="str">
        <f>IF(COUNTBLANK(E18:K18) = 7,"",IF(AND(NOT(ISBLANK(E18)),COUNTBLANK(E18:K18) = 6),"3 Delete",IF(ISBLANK(E18),"2 Add",IF(SHA1Range(E18:K18) = "60558d10969818dd821a4967e2f1e4707a71151a","0 Original","1 Modify"))))</f>
        <v>0 Original</v>
      </c>
      <c r="D18" s="5" t="s">
        <v>906</v>
      </c>
      <c r="E18" s="3">
        <v>1017</v>
      </c>
      <c r="F18" s="5" t="s">
        <v>907</v>
      </c>
      <c r="G18" s="9">
        <v>8.99</v>
      </c>
      <c r="H18" s="5" t="s">
        <v>602</v>
      </c>
      <c r="I18" s="5" t="s">
        <v>908</v>
      </c>
    </row>
    <row r="19" spans="3:9" x14ac:dyDescent="0.25">
      <c r="C19" t="str">
        <f>IF(COUNTBLANK(E19:K19) = 7,"",IF(AND(NOT(ISBLANK(E19)),COUNTBLANK(E19:K19) = 6),"3 Delete",IF(ISBLANK(E19),"2 Add",IF(SHA1Range(E19:K19) = "fc257bd4519582ee0b1cb7ee6aa89b8e871a3ace","0 Original","1 Modify"))))</f>
        <v>0 Original</v>
      </c>
      <c r="D19" s="5" t="s">
        <v>903</v>
      </c>
      <c r="E19" s="3">
        <v>1018</v>
      </c>
      <c r="F19" s="5" t="s">
        <v>904</v>
      </c>
      <c r="G19" s="9">
        <v>8.99</v>
      </c>
      <c r="H19" s="5" t="s">
        <v>379</v>
      </c>
      <c r="I19" s="5" t="s">
        <v>905</v>
      </c>
    </row>
    <row r="20" spans="3:9" x14ac:dyDescent="0.25">
      <c r="C20" t="str">
        <f>IF(COUNTBLANK(E20:K20) = 7,"",IF(AND(NOT(ISBLANK(E20)),COUNTBLANK(E20:K20) = 6),"3 Delete",IF(ISBLANK(E20),"2 Add",IF(SHA1Range(E20:K20) = "ff04b2384ed58954a8cc02e364e5093430fd4415","0 Original","1 Modify"))))</f>
        <v>0 Original</v>
      </c>
      <c r="D20" s="5" t="s">
        <v>900</v>
      </c>
      <c r="E20" s="3">
        <v>1019</v>
      </c>
      <c r="F20" s="5" t="s">
        <v>901</v>
      </c>
      <c r="G20" s="9">
        <v>4.99</v>
      </c>
      <c r="H20" s="5" t="s">
        <v>594</v>
      </c>
      <c r="I20" s="5" t="s">
        <v>902</v>
      </c>
    </row>
    <row r="21" spans="3:9" x14ac:dyDescent="0.25">
      <c r="C21" t="str">
        <f>IF(COUNTBLANK(E21:K21) = 7,"",IF(AND(NOT(ISBLANK(E21)),COUNTBLANK(E21:K21) = 6),"3 Delete",IF(ISBLANK(E21),"2 Add",IF(SHA1Range(E21:K21) = "073ba573cf36b28203fea9e1f4ee6b03eac264fe","0 Original","1 Modify"))))</f>
        <v>0 Original</v>
      </c>
      <c r="D21" s="5" t="s">
        <v>897</v>
      </c>
      <c r="E21" s="3">
        <v>1020</v>
      </c>
      <c r="F21" s="5" t="s">
        <v>898</v>
      </c>
      <c r="G21" s="9">
        <v>6.99</v>
      </c>
      <c r="H21" s="5" t="s">
        <v>695</v>
      </c>
      <c r="I21" s="5" t="s">
        <v>899</v>
      </c>
    </row>
    <row r="22" spans="3:9" x14ac:dyDescent="0.25">
      <c r="C22" t="str">
        <f>IF(COUNTBLANK(E22:K22) = 7,"",IF(AND(NOT(ISBLANK(E22)),COUNTBLANK(E22:K22) = 6),"3 Delete",IF(ISBLANK(E22),"2 Add",IF(SHA1Range(E22:K22) = "bfcc9094da2d3ec5b7be68723bc82fd261e06c8d","0 Original","1 Modify"))))</f>
        <v>0 Original</v>
      </c>
      <c r="D22" s="5" t="s">
        <v>894</v>
      </c>
      <c r="E22" s="3">
        <v>1021</v>
      </c>
      <c r="F22" s="5" t="s">
        <v>895</v>
      </c>
      <c r="G22" s="9">
        <v>7.99</v>
      </c>
      <c r="H22" s="5" t="s">
        <v>383</v>
      </c>
      <c r="I22" s="5" t="s">
        <v>896</v>
      </c>
    </row>
    <row r="23" spans="3:9" x14ac:dyDescent="0.25">
      <c r="C23" t="str">
        <f>IF(COUNTBLANK(E23:K23) = 7,"",IF(AND(NOT(ISBLANK(E23)),COUNTBLANK(E23:K23) = 6),"3 Delete",IF(ISBLANK(E23),"2 Add",IF(SHA1Range(E23:K23) = "5c593ef8511fd594294deac85d0ff2b37c15dc66","0 Original","1 Modify"))))</f>
        <v>0 Original</v>
      </c>
      <c r="D23" s="5" t="s">
        <v>891</v>
      </c>
      <c r="E23" s="3">
        <v>1022</v>
      </c>
      <c r="F23" s="5" t="s">
        <v>892</v>
      </c>
      <c r="G23" s="9">
        <v>8.99</v>
      </c>
      <c r="H23" s="5" t="s">
        <v>387</v>
      </c>
      <c r="I23" s="5" t="s">
        <v>893</v>
      </c>
    </row>
    <row r="24" spans="3:9" x14ac:dyDescent="0.25">
      <c r="C24" t="str">
        <f>IF(COUNTBLANK(E24:K24) = 7,"",IF(AND(NOT(ISBLANK(E24)),COUNTBLANK(E24:K24) = 6),"3 Delete",IF(ISBLANK(E24),"2 Add",IF(SHA1Range(E24:K24) = "89d63e64e2278aa19f55e746b657abf3b4ae102e","0 Original","1 Modify"))))</f>
        <v>0 Original</v>
      </c>
      <c r="D24" s="5" t="s">
        <v>887</v>
      </c>
      <c r="E24" s="3">
        <v>1023</v>
      </c>
      <c r="F24" s="5" t="s">
        <v>888</v>
      </c>
      <c r="G24" s="9">
        <v>8.99</v>
      </c>
      <c r="H24" s="5" t="s">
        <v>889</v>
      </c>
      <c r="I24" s="5" t="s">
        <v>890</v>
      </c>
    </row>
    <row r="25" spans="3:9" x14ac:dyDescent="0.25">
      <c r="C25" t="str">
        <f>IF(COUNTBLANK(E25:K25) = 7,"",IF(AND(NOT(ISBLANK(E25)),COUNTBLANK(E25:K25) = 6),"3 Delete",IF(ISBLANK(E25),"2 Add",IF(SHA1Range(E25:K25) = "c456fed013b6727376c923670de8470d51d9e35e","0 Original","1 Modify"))))</f>
        <v>0 Original</v>
      </c>
      <c r="D25" s="5" t="s">
        <v>884</v>
      </c>
      <c r="E25" s="3">
        <v>1024</v>
      </c>
      <c r="F25" s="5" t="s">
        <v>885</v>
      </c>
      <c r="G25" s="9">
        <v>5.99</v>
      </c>
      <c r="H25" s="5" t="s">
        <v>383</v>
      </c>
      <c r="I25" s="5" t="s">
        <v>886</v>
      </c>
    </row>
    <row r="26" spans="3:9" x14ac:dyDescent="0.25">
      <c r="C26" t="str">
        <f>IF(COUNTBLANK(E26:K26) = 7,"",IF(AND(NOT(ISBLANK(E26)),COUNTBLANK(E26:K26) = 6),"3 Delete",IF(ISBLANK(E26),"2 Add",IF(SHA1Range(E26:K26) = "57d611fa8d1b5feab38bf28cdd4dcf3995ffce93","0 Original","1 Modify"))))</f>
        <v>0 Original</v>
      </c>
      <c r="D26" s="5" t="s">
        <v>881</v>
      </c>
      <c r="E26" s="3">
        <v>1025</v>
      </c>
      <c r="F26" s="5" t="s">
        <v>882</v>
      </c>
      <c r="G26" s="9">
        <v>4.99</v>
      </c>
      <c r="H26" s="5" t="s">
        <v>383</v>
      </c>
      <c r="I26" s="5" t="s">
        <v>883</v>
      </c>
    </row>
    <row r="27" spans="3:9" x14ac:dyDescent="0.25">
      <c r="C27" t="str">
        <f>IF(COUNTBLANK(E27:K27) = 7,"",IF(AND(NOT(ISBLANK(E27)),COUNTBLANK(E27:K27) = 6),"3 Delete",IF(ISBLANK(E27),"2 Add",IF(SHA1Range(E27:K27) = "f06cdabb46af8a792789312264dfa87cebd728eb","0 Original","1 Modify"))))</f>
        <v>0 Original</v>
      </c>
      <c r="D27" s="5" t="s">
        <v>878</v>
      </c>
      <c r="E27" s="3">
        <v>1026</v>
      </c>
      <c r="F27" s="5" t="s">
        <v>879</v>
      </c>
      <c r="G27" s="9">
        <v>8.99</v>
      </c>
      <c r="H27" s="5" t="s">
        <v>394</v>
      </c>
      <c r="I27" s="5" t="s">
        <v>880</v>
      </c>
    </row>
    <row r="28" spans="3:9" x14ac:dyDescent="0.25">
      <c r="C28" t="str">
        <f>IF(COUNTBLANK(E28:K28) = 7,"",IF(AND(NOT(ISBLANK(E28)),COUNTBLANK(E28:K28) = 6),"3 Delete",IF(ISBLANK(E28),"2 Add",IF(SHA1Range(E28:K28) = "92121d48f4d4ca96b4582ca1d3a2f4315996fc55","0 Original","1 Modify"))))</f>
        <v>0 Original</v>
      </c>
      <c r="D28" s="5" t="s">
        <v>875</v>
      </c>
      <c r="E28" s="3">
        <v>1027</v>
      </c>
      <c r="F28" s="5" t="s">
        <v>876</v>
      </c>
      <c r="G28" s="9">
        <v>8.99</v>
      </c>
      <c r="H28" s="5" t="s">
        <v>402</v>
      </c>
      <c r="I28" s="5" t="s">
        <v>877</v>
      </c>
    </row>
    <row r="29" spans="3:9" x14ac:dyDescent="0.25">
      <c r="C29" t="str">
        <f>IF(COUNTBLANK(E29:K29) = 7,"",IF(AND(NOT(ISBLANK(E29)),COUNTBLANK(E29:K29) = 6),"3 Delete",IF(ISBLANK(E29),"2 Add",IF(SHA1Range(E29:K29) = "38fb545c0f93d7c404be3f0f43a0c71159bfda26","0 Original","1 Modify"))))</f>
        <v>0 Original</v>
      </c>
      <c r="D29" s="5" t="s">
        <v>872</v>
      </c>
      <c r="E29" s="3">
        <v>1028</v>
      </c>
      <c r="F29" s="5" t="s">
        <v>873</v>
      </c>
      <c r="G29" s="9">
        <v>8.99</v>
      </c>
      <c r="H29" s="5" t="s">
        <v>402</v>
      </c>
      <c r="I29" s="5" t="s">
        <v>874</v>
      </c>
    </row>
    <row r="30" spans="3:9" x14ac:dyDescent="0.25">
      <c r="C30" t="str">
        <f>IF(COUNTBLANK(E30:K30) = 7,"",IF(AND(NOT(ISBLANK(E30)),COUNTBLANK(E30:K30) = 6),"3 Delete",IF(ISBLANK(E30),"2 Add",IF(SHA1Range(E30:K30) = "c79481cbbb3b454d000414544731de3163599a56","0 Original","1 Modify"))))</f>
        <v>0 Original</v>
      </c>
      <c r="D30" s="5" t="s">
        <v>869</v>
      </c>
      <c r="E30" s="3">
        <v>1029</v>
      </c>
      <c r="F30" s="5" t="s">
        <v>870</v>
      </c>
      <c r="G30" s="9">
        <v>4.99</v>
      </c>
      <c r="H30" s="5" t="s">
        <v>387</v>
      </c>
      <c r="I30" s="5" t="s">
        <v>871</v>
      </c>
    </row>
    <row r="31" spans="3:9" x14ac:dyDescent="0.25">
      <c r="C31" t="str">
        <f>IF(COUNTBLANK(E31:K31) = 7,"",IF(AND(NOT(ISBLANK(E31)),COUNTBLANK(E31:K31) = 6),"3 Delete",IF(ISBLANK(E31),"2 Add",IF(SHA1Range(E31:K31) = "e48f77cdb68de1c77d595e821b6211a4b73e89a7","0 Original","1 Modify"))))</f>
        <v>0 Original</v>
      </c>
      <c r="D31" s="5" t="s">
        <v>865</v>
      </c>
      <c r="E31" s="3">
        <v>1030</v>
      </c>
      <c r="F31" s="5" t="s">
        <v>866</v>
      </c>
      <c r="G31" s="9">
        <v>4.99</v>
      </c>
      <c r="H31" s="5" t="s">
        <v>867</v>
      </c>
      <c r="I31" s="5" t="s">
        <v>868</v>
      </c>
    </row>
    <row r="32" spans="3:9" x14ac:dyDescent="0.25">
      <c r="C32" t="str">
        <f>IF(COUNTBLANK(E32:K32) = 7,"",IF(AND(NOT(ISBLANK(E32)),COUNTBLANK(E32:K32) = 6),"3 Delete",IF(ISBLANK(E32),"2 Add",IF(SHA1Range(E32:K32) = "ecc6f0b49b2da675c5cd4179f71d0390d20b94fa","0 Original","1 Modify"))))</f>
        <v>0 Original</v>
      </c>
      <c r="D32" s="5" t="s">
        <v>861</v>
      </c>
      <c r="E32" s="3">
        <v>1031</v>
      </c>
      <c r="F32" s="5" t="s">
        <v>862</v>
      </c>
      <c r="G32" s="9">
        <v>8.99</v>
      </c>
      <c r="H32" s="5" t="s">
        <v>863</v>
      </c>
      <c r="I32" s="5" t="s">
        <v>864</v>
      </c>
    </row>
    <row r="33" spans="3:9" x14ac:dyDescent="0.25">
      <c r="C33" t="str">
        <f>IF(COUNTBLANK(E33:K33) = 7,"",IF(AND(NOT(ISBLANK(E33)),COUNTBLANK(E33:K33) = 6),"3 Delete",IF(ISBLANK(E33),"2 Add",IF(SHA1Range(E33:K33) = "ac7dead881193826926bd4ad4348eec49ddd5d54","0 Original","1 Modify"))))</f>
        <v>0 Original</v>
      </c>
      <c r="D33" s="5" t="s">
        <v>857</v>
      </c>
      <c r="E33" s="3">
        <v>1032</v>
      </c>
      <c r="F33" s="5" t="s">
        <v>858</v>
      </c>
      <c r="G33" s="9">
        <v>6.99</v>
      </c>
      <c r="H33" s="5" t="s">
        <v>859</v>
      </c>
      <c r="I33" s="5" t="s">
        <v>860</v>
      </c>
    </row>
    <row r="34" spans="3:9" x14ac:dyDescent="0.25">
      <c r="C34" t="str">
        <f>IF(COUNTBLANK(E34:K34) = 7,"",IF(AND(NOT(ISBLANK(E34)),COUNTBLANK(E34:K34) = 6),"3 Delete",IF(ISBLANK(E34),"2 Add",IF(SHA1Range(E34:K34) = "1094909d686ad8a9e534fad56915339dc79e466a","0 Original","1 Modify"))))</f>
        <v>0 Original</v>
      </c>
      <c r="D34" s="5" t="s">
        <v>854</v>
      </c>
      <c r="E34" s="3">
        <v>1033</v>
      </c>
      <c r="F34" s="5" t="s">
        <v>855</v>
      </c>
      <c r="G34" s="9">
        <v>8.99</v>
      </c>
      <c r="H34" s="5" t="s">
        <v>402</v>
      </c>
      <c r="I34" s="5" t="s">
        <v>856</v>
      </c>
    </row>
    <row r="35" spans="3:9" x14ac:dyDescent="0.25">
      <c r="C35" t="str">
        <f>IF(COUNTBLANK(E35:K35) = 7,"",IF(AND(NOT(ISBLANK(E35)),COUNTBLANK(E35:K35) = 6),"3 Delete",IF(ISBLANK(E35),"2 Add",IF(SHA1Range(E35:K35) = "79b7a61b6f8c6739d1acf9d28298aa58db9462eb","0 Original","1 Modify"))))</f>
        <v>0 Original</v>
      </c>
      <c r="D35" s="5" t="s">
        <v>851</v>
      </c>
      <c r="E35" s="3">
        <v>1034</v>
      </c>
      <c r="F35" s="5" t="s">
        <v>852</v>
      </c>
      <c r="G35" s="9">
        <v>7.99</v>
      </c>
      <c r="H35" s="5" t="s">
        <v>695</v>
      </c>
      <c r="I35" s="5" t="s">
        <v>853</v>
      </c>
    </row>
    <row r="36" spans="3:9" x14ac:dyDescent="0.25">
      <c r="C36" t="str">
        <f>IF(COUNTBLANK(E36:K36) = 7,"",IF(AND(NOT(ISBLANK(E36)),COUNTBLANK(E36:K36) = 6),"3 Delete",IF(ISBLANK(E36),"2 Add",IF(SHA1Range(E36:K36) = "bcedd0535528114a99214c27b492f65b30baaf02","0 Original","1 Modify"))))</f>
        <v>0 Original</v>
      </c>
      <c r="D36" s="5" t="s">
        <v>848</v>
      </c>
      <c r="E36" s="3">
        <v>1035</v>
      </c>
      <c r="F36" s="5" t="s">
        <v>849</v>
      </c>
      <c r="G36" s="9">
        <v>8.99</v>
      </c>
      <c r="H36" s="5" t="s">
        <v>402</v>
      </c>
      <c r="I36" s="5" t="s">
        <v>850</v>
      </c>
    </row>
    <row r="37" spans="3:9" x14ac:dyDescent="0.25">
      <c r="C37" t="str">
        <f>IF(COUNTBLANK(E37:K37) = 7,"",IF(AND(NOT(ISBLANK(E37)),COUNTBLANK(E37:K37) = 6),"3 Delete",IF(ISBLANK(E37),"2 Add",IF(SHA1Range(E37:K37) = "845f6b8535f976b8712331356bd5ca14cf68da6c","0 Original","1 Modify"))))</f>
        <v>0 Original</v>
      </c>
      <c r="D37" s="5" t="s">
        <v>845</v>
      </c>
      <c r="E37" s="3">
        <v>1036</v>
      </c>
      <c r="F37" s="5" t="s">
        <v>846</v>
      </c>
      <c r="G37" s="9">
        <v>7.99</v>
      </c>
      <c r="H37" s="5" t="s">
        <v>383</v>
      </c>
      <c r="I37" s="5" t="s">
        <v>847</v>
      </c>
    </row>
    <row r="38" spans="3:9" x14ac:dyDescent="0.25">
      <c r="C38" t="str">
        <f>IF(COUNTBLANK(E38:K38) = 7,"",IF(AND(NOT(ISBLANK(E38)),COUNTBLANK(E38:K38) = 6),"3 Delete",IF(ISBLANK(E38),"2 Add",IF(SHA1Range(E38:K38) = "a8e6585d87a3b763b158d3849da7d380329a2069","0 Original","1 Modify"))))</f>
        <v>0 Original</v>
      </c>
      <c r="D38" s="5" t="s">
        <v>842</v>
      </c>
      <c r="E38" s="3">
        <v>1037</v>
      </c>
      <c r="F38" s="5" t="s">
        <v>843</v>
      </c>
      <c r="G38" s="9">
        <v>4.99</v>
      </c>
      <c r="H38" s="5" t="s">
        <v>387</v>
      </c>
      <c r="I38" s="5" t="s">
        <v>844</v>
      </c>
    </row>
    <row r="39" spans="3:9" x14ac:dyDescent="0.25">
      <c r="C39" t="str">
        <f>IF(COUNTBLANK(E39:K39) = 7,"",IF(AND(NOT(ISBLANK(E39)),COUNTBLANK(E39:K39) = 6),"3 Delete",IF(ISBLANK(E39),"2 Add",IF(SHA1Range(E39:K39) = "7295b8a15dfcc38cf07bbf8e645b2ddbd78e8e21","0 Original","1 Modify"))))</f>
        <v>0 Original</v>
      </c>
      <c r="D39" s="5" t="s">
        <v>836</v>
      </c>
      <c r="E39" s="3">
        <v>1039</v>
      </c>
      <c r="F39" s="5" t="s">
        <v>837</v>
      </c>
      <c r="G39" s="9">
        <v>7.99</v>
      </c>
      <c r="H39" s="5" t="s">
        <v>590</v>
      </c>
      <c r="I39" s="5" t="s">
        <v>838</v>
      </c>
    </row>
    <row r="40" spans="3:9" x14ac:dyDescent="0.25">
      <c r="C40" t="str">
        <f>IF(COUNTBLANK(E40:K40) = 7,"",IF(AND(NOT(ISBLANK(E40)),COUNTBLANK(E40:K40) = 6),"3 Delete",IF(ISBLANK(E40),"2 Add",IF(SHA1Range(E40:K40) = "26e824e21ac2807fbaa8530862389b0accf2dfd6","0 Original","1 Modify"))))</f>
        <v>0 Original</v>
      </c>
      <c r="D40" s="5" t="s">
        <v>839</v>
      </c>
      <c r="E40" s="3">
        <v>1038</v>
      </c>
      <c r="F40" s="5" t="s">
        <v>840</v>
      </c>
      <c r="G40" s="9">
        <v>4.99</v>
      </c>
      <c r="H40" s="5" t="s">
        <v>590</v>
      </c>
      <c r="I40" s="5" t="s">
        <v>841</v>
      </c>
    </row>
    <row r="41" spans="3:9" x14ac:dyDescent="0.25">
      <c r="C41" t="str">
        <f>IF(COUNTBLANK(E41:K41) = 7,"",IF(AND(NOT(ISBLANK(E41)),COUNTBLANK(E41:K41) = 6),"3 Delete",IF(ISBLANK(E41),"2 Add",IF(SHA1Range(E41:K41) = "f1db59cb87d6ed7818824356e52013528f615a9b","0 Original","1 Modify"))))</f>
        <v>0 Original</v>
      </c>
      <c r="D41" s="5" t="s">
        <v>832</v>
      </c>
      <c r="E41" s="3">
        <v>1040</v>
      </c>
      <c r="F41" s="5" t="s">
        <v>833</v>
      </c>
      <c r="G41" s="9">
        <v>5.99</v>
      </c>
      <c r="H41" s="5" t="s">
        <v>834</v>
      </c>
      <c r="I41" s="5" t="s">
        <v>835</v>
      </c>
    </row>
    <row r="42" spans="3:9" x14ac:dyDescent="0.25">
      <c r="C42" t="str">
        <f>IF(COUNTBLANK(E42:K42) = 7,"",IF(AND(NOT(ISBLANK(E42)),COUNTBLANK(E42:K42) = 6),"3 Delete",IF(ISBLANK(E42),"2 Add",IF(SHA1Range(E42:K42) = "d1ad543c71091a9d2cbf927c39f621b04446604c","0 Original","1 Modify"))))</f>
        <v>0 Original</v>
      </c>
      <c r="D42" s="5" t="s">
        <v>829</v>
      </c>
      <c r="E42" s="3">
        <v>1041</v>
      </c>
      <c r="F42" s="5" t="s">
        <v>830</v>
      </c>
      <c r="G42" s="9">
        <v>5.99</v>
      </c>
      <c r="H42" s="5" t="s">
        <v>387</v>
      </c>
      <c r="I42" s="5" t="s">
        <v>831</v>
      </c>
    </row>
    <row r="43" spans="3:9" x14ac:dyDescent="0.25">
      <c r="C43" t="str">
        <f>IF(COUNTBLANK(E43:K43) = 7,"",IF(AND(NOT(ISBLANK(E43)),COUNTBLANK(E43:K43) = 6),"3 Delete",IF(ISBLANK(E43),"2 Add",IF(SHA1Range(E43:K43) = "57884ee49d66fdb3c625bfc4e43a40571c257b43","0 Original","1 Modify"))))</f>
        <v>0 Original</v>
      </c>
      <c r="D43" s="5" t="s">
        <v>826</v>
      </c>
      <c r="E43" s="3">
        <v>1042</v>
      </c>
      <c r="F43" s="5" t="s">
        <v>827</v>
      </c>
      <c r="G43" s="9">
        <v>5.99</v>
      </c>
      <c r="H43" s="5" t="s">
        <v>410</v>
      </c>
      <c r="I43" s="5" t="s">
        <v>828</v>
      </c>
    </row>
    <row r="44" spans="3:9" x14ac:dyDescent="0.25">
      <c r="C44" t="str">
        <f>IF(COUNTBLANK(E44:K44) = 7,"",IF(AND(NOT(ISBLANK(E44)),COUNTBLANK(E44:K44) = 6),"3 Delete",IF(ISBLANK(E44),"2 Add",IF(SHA1Range(E44:K44) = "a04f4e178f311c58f8e75bc3993676b3ccecf8ba","0 Original","1 Modify"))))</f>
        <v>0 Original</v>
      </c>
      <c r="D44" s="5" t="s">
        <v>823</v>
      </c>
      <c r="E44" s="3">
        <v>1043</v>
      </c>
      <c r="F44" s="5" t="s">
        <v>824</v>
      </c>
      <c r="G44" s="9">
        <v>5.99</v>
      </c>
      <c r="H44" s="5" t="s">
        <v>402</v>
      </c>
      <c r="I44" s="5" t="s">
        <v>825</v>
      </c>
    </row>
    <row r="45" spans="3:9" x14ac:dyDescent="0.25">
      <c r="C45" t="str">
        <f>IF(COUNTBLANK(E45:K45) = 7,"",IF(AND(NOT(ISBLANK(E45)),COUNTBLANK(E45:K45) = 6),"3 Delete",IF(ISBLANK(E45),"2 Add",IF(SHA1Range(E45:K45) = "e18a8ccd22782aa1cf489394263dd8afd82a55ea","0 Original","1 Modify"))))</f>
        <v>0 Original</v>
      </c>
      <c r="D45" s="5" t="s">
        <v>503</v>
      </c>
      <c r="E45" s="3">
        <v>1136</v>
      </c>
      <c r="F45" s="5" t="s">
        <v>504</v>
      </c>
      <c r="G45" s="9">
        <v>9.99</v>
      </c>
      <c r="H45" s="5" t="s">
        <v>505</v>
      </c>
      <c r="I45" s="5" t="s">
        <v>506</v>
      </c>
    </row>
    <row r="46" spans="3:9" x14ac:dyDescent="0.25">
      <c r="C46" t="str">
        <f>IF(COUNTBLANK(E46:K46) = 7,"",IF(AND(NOT(ISBLANK(E46)),COUNTBLANK(E46:K46) = 6),"3 Delete",IF(ISBLANK(E46),"2 Add",IF(SHA1Range(E46:K46) = "eb81c7b534e223ba40f21f6ce2a7033992f52e6c","0 Original","1 Modify"))))</f>
        <v>0 Original</v>
      </c>
      <c r="D46" s="5" t="s">
        <v>820</v>
      </c>
      <c r="E46" s="3">
        <v>1044</v>
      </c>
      <c r="F46" s="5" t="s">
        <v>821</v>
      </c>
      <c r="G46" s="9">
        <v>9.99</v>
      </c>
      <c r="H46" s="5" t="s">
        <v>383</v>
      </c>
      <c r="I46" s="5" t="s">
        <v>822</v>
      </c>
    </row>
    <row r="47" spans="3:9" x14ac:dyDescent="0.25">
      <c r="C47" t="str">
        <f>IF(COUNTBLANK(E47:K47) = 7,"",IF(AND(NOT(ISBLANK(E47)),COUNTBLANK(E47:K47) = 6),"3 Delete",IF(ISBLANK(E47),"2 Add",IF(SHA1Range(E47:K47) = "67ada3d6507dcfc83609e4d0dfdd26a079b0592c","0 Original","1 Modify"))))</f>
        <v>0 Original</v>
      </c>
      <c r="D47" s="5" t="s">
        <v>817</v>
      </c>
      <c r="E47" s="3">
        <v>1045</v>
      </c>
      <c r="F47" s="5" t="s">
        <v>818</v>
      </c>
      <c r="G47" s="9">
        <v>5.99</v>
      </c>
      <c r="H47" s="5" t="s">
        <v>402</v>
      </c>
      <c r="I47" s="5" t="s">
        <v>819</v>
      </c>
    </row>
    <row r="48" spans="3:9" x14ac:dyDescent="0.25">
      <c r="C48" t="str">
        <f>IF(COUNTBLANK(E48:K48) = 7,"",IF(AND(NOT(ISBLANK(E48)),COUNTBLANK(E48:K48) = 6),"3 Delete",IF(ISBLANK(E48),"2 Add",IF(SHA1Range(E48:K48) = "b0649786185ff6f16cddda7ea80f4eebbe9f2a35","0 Original","1 Modify"))))</f>
        <v>0 Original</v>
      </c>
      <c r="D48" s="5" t="s">
        <v>813</v>
      </c>
      <c r="E48" s="3">
        <v>1046</v>
      </c>
      <c r="F48" s="5" t="s">
        <v>814</v>
      </c>
      <c r="G48" s="9">
        <v>5.99</v>
      </c>
      <c r="H48" s="5" t="s">
        <v>815</v>
      </c>
      <c r="I48" s="5" t="s">
        <v>816</v>
      </c>
    </row>
    <row r="49" spans="3:9" x14ac:dyDescent="0.25">
      <c r="C49" t="str">
        <f>IF(COUNTBLANK(E49:K49) = 7,"",IF(AND(NOT(ISBLANK(E49)),COUNTBLANK(E49:K49) = 6),"3 Delete",IF(ISBLANK(E49),"2 Add",IF(SHA1Range(E49:K49) = "4a12cdebc1cd773e45c3aa2344fd3c622c7922d5","0 Original","1 Modify"))))</f>
        <v>0 Original</v>
      </c>
      <c r="D49" s="5" t="s">
        <v>810</v>
      </c>
      <c r="E49" s="3">
        <v>1047</v>
      </c>
      <c r="F49" s="5" t="s">
        <v>811</v>
      </c>
      <c r="G49" s="9">
        <v>7.99</v>
      </c>
      <c r="H49" s="5" t="s">
        <v>519</v>
      </c>
      <c r="I49" s="5" t="s">
        <v>812</v>
      </c>
    </row>
    <row r="50" spans="3:9" x14ac:dyDescent="0.25">
      <c r="C50" t="str">
        <f>IF(COUNTBLANK(E50:K50) = 7,"",IF(AND(NOT(ISBLANK(E50)),COUNTBLANK(E50:K50) = 6),"3 Delete",IF(ISBLANK(E50),"2 Add",IF(SHA1Range(E50:K50) = "6002965281280c35fdfcb384cbff2150270a68ba","0 Original","1 Modify"))))</f>
        <v>0 Original</v>
      </c>
      <c r="D50" s="5" t="s">
        <v>806</v>
      </c>
      <c r="E50" s="3">
        <v>1048</v>
      </c>
      <c r="F50" s="5" t="s">
        <v>807</v>
      </c>
      <c r="G50" s="9">
        <v>5.99</v>
      </c>
      <c r="H50" s="5" t="s">
        <v>808</v>
      </c>
      <c r="I50" s="5" t="s">
        <v>809</v>
      </c>
    </row>
    <row r="51" spans="3:9" x14ac:dyDescent="0.25">
      <c r="C51" t="str">
        <f>IF(COUNTBLANK(E51:K51) = 7,"",IF(AND(NOT(ISBLANK(E51)),COUNTBLANK(E51:K51) = 6),"3 Delete",IF(ISBLANK(E51),"2 Add",IF(SHA1Range(E51:K51) = "f81b439c5738b09bf48da241c56d34ebb8d1ae70","0 Original","1 Modify"))))</f>
        <v>0 Original</v>
      </c>
      <c r="D51" s="5" t="s">
        <v>802</v>
      </c>
      <c r="E51" s="3">
        <v>1049</v>
      </c>
      <c r="F51" s="5" t="s">
        <v>803</v>
      </c>
      <c r="G51" s="9">
        <v>8.99</v>
      </c>
      <c r="H51" s="5" t="s">
        <v>804</v>
      </c>
      <c r="I51" s="5" t="s">
        <v>805</v>
      </c>
    </row>
    <row r="52" spans="3:9" x14ac:dyDescent="0.25">
      <c r="C52" t="str">
        <f>IF(COUNTBLANK(E52:K52) = 7,"",IF(AND(NOT(ISBLANK(E52)),COUNTBLANK(E52:K52) = 6),"3 Delete",IF(ISBLANK(E52),"2 Add",IF(SHA1Range(E52:K52) = "938f9970b2a6b7c18fde9a4155e9da45ea05b37a","0 Original","1 Modify"))))</f>
        <v>0 Original</v>
      </c>
      <c r="D52" s="5" t="s">
        <v>799</v>
      </c>
      <c r="E52" s="3">
        <v>1050</v>
      </c>
      <c r="F52" s="5" t="s">
        <v>800</v>
      </c>
      <c r="G52" s="9">
        <v>7.99</v>
      </c>
      <c r="H52" s="5" t="s">
        <v>470</v>
      </c>
      <c r="I52" s="5" t="s">
        <v>801</v>
      </c>
    </row>
    <row r="53" spans="3:9" x14ac:dyDescent="0.25">
      <c r="C53" t="str">
        <f>IF(COUNTBLANK(E53:K53) = 7,"",IF(AND(NOT(ISBLANK(E53)),COUNTBLANK(E53:K53) = 6),"3 Delete",IF(ISBLANK(E53),"2 Add",IF(SHA1Range(E53:K53) = "ee8417b4c983744d99c6920aadbfa78d578ea0bf","0 Original","1 Modify"))))</f>
        <v>0 Original</v>
      </c>
      <c r="D53" s="5" t="s">
        <v>792</v>
      </c>
      <c r="E53" s="3">
        <v>1052</v>
      </c>
      <c r="F53" s="5" t="s">
        <v>793</v>
      </c>
      <c r="G53" s="9">
        <v>9.99</v>
      </c>
      <c r="H53" s="5" t="s">
        <v>794</v>
      </c>
      <c r="I53" s="5" t="s">
        <v>795</v>
      </c>
    </row>
    <row r="54" spans="3:9" x14ac:dyDescent="0.25">
      <c r="C54" t="str">
        <f>IF(COUNTBLANK(E54:K54) = 7,"",IF(AND(NOT(ISBLANK(E54)),COUNTBLANK(E54:K54) = 6),"3 Delete",IF(ISBLANK(E54),"2 Add",IF(SHA1Range(E54:K54) = "ad76ac014ab1a9a30cd5afa6fd8bd237159374c5","0 Original","1 Modify"))))</f>
        <v>0 Original</v>
      </c>
      <c r="D54" s="5" t="s">
        <v>796</v>
      </c>
      <c r="E54" s="3">
        <v>1051</v>
      </c>
      <c r="F54" s="5" t="s">
        <v>797</v>
      </c>
      <c r="G54" s="9">
        <v>8.99</v>
      </c>
      <c r="H54" s="5" t="s">
        <v>402</v>
      </c>
      <c r="I54" s="5" t="s">
        <v>798</v>
      </c>
    </row>
    <row r="55" spans="3:9" x14ac:dyDescent="0.25">
      <c r="C55" t="str">
        <f>IF(COUNTBLANK(E55:K55) = 7,"",IF(AND(NOT(ISBLANK(E55)),COUNTBLANK(E55:K55) = 6),"3 Delete",IF(ISBLANK(E55),"2 Add",IF(SHA1Range(E55:K55) = "c58b9709a05ba4766644e86678db4056577733f2","0 Original","1 Modify"))))</f>
        <v>0 Original</v>
      </c>
      <c r="D55" s="5" t="s">
        <v>788</v>
      </c>
      <c r="E55" s="3">
        <v>1053</v>
      </c>
      <c r="F55" s="5" t="s">
        <v>789</v>
      </c>
      <c r="G55" s="9">
        <v>5.99</v>
      </c>
      <c r="H55" s="5" t="s">
        <v>790</v>
      </c>
      <c r="I55" s="5" t="s">
        <v>791</v>
      </c>
    </row>
    <row r="56" spans="3:9" x14ac:dyDescent="0.25">
      <c r="C56" t="str">
        <f>IF(COUNTBLANK(E56:K56) = 7,"",IF(AND(NOT(ISBLANK(E56)),COUNTBLANK(E56:K56) = 6),"3 Delete",IF(ISBLANK(E56),"2 Add",IF(SHA1Range(E56:K56) = "850f37004dd84a8d00a7998b72cdaec06fb62819","0 Original","1 Modify"))))</f>
        <v>0 Original</v>
      </c>
      <c r="D56" s="5" t="s">
        <v>784</v>
      </c>
      <c r="E56" s="3">
        <v>1054</v>
      </c>
      <c r="F56" s="5" t="s">
        <v>785</v>
      </c>
      <c r="G56" s="9">
        <v>5.99</v>
      </c>
      <c r="H56" s="5" t="s">
        <v>786</v>
      </c>
      <c r="I56" s="5" t="s">
        <v>787</v>
      </c>
    </row>
    <row r="57" spans="3:9" x14ac:dyDescent="0.25">
      <c r="C57" t="str">
        <f>IF(COUNTBLANK(E57:K57) = 7,"",IF(AND(NOT(ISBLANK(E57)),COUNTBLANK(E57:K57) = 6),"3 Delete",IF(ISBLANK(E57),"2 Add",IF(SHA1Range(E57:K57) = "a438e4fccd725cc22034401cec28ff2aba3db5f3","0 Original","1 Modify"))))</f>
        <v>0 Original</v>
      </c>
      <c r="D57" s="5" t="s">
        <v>781</v>
      </c>
      <c r="E57" s="3">
        <v>1055</v>
      </c>
      <c r="F57" s="5" t="s">
        <v>782</v>
      </c>
      <c r="G57" s="9">
        <v>5.99</v>
      </c>
      <c r="H57" s="5" t="s">
        <v>379</v>
      </c>
      <c r="I57" s="5" t="s">
        <v>783</v>
      </c>
    </row>
    <row r="58" spans="3:9" x14ac:dyDescent="0.25">
      <c r="C58" t="str">
        <f>IF(COUNTBLANK(E58:K58) = 7,"",IF(AND(NOT(ISBLANK(E58)),COUNTBLANK(E58:K58) = 6),"3 Delete",IF(ISBLANK(E58),"2 Add",IF(SHA1Range(E58:K58) = "7a61ee3fa184925935a7c56acfe326cc119ba7fb","0 Original","1 Modify"))))</f>
        <v>0 Original</v>
      </c>
      <c r="D58" s="5" t="s">
        <v>774</v>
      </c>
      <c r="E58" s="3">
        <v>1057</v>
      </c>
      <c r="F58" s="5" t="s">
        <v>775</v>
      </c>
      <c r="G58" s="9">
        <v>5.99</v>
      </c>
      <c r="H58" s="5" t="s">
        <v>402</v>
      </c>
      <c r="I58" s="5" t="s">
        <v>776</v>
      </c>
    </row>
    <row r="59" spans="3:9" x14ac:dyDescent="0.25">
      <c r="C59" t="str">
        <f>IF(COUNTBLANK(E59:K59) = 7,"",IF(AND(NOT(ISBLANK(E59)),COUNTBLANK(E59:K59) = 6),"3 Delete",IF(ISBLANK(E59),"2 Add",IF(SHA1Range(E59:K59) = "fd5b01cd8649ddcecae5b82a58caab602dd2b30e","0 Original","1 Modify"))))</f>
        <v>0 Original</v>
      </c>
      <c r="D59" s="5" t="s">
        <v>777</v>
      </c>
      <c r="E59" s="3">
        <v>1056</v>
      </c>
      <c r="F59" s="5" t="s">
        <v>778</v>
      </c>
      <c r="G59" s="9">
        <v>4.99</v>
      </c>
      <c r="H59" s="5" t="s">
        <v>779</v>
      </c>
      <c r="I59" s="5" t="s">
        <v>780</v>
      </c>
    </row>
    <row r="60" spans="3:9" x14ac:dyDescent="0.25">
      <c r="C60" t="str">
        <f>IF(COUNTBLANK(E60:K60) = 7,"",IF(AND(NOT(ISBLANK(E60)),COUNTBLANK(E60:K60) = 6),"3 Delete",IF(ISBLANK(E60),"2 Add",IF(SHA1Range(E60:K60) = "2459c3e58dc41127a2d8d10d79aa42f691a279c2","0 Original","1 Modify"))))</f>
        <v>0 Original</v>
      </c>
      <c r="D60" s="5" t="s">
        <v>771</v>
      </c>
      <c r="E60" s="3">
        <v>1058</v>
      </c>
      <c r="F60" s="5" t="s">
        <v>772</v>
      </c>
      <c r="G60" s="9">
        <v>9.99</v>
      </c>
      <c r="H60" s="5" t="s">
        <v>769</v>
      </c>
      <c r="I60" s="5" t="s">
        <v>773</v>
      </c>
    </row>
    <row r="61" spans="3:9" x14ac:dyDescent="0.25">
      <c r="C61" t="str">
        <f>IF(COUNTBLANK(E61:K61) = 7,"",IF(AND(NOT(ISBLANK(E61)),COUNTBLANK(E61:K61) = 6),"3 Delete",IF(ISBLANK(E61),"2 Add",IF(SHA1Range(E61:K61) = "9fbe659d42e35ff9b2559e43acce6c2c5854c269","0 Original","1 Modify"))))</f>
        <v>0 Original</v>
      </c>
      <c r="D61" s="5" t="s">
        <v>767</v>
      </c>
      <c r="E61" s="3">
        <v>1059</v>
      </c>
      <c r="F61" s="5" t="s">
        <v>768</v>
      </c>
      <c r="G61" s="9">
        <v>6.99</v>
      </c>
      <c r="H61" s="5" t="s">
        <v>769</v>
      </c>
      <c r="I61" s="5" t="s">
        <v>770</v>
      </c>
    </row>
    <row r="62" spans="3:9" x14ac:dyDescent="0.25">
      <c r="C62" t="str">
        <f>IF(COUNTBLANK(E62:K62) = 7,"",IF(AND(NOT(ISBLANK(E62)),COUNTBLANK(E62:K62) = 6),"3 Delete",IF(ISBLANK(E62),"2 Add",IF(SHA1Range(E62:K62) = "96bd1dde0ee8d723b6008620ba83c9c36f9e7827","0 Original","1 Modify"))))</f>
        <v>0 Original</v>
      </c>
      <c r="D62" s="5" t="s">
        <v>764</v>
      </c>
      <c r="E62" s="3">
        <v>1060</v>
      </c>
      <c r="F62" s="5" t="s">
        <v>765</v>
      </c>
      <c r="G62" s="9">
        <v>9.99</v>
      </c>
      <c r="H62" s="5" t="s">
        <v>402</v>
      </c>
      <c r="I62" s="5" t="s">
        <v>766</v>
      </c>
    </row>
    <row r="63" spans="3:9" x14ac:dyDescent="0.25">
      <c r="C63" t="str">
        <f>IF(COUNTBLANK(E63:K63) = 7,"",IF(AND(NOT(ISBLANK(E63)),COUNTBLANK(E63:K63) = 6),"3 Delete",IF(ISBLANK(E63),"2 Add",IF(SHA1Range(E63:K63) = "b03403234710cecd9163e396e5efd4254882e707","0 Original","1 Modify"))))</f>
        <v>0 Original</v>
      </c>
      <c r="D63" s="5" t="s">
        <v>761</v>
      </c>
      <c r="E63" s="3">
        <v>1061</v>
      </c>
      <c r="F63" s="5" t="s">
        <v>762</v>
      </c>
      <c r="G63" s="9">
        <v>8.99</v>
      </c>
      <c r="H63" s="5" t="s">
        <v>402</v>
      </c>
      <c r="I63" s="5" t="s">
        <v>763</v>
      </c>
    </row>
    <row r="64" spans="3:9" x14ac:dyDescent="0.25">
      <c r="C64" t="str">
        <f>IF(COUNTBLANK(E64:K64) = 7,"",IF(AND(NOT(ISBLANK(E64)),COUNTBLANK(E64:K64) = 6),"3 Delete",IF(ISBLANK(E64),"2 Add",IF(SHA1Range(E64:K64) = "f237ee082762b0f435f9595f72fd02025e815940","0 Original","1 Modify"))))</f>
        <v>0 Original</v>
      </c>
      <c r="D64" s="5" t="s">
        <v>757</v>
      </c>
      <c r="E64" s="3">
        <v>1062</v>
      </c>
      <c r="F64" s="5" t="s">
        <v>758</v>
      </c>
      <c r="G64" s="9">
        <v>5.99</v>
      </c>
      <c r="H64" s="5" t="s">
        <v>759</v>
      </c>
      <c r="I64" s="5" t="s">
        <v>760</v>
      </c>
    </row>
    <row r="65" spans="3:9" x14ac:dyDescent="0.25">
      <c r="C65" t="str">
        <f>IF(COUNTBLANK(E65:K65) = 7,"",IF(AND(NOT(ISBLANK(E65)),COUNTBLANK(E65:K65) = 6),"3 Delete",IF(ISBLANK(E65),"2 Add",IF(SHA1Range(E65:K65) = "430d7d6fa2fc37d4284c0fd7af5959028133087f","0 Original","1 Modify"))))</f>
        <v>0 Original</v>
      </c>
      <c r="D65" s="5" t="s">
        <v>753</v>
      </c>
      <c r="E65" s="3">
        <v>1063</v>
      </c>
      <c r="F65" s="5" t="s">
        <v>754</v>
      </c>
      <c r="G65" s="9">
        <v>4.99</v>
      </c>
      <c r="H65" s="5" t="s">
        <v>755</v>
      </c>
      <c r="I65" s="5" t="s">
        <v>756</v>
      </c>
    </row>
    <row r="66" spans="3:9" x14ac:dyDescent="0.25">
      <c r="C66" t="str">
        <f>IF(COUNTBLANK(E66:K66) = 7,"",IF(AND(NOT(ISBLANK(E66)),COUNTBLANK(E66:K66) = 6),"3 Delete",IF(ISBLANK(E66),"2 Add",IF(SHA1Range(E66:K66) = "87e1cff063af44fc19ddc0e0bec840274428f334","0 Original","1 Modify"))))</f>
        <v>0 Original</v>
      </c>
      <c r="D66" s="5" t="s">
        <v>749</v>
      </c>
      <c r="E66" s="3">
        <v>1064</v>
      </c>
      <c r="F66" s="5" t="s">
        <v>750</v>
      </c>
      <c r="G66" s="9">
        <v>5.99</v>
      </c>
      <c r="H66" s="5" t="s">
        <v>751</v>
      </c>
      <c r="I66" s="5" t="s">
        <v>752</v>
      </c>
    </row>
    <row r="67" spans="3:9" x14ac:dyDescent="0.25">
      <c r="C67" t="str">
        <f>IF(COUNTBLANK(E67:K67) = 7,"",IF(AND(NOT(ISBLANK(E67)),COUNTBLANK(E67:K67) = 6),"3 Delete",IF(ISBLANK(E67),"2 Add",IF(SHA1Range(E67:K67) = "2725f8ecafc8958325730b14198420afb4ca4e62","0 Original","1 Modify"))))</f>
        <v>0 Original</v>
      </c>
      <c r="D67" s="5" t="s">
        <v>746</v>
      </c>
      <c r="E67" s="3">
        <v>1065</v>
      </c>
      <c r="F67" s="5" t="s">
        <v>747</v>
      </c>
      <c r="G67" s="9">
        <v>7.99</v>
      </c>
      <c r="H67" s="5" t="s">
        <v>459</v>
      </c>
      <c r="I67" s="5" t="s">
        <v>748</v>
      </c>
    </row>
    <row r="68" spans="3:9" x14ac:dyDescent="0.25">
      <c r="C68" t="str">
        <f>IF(COUNTBLANK(E68:K68) = 7,"",IF(AND(NOT(ISBLANK(E68)),COUNTBLANK(E68:K68) = 6),"3 Delete",IF(ISBLANK(E68),"2 Add",IF(SHA1Range(E68:K68) = "1f061df11e348284648dccd670f328e140913ca2","0 Original","1 Modify"))))</f>
        <v>0 Original</v>
      </c>
      <c r="D68" s="5" t="s">
        <v>742</v>
      </c>
      <c r="E68" s="3">
        <v>1066</v>
      </c>
      <c r="F68" s="5" t="s">
        <v>743</v>
      </c>
      <c r="G68" s="9">
        <v>7.99</v>
      </c>
      <c r="H68" s="5" t="s">
        <v>744</v>
      </c>
      <c r="I68" s="5" t="s">
        <v>745</v>
      </c>
    </row>
    <row r="69" spans="3:9" x14ac:dyDescent="0.25">
      <c r="C69" t="str">
        <f>IF(COUNTBLANK(E69:K69) = 7,"",IF(AND(NOT(ISBLANK(E69)),COUNTBLANK(E69:K69) = 6),"3 Delete",IF(ISBLANK(E69),"2 Add",IF(SHA1Range(E69:K69) = "798b815baf0b37469937e61d7c7a597e94f7a035","0 Original","1 Modify"))))</f>
        <v>0 Original</v>
      </c>
      <c r="D69" s="5" t="s">
        <v>739</v>
      </c>
      <c r="E69" s="3">
        <v>1067</v>
      </c>
      <c r="F69" s="5" t="s">
        <v>740</v>
      </c>
      <c r="G69" s="9">
        <v>8.99</v>
      </c>
      <c r="H69" s="5" t="s">
        <v>466</v>
      </c>
      <c r="I69" s="5" t="s">
        <v>741</v>
      </c>
    </row>
    <row r="70" spans="3:9" x14ac:dyDescent="0.25">
      <c r="C70" t="str">
        <f>IF(COUNTBLANK(E70:K70) = 7,"",IF(AND(NOT(ISBLANK(E70)),COUNTBLANK(E70:K70) = 6),"3 Delete",IF(ISBLANK(E70),"2 Add",IF(SHA1Range(E70:K70) = "784a1a3f8d3df18b03e99a23e1f5e92f6378bf77","0 Original","1 Modify"))))</f>
        <v>0 Original</v>
      </c>
      <c r="D70" s="5" t="s">
        <v>735</v>
      </c>
      <c r="E70" s="3">
        <v>1068</v>
      </c>
      <c r="F70" s="5" t="s">
        <v>736</v>
      </c>
      <c r="G70" s="9">
        <v>4.99</v>
      </c>
      <c r="H70" s="5" t="s">
        <v>737</v>
      </c>
      <c r="I70" s="5" t="s">
        <v>738</v>
      </c>
    </row>
    <row r="71" spans="3:9" x14ac:dyDescent="0.25">
      <c r="C71" t="str">
        <f>IF(COUNTBLANK(E71:K71) = 7,"",IF(AND(NOT(ISBLANK(E71)),COUNTBLANK(E71:K71) = 6),"3 Delete",IF(ISBLANK(E71),"2 Add",IF(SHA1Range(E71:K71) = "470b06c339633bcd1b0907b248a6563f0b0202de","0 Original","1 Modify"))))</f>
        <v>0 Original</v>
      </c>
      <c r="D71" s="5" t="s">
        <v>732</v>
      </c>
      <c r="E71" s="3">
        <v>1069</v>
      </c>
      <c r="F71" s="5" t="s">
        <v>733</v>
      </c>
      <c r="G71" s="9">
        <v>9.99</v>
      </c>
      <c r="H71" s="5" t="s">
        <v>383</v>
      </c>
      <c r="I71" s="5" t="s">
        <v>734</v>
      </c>
    </row>
    <row r="72" spans="3:9" x14ac:dyDescent="0.25">
      <c r="C72" t="str">
        <f>IF(COUNTBLANK(E72:K72) = 7,"",IF(AND(NOT(ISBLANK(E72)),COUNTBLANK(E72:K72) = 6),"3 Delete",IF(ISBLANK(E72),"2 Add",IF(SHA1Range(E72:K72) = "9e378327b797ee0705a200ba1cfcb0dc67958b98","0 Original","1 Modify"))))</f>
        <v>0 Original</v>
      </c>
      <c r="D72" s="5" t="s">
        <v>729</v>
      </c>
      <c r="E72" s="3">
        <v>1070</v>
      </c>
      <c r="F72" s="5" t="s">
        <v>730</v>
      </c>
      <c r="G72" s="9">
        <v>8.99</v>
      </c>
      <c r="H72" s="5" t="s">
        <v>383</v>
      </c>
      <c r="I72" s="5" t="s">
        <v>731</v>
      </c>
    </row>
    <row r="73" spans="3:9" x14ac:dyDescent="0.25">
      <c r="C73" t="str">
        <f>IF(COUNTBLANK(E73:K73) = 7,"",IF(AND(NOT(ISBLANK(E73)),COUNTBLANK(E73:K73) = 6),"3 Delete",IF(ISBLANK(E73),"2 Add",IF(SHA1Range(E73:K73) = "5389c0a427ae2736ed5c960a809b1ce1d0364585","0 Original","1 Modify"))))</f>
        <v>0 Original</v>
      </c>
      <c r="D73" s="5" t="s">
        <v>725</v>
      </c>
      <c r="E73" s="3">
        <v>1071</v>
      </c>
      <c r="F73" s="5" t="s">
        <v>726</v>
      </c>
      <c r="G73" s="9">
        <v>4.99</v>
      </c>
      <c r="H73" s="5" t="s">
        <v>727</v>
      </c>
      <c r="I73" s="5" t="s">
        <v>728</v>
      </c>
    </row>
    <row r="74" spans="3:9" x14ac:dyDescent="0.25">
      <c r="C74" t="str">
        <f>IF(COUNTBLANK(E74:K74) = 7,"",IF(AND(NOT(ISBLANK(E74)),COUNTBLANK(E74:K74) = 6),"3 Delete",IF(ISBLANK(E74),"2 Add",IF(SHA1Range(E74:K74) = "84b313b685249fd4909a17e4214adf6ca6ea2b52","0 Original","1 Modify"))))</f>
        <v>0 Original</v>
      </c>
      <c r="D74" s="5" t="s">
        <v>722</v>
      </c>
      <c r="E74" s="3">
        <v>1072</v>
      </c>
      <c r="F74" s="5" t="s">
        <v>723</v>
      </c>
      <c r="G74" s="9">
        <v>6.99</v>
      </c>
      <c r="H74" s="5" t="s">
        <v>402</v>
      </c>
      <c r="I74" s="5" t="s">
        <v>724</v>
      </c>
    </row>
    <row r="75" spans="3:9" x14ac:dyDescent="0.25">
      <c r="C75" t="str">
        <f>IF(COUNTBLANK(E75:K75) = 7,"",IF(AND(NOT(ISBLANK(E75)),COUNTBLANK(E75:K75) = 6),"3 Delete",IF(ISBLANK(E75),"2 Add",IF(SHA1Range(E75:K75) = "8d0a7446220e52cb5ac8c34e84fd100ed1952930","0 Original","1 Modify"))))</f>
        <v>0 Original</v>
      </c>
      <c r="D75" s="5" t="s">
        <v>719</v>
      </c>
      <c r="E75" s="3">
        <v>1073</v>
      </c>
      <c r="F75" s="5" t="s">
        <v>720</v>
      </c>
      <c r="G75" s="9">
        <v>8.99</v>
      </c>
      <c r="H75" s="5" t="s">
        <v>383</v>
      </c>
      <c r="I75" s="5" t="s">
        <v>721</v>
      </c>
    </row>
    <row r="76" spans="3:9" x14ac:dyDescent="0.25">
      <c r="C76" t="str">
        <f>IF(COUNTBLANK(E76:K76) = 7,"",IF(AND(NOT(ISBLANK(E76)),COUNTBLANK(E76:K76) = 6),"3 Delete",IF(ISBLANK(E76),"2 Add",IF(SHA1Range(E76:K76) = "abc2b54b467e9b50cdc125269d90b9e8f81cf0f4","0 Original","1 Modify"))))</f>
        <v>0 Original</v>
      </c>
      <c r="D76" s="5" t="s">
        <v>715</v>
      </c>
      <c r="E76" s="3">
        <v>1074</v>
      </c>
      <c r="F76" s="5" t="s">
        <v>716</v>
      </c>
      <c r="G76" s="9">
        <v>8.99</v>
      </c>
      <c r="H76" s="5" t="s">
        <v>717</v>
      </c>
      <c r="I76" s="5" t="s">
        <v>718</v>
      </c>
    </row>
    <row r="77" spans="3:9" x14ac:dyDescent="0.25">
      <c r="C77" t="str">
        <f>IF(COUNTBLANK(E77:K77) = 7,"",IF(AND(NOT(ISBLANK(E77)),COUNTBLANK(E77:K77) = 6),"3 Delete",IF(ISBLANK(E77),"2 Add",IF(SHA1Range(E77:K77) = "b87ab416e832fc583a1701f926e67c86098a13b4","0 Original","1 Modify"))))</f>
        <v>0 Original</v>
      </c>
      <c r="D77" s="5" t="s">
        <v>711</v>
      </c>
      <c r="E77" s="3">
        <v>1075</v>
      </c>
      <c r="F77" s="5" t="s">
        <v>712</v>
      </c>
      <c r="G77" s="9">
        <v>4.99</v>
      </c>
      <c r="H77" s="5" t="s">
        <v>713</v>
      </c>
      <c r="I77" s="5" t="s">
        <v>714</v>
      </c>
    </row>
    <row r="78" spans="3:9" x14ac:dyDescent="0.25">
      <c r="C78" t="str">
        <f>IF(COUNTBLANK(E78:K78) = 7,"",IF(AND(NOT(ISBLANK(E78)),COUNTBLANK(E78:K78) = 6),"3 Delete",IF(ISBLANK(E78),"2 Add",IF(SHA1Range(E78:K78) = "e09081285432f0822d5aab9a4047f82cd59f1128","0 Original","1 Modify"))))</f>
        <v>0 Original</v>
      </c>
      <c r="D78" s="5" t="s">
        <v>707</v>
      </c>
      <c r="E78" s="3">
        <v>1076</v>
      </c>
      <c r="F78" s="5" t="s">
        <v>708</v>
      </c>
      <c r="G78" s="9">
        <v>7.99</v>
      </c>
      <c r="H78" s="5" t="s">
        <v>709</v>
      </c>
      <c r="I78" s="5" t="s">
        <v>710</v>
      </c>
    </row>
    <row r="79" spans="3:9" x14ac:dyDescent="0.25">
      <c r="C79" t="str">
        <f>IF(COUNTBLANK(E79:K79) = 7,"",IF(AND(NOT(ISBLANK(E79)),COUNTBLANK(E79:K79) = 6),"3 Delete",IF(ISBLANK(E79),"2 Add",IF(SHA1Range(E79:K79) = "9675248f2d5c69cb8e2327570e40f0b9e8fb17b9","0 Original","1 Modify"))))</f>
        <v>0 Original</v>
      </c>
      <c r="D79" s="5" t="s">
        <v>704</v>
      </c>
      <c r="E79" s="3">
        <v>1077</v>
      </c>
      <c r="F79" s="5" t="s">
        <v>705</v>
      </c>
      <c r="G79" s="9">
        <v>4.99</v>
      </c>
      <c r="H79" s="5" t="s">
        <v>402</v>
      </c>
      <c r="I79" s="5" t="s">
        <v>706</v>
      </c>
    </row>
    <row r="80" spans="3:9" x14ac:dyDescent="0.25">
      <c r="C80" t="str">
        <f>IF(COUNTBLANK(E80:K80) = 7,"",IF(AND(NOT(ISBLANK(E80)),COUNTBLANK(E80:K80) = 6),"3 Delete",IF(ISBLANK(E80),"2 Add",IF(SHA1Range(E80:K80) = "338ef35c32abf7eeb9bad347ebf0152467e1ab7a","0 Original","1 Modify"))))</f>
        <v>0 Original</v>
      </c>
      <c r="D80" s="5" t="s">
        <v>701</v>
      </c>
      <c r="E80" s="3">
        <v>1078</v>
      </c>
      <c r="F80" s="5" t="s">
        <v>702</v>
      </c>
      <c r="G80" s="9">
        <v>7.99</v>
      </c>
      <c r="H80" s="5" t="s">
        <v>402</v>
      </c>
      <c r="I80" s="5" t="s">
        <v>703</v>
      </c>
    </row>
    <row r="81" spans="3:9" x14ac:dyDescent="0.25">
      <c r="C81" t="str">
        <f>IF(COUNTBLANK(E81:K81) = 7,"",IF(AND(NOT(ISBLANK(E81)),COUNTBLANK(E81:K81) = 6),"3 Delete",IF(ISBLANK(E81),"2 Add",IF(SHA1Range(E81:K81) = "2e6e61ae7ae8d775c527bc4fb98a14c061b9c1ba","0 Original","1 Modify"))))</f>
        <v>0 Original</v>
      </c>
      <c r="D81" s="5" t="s">
        <v>697</v>
      </c>
      <c r="E81" s="3">
        <v>1079</v>
      </c>
      <c r="F81" s="5" t="s">
        <v>698</v>
      </c>
      <c r="G81" s="9">
        <v>5.99</v>
      </c>
      <c r="H81" s="5" t="s">
        <v>699</v>
      </c>
      <c r="I81" s="5" t="s">
        <v>700</v>
      </c>
    </row>
    <row r="82" spans="3:9" x14ac:dyDescent="0.25">
      <c r="C82" t="str">
        <f>IF(COUNTBLANK(E82:K82) = 7,"",IF(AND(NOT(ISBLANK(E82)),COUNTBLANK(E82:K82) = 6),"3 Delete",IF(ISBLANK(E82),"2 Add",IF(SHA1Range(E82:K82) = "346367f9bcfacc8d9e1dd3526c3fd31612ae4254","0 Original","1 Modify"))))</f>
        <v>0 Original</v>
      </c>
      <c r="D82" s="5" t="s">
        <v>693</v>
      </c>
      <c r="E82" s="3">
        <v>1080</v>
      </c>
      <c r="F82" s="5" t="s">
        <v>694</v>
      </c>
      <c r="G82" s="9">
        <v>7.99</v>
      </c>
      <c r="H82" s="5" t="s">
        <v>695</v>
      </c>
      <c r="I82" s="5" t="s">
        <v>696</v>
      </c>
    </row>
    <row r="83" spans="3:9" x14ac:dyDescent="0.25">
      <c r="C83" t="str">
        <f>IF(COUNTBLANK(E83:K83) = 7,"",IF(AND(NOT(ISBLANK(E83)),COUNTBLANK(E83:K83) = 6),"3 Delete",IF(ISBLANK(E83),"2 Add",IF(SHA1Range(E83:K83) = "08bed376bed2695db82eccb57cc5e5b632336b59","0 Original","1 Modify"))))</f>
        <v>0 Original</v>
      </c>
      <c r="D83" s="5" t="s">
        <v>690</v>
      </c>
      <c r="E83" s="3">
        <v>1081</v>
      </c>
      <c r="F83" s="5" t="s">
        <v>691</v>
      </c>
      <c r="G83" s="9">
        <v>7.99</v>
      </c>
      <c r="H83" s="5" t="s">
        <v>387</v>
      </c>
      <c r="I83" s="5" t="s">
        <v>692</v>
      </c>
    </row>
    <row r="84" spans="3:9" x14ac:dyDescent="0.25">
      <c r="C84" t="str">
        <f>IF(COUNTBLANK(E84:K84) = 7,"",IF(AND(NOT(ISBLANK(E84)),COUNTBLANK(E84:K84) = 6),"3 Delete",IF(ISBLANK(E84),"2 Add",IF(SHA1Range(E84:K84) = "a2b331616883f33eb9960d29423d596957a18f2d","0 Original","1 Modify"))))</f>
        <v>0 Original</v>
      </c>
      <c r="D84" s="5" t="s">
        <v>687</v>
      </c>
      <c r="E84" s="3">
        <v>1082</v>
      </c>
      <c r="F84" s="5" t="s">
        <v>688</v>
      </c>
      <c r="G84" s="9">
        <v>9.99</v>
      </c>
      <c r="H84" s="5" t="s">
        <v>590</v>
      </c>
      <c r="I84" s="5" t="s">
        <v>689</v>
      </c>
    </row>
    <row r="85" spans="3:9" x14ac:dyDescent="0.25">
      <c r="C85" t="str">
        <f>IF(COUNTBLANK(E85:K85) = 7,"",IF(AND(NOT(ISBLANK(E85)),COUNTBLANK(E85:K85) = 6),"3 Delete",IF(ISBLANK(E85),"2 Add",IF(SHA1Range(E85:K85) = "fa92ca2d7eaf80668c5f123c86dc463873613ab8","0 Original","1 Modify"))))</f>
        <v>0 Original</v>
      </c>
      <c r="D85" s="5" t="s">
        <v>684</v>
      </c>
      <c r="E85" s="3">
        <v>1083</v>
      </c>
      <c r="F85" s="5" t="s">
        <v>685</v>
      </c>
      <c r="G85" s="9">
        <v>8.99</v>
      </c>
      <c r="H85" s="5" t="s">
        <v>402</v>
      </c>
      <c r="I85" s="5" t="s">
        <v>686</v>
      </c>
    </row>
    <row r="86" spans="3:9" x14ac:dyDescent="0.25">
      <c r="C86" t="str">
        <f>IF(COUNTBLANK(E86:K86) = 7,"",IF(AND(NOT(ISBLANK(E86)),COUNTBLANK(E86:K86) = 6),"3 Delete",IF(ISBLANK(E86),"2 Add",IF(SHA1Range(E86:K86) = "c25fadada38a301b0555d2d7939d08ae50d736fe","0 Original","1 Modify"))))</f>
        <v>0 Original</v>
      </c>
      <c r="D86" s="5" t="s">
        <v>680</v>
      </c>
      <c r="E86" s="3">
        <v>1084</v>
      </c>
      <c r="F86" s="5" t="s">
        <v>681</v>
      </c>
      <c r="G86" s="9">
        <v>8.99</v>
      </c>
      <c r="H86" s="5" t="s">
        <v>682</v>
      </c>
      <c r="I86" s="5" t="s">
        <v>683</v>
      </c>
    </row>
    <row r="87" spans="3:9" x14ac:dyDescent="0.25">
      <c r="C87" t="str">
        <f>IF(COUNTBLANK(E87:K87) = 7,"",IF(AND(NOT(ISBLANK(E87)),COUNTBLANK(E87:K87) = 6),"3 Delete",IF(ISBLANK(E87),"2 Add",IF(SHA1Range(E87:K87) = "150a36965d12d93cdb1e2182db4b44eecfca4656","0 Original","1 Modify"))))</f>
        <v>0 Original</v>
      </c>
      <c r="D87" s="5" t="s">
        <v>677</v>
      </c>
      <c r="E87" s="3">
        <v>1085</v>
      </c>
      <c r="F87" s="5" t="s">
        <v>678</v>
      </c>
      <c r="G87" s="9">
        <v>8.99</v>
      </c>
      <c r="H87" s="5" t="s">
        <v>375</v>
      </c>
      <c r="I87" s="5" t="s">
        <v>679</v>
      </c>
    </row>
    <row r="88" spans="3:9" x14ac:dyDescent="0.25">
      <c r="C88" t="str">
        <f>IF(COUNTBLANK(E88:K88) = 7,"",IF(AND(NOT(ISBLANK(E88)),COUNTBLANK(E88:K88) = 6),"3 Delete",IF(ISBLANK(E88),"2 Add",IF(SHA1Range(E88:K88) = "42ed3101ce54bb7338c7227a4e15aff2ab65a046","0 Original","1 Modify"))))</f>
        <v>0 Original</v>
      </c>
      <c r="D88" s="5" t="s">
        <v>674</v>
      </c>
      <c r="E88" s="3">
        <v>1086</v>
      </c>
      <c r="F88" s="5" t="s">
        <v>675</v>
      </c>
      <c r="G88" s="9">
        <v>5.99</v>
      </c>
      <c r="H88" s="5" t="s">
        <v>383</v>
      </c>
      <c r="I88" s="5" t="s">
        <v>676</v>
      </c>
    </row>
    <row r="89" spans="3:9" x14ac:dyDescent="0.25">
      <c r="C89" t="str">
        <f>IF(COUNTBLANK(E89:K89) = 7,"",IF(AND(NOT(ISBLANK(E89)),COUNTBLANK(E89:K89) = 6),"3 Delete",IF(ISBLANK(E89),"2 Add",IF(SHA1Range(E89:K89) = "3bb60bc86fc7ec5fb5fae21f23415db38d51f391","0 Original","1 Modify"))))</f>
        <v>0 Original</v>
      </c>
      <c r="D89" s="5" t="s">
        <v>671</v>
      </c>
      <c r="E89" s="3">
        <v>1087</v>
      </c>
      <c r="F89" s="5" t="s">
        <v>672</v>
      </c>
      <c r="G89" s="9">
        <v>6.99</v>
      </c>
      <c r="H89" s="5" t="s">
        <v>379</v>
      </c>
      <c r="I89" s="5" t="s">
        <v>673</v>
      </c>
    </row>
    <row r="90" spans="3:9" x14ac:dyDescent="0.25">
      <c r="C90" t="str">
        <f>IF(COUNTBLANK(E90:K90) = 7,"",IF(AND(NOT(ISBLANK(E90)),COUNTBLANK(E90:K90) = 6),"3 Delete",IF(ISBLANK(E90),"2 Add",IF(SHA1Range(E90:K90) = "32dbc57ad61a39c8a195e1ac9145dcc414ea5090","0 Original","1 Modify"))))</f>
        <v>0 Original</v>
      </c>
      <c r="D90" s="5" t="s">
        <v>667</v>
      </c>
      <c r="E90" s="3">
        <v>1088</v>
      </c>
      <c r="F90" s="5" t="s">
        <v>668</v>
      </c>
      <c r="G90" s="9">
        <v>6.99</v>
      </c>
      <c r="H90" s="5" t="s">
        <v>669</v>
      </c>
      <c r="I90" s="5" t="s">
        <v>670</v>
      </c>
    </row>
    <row r="91" spans="3:9" x14ac:dyDescent="0.25">
      <c r="C91" t="str">
        <f>IF(COUNTBLANK(E91:K91) = 7,"",IF(AND(NOT(ISBLANK(E91)),COUNTBLANK(E91:K91) = 6),"3 Delete",IF(ISBLANK(E91),"2 Add",IF(SHA1Range(E91:K91) = "6bacb5a3db14a093106dc3d4ef80305a944c5619","0 Original","1 Modify"))))</f>
        <v>0 Original</v>
      </c>
      <c r="D91" s="5" t="s">
        <v>664</v>
      </c>
      <c r="E91" s="3">
        <v>1089</v>
      </c>
      <c r="F91" s="5" t="s">
        <v>665</v>
      </c>
      <c r="G91" s="9">
        <v>7.99</v>
      </c>
      <c r="H91" s="5" t="s">
        <v>383</v>
      </c>
      <c r="I91" s="5" t="s">
        <v>666</v>
      </c>
    </row>
    <row r="92" spans="3:9" x14ac:dyDescent="0.25">
      <c r="C92" t="str">
        <f>IF(COUNTBLANK(E92:K92) = 7,"",IF(AND(NOT(ISBLANK(E92)),COUNTBLANK(E92:K92) = 6),"3 Delete",IF(ISBLANK(E92),"2 Add",IF(SHA1Range(E92:K92) = "0dba10d37b128da151ce5bd790d047e04cde7f04","0 Original","1 Modify"))))</f>
        <v>0 Original</v>
      </c>
      <c r="D92" s="5" t="s">
        <v>661</v>
      </c>
      <c r="E92" s="3">
        <v>1090</v>
      </c>
      <c r="F92" s="5" t="s">
        <v>662</v>
      </c>
      <c r="G92" s="9">
        <v>8.99</v>
      </c>
      <c r="H92" s="5" t="s">
        <v>383</v>
      </c>
      <c r="I92" s="5" t="s">
        <v>663</v>
      </c>
    </row>
    <row r="93" spans="3:9" x14ac:dyDescent="0.25">
      <c r="C93" t="str">
        <f>IF(COUNTBLANK(E93:K93) = 7,"",IF(AND(NOT(ISBLANK(E93)),COUNTBLANK(E93:K93) = 6),"3 Delete",IF(ISBLANK(E93),"2 Add",IF(SHA1Range(E93:K93) = "344527dd9572ecccd1b76834d94c0eac8cbf53b5","0 Original","1 Modify"))))</f>
        <v>0 Original</v>
      </c>
      <c r="D93" s="5" t="s">
        <v>657</v>
      </c>
      <c r="E93" s="3">
        <v>1091</v>
      </c>
      <c r="F93" s="5" t="s">
        <v>658</v>
      </c>
      <c r="G93" s="9">
        <v>9.99</v>
      </c>
      <c r="H93" s="5" t="s">
        <v>659</v>
      </c>
      <c r="I93" s="5" t="s">
        <v>660</v>
      </c>
    </row>
    <row r="94" spans="3:9" x14ac:dyDescent="0.25">
      <c r="C94" t="str">
        <f>IF(COUNTBLANK(E94:K94) = 7,"",IF(AND(NOT(ISBLANK(E94)),COUNTBLANK(E94:K94) = 6),"3 Delete",IF(ISBLANK(E94),"2 Add",IF(SHA1Range(E94:K94) = "1aa4be7275b1bb2fa4ee3131f2aee81126479c0b","0 Original","1 Modify"))))</f>
        <v>0 Original</v>
      </c>
      <c r="D94" s="5" t="s">
        <v>654</v>
      </c>
      <c r="E94" s="3">
        <v>1092</v>
      </c>
      <c r="F94" s="5" t="s">
        <v>655</v>
      </c>
      <c r="G94" s="9">
        <v>5.99</v>
      </c>
      <c r="H94" s="5" t="s">
        <v>402</v>
      </c>
      <c r="I94" s="5" t="s">
        <v>656</v>
      </c>
    </row>
    <row r="95" spans="3:9" x14ac:dyDescent="0.25">
      <c r="C95" t="str">
        <f>IF(COUNTBLANK(E95:K95) = 7,"",IF(AND(NOT(ISBLANK(E95)),COUNTBLANK(E95:K95) = 6),"3 Delete",IF(ISBLANK(E95),"2 Add",IF(SHA1Range(E95:K95) = "7674130e5724e940918ada5ead66957f2ca2a305","0 Original","1 Modify"))))</f>
        <v>0 Original</v>
      </c>
      <c r="D95" s="5" t="s">
        <v>651</v>
      </c>
      <c r="E95" s="3">
        <v>1093</v>
      </c>
      <c r="F95" s="5" t="s">
        <v>652</v>
      </c>
      <c r="G95" s="9">
        <v>4.99</v>
      </c>
      <c r="H95" s="5" t="s">
        <v>402</v>
      </c>
      <c r="I95" s="5" t="s">
        <v>653</v>
      </c>
    </row>
    <row r="96" spans="3:9" x14ac:dyDescent="0.25">
      <c r="C96" t="str">
        <f>IF(COUNTBLANK(E96:K96) = 7,"",IF(AND(NOT(ISBLANK(E96)),COUNTBLANK(E96:K96) = 6),"3 Delete",IF(ISBLANK(E96),"2 Add",IF(SHA1Range(E96:K96) = "c396161331d378ebd10d4c77bb30b7538b2ca01e","0 Original","1 Modify"))))</f>
        <v>0 Original</v>
      </c>
      <c r="D96" s="5" t="s">
        <v>648</v>
      </c>
      <c r="E96" s="3">
        <v>1094</v>
      </c>
      <c r="F96" s="5" t="s">
        <v>649</v>
      </c>
      <c r="G96" s="9">
        <v>6.99</v>
      </c>
      <c r="H96" s="5" t="s">
        <v>387</v>
      </c>
      <c r="I96" s="5" t="s">
        <v>650</v>
      </c>
    </row>
    <row r="97" spans="3:9" x14ac:dyDescent="0.25">
      <c r="C97" t="str">
        <f>IF(COUNTBLANK(E97:K97) = 7,"",IF(AND(NOT(ISBLANK(E97)),COUNTBLANK(E97:K97) = 6),"3 Delete",IF(ISBLANK(E97),"2 Add",IF(SHA1Range(E97:K97) = "eb82268e47f4eb7eb35bf132e549e29da6a38788","0 Original","1 Modify"))))</f>
        <v>0 Original</v>
      </c>
      <c r="D97" s="5" t="s">
        <v>645</v>
      </c>
      <c r="E97" s="3">
        <v>1095</v>
      </c>
      <c r="F97" s="5" t="s">
        <v>646</v>
      </c>
      <c r="G97" s="9">
        <v>7.99</v>
      </c>
      <c r="H97" s="5" t="s">
        <v>636</v>
      </c>
      <c r="I97" s="5" t="s">
        <v>647</v>
      </c>
    </row>
    <row r="98" spans="3:9" x14ac:dyDescent="0.25">
      <c r="C98" t="str">
        <f>IF(COUNTBLANK(E98:K98) = 7,"",IF(AND(NOT(ISBLANK(E98)),COUNTBLANK(E98:K98) = 6),"3 Delete",IF(ISBLANK(E98),"2 Add",IF(SHA1Range(E98:K98) = "22d1a6fbffb17b7794aa26138db593a6b86ec1d0","0 Original","1 Modify"))))</f>
        <v>0 Original</v>
      </c>
      <c r="D98" s="5" t="s">
        <v>642</v>
      </c>
      <c r="E98" s="3">
        <v>1096</v>
      </c>
      <c r="F98" s="5" t="s">
        <v>643</v>
      </c>
      <c r="G98" s="9">
        <v>9.99</v>
      </c>
      <c r="H98" s="5" t="s">
        <v>402</v>
      </c>
      <c r="I98" s="5" t="s">
        <v>644</v>
      </c>
    </row>
    <row r="99" spans="3:9" x14ac:dyDescent="0.25">
      <c r="C99" t="str">
        <f>IF(COUNTBLANK(E99:K99) = 7,"",IF(AND(NOT(ISBLANK(E99)),COUNTBLANK(E99:K99) = 6),"3 Delete",IF(ISBLANK(E99),"2 Add",IF(SHA1Range(E99:K99) = "654ae9418e2ba99d098763f08fc5c1a700244072","0 Original","1 Modify"))))</f>
        <v>0 Original</v>
      </c>
      <c r="D99" s="5" t="s">
        <v>638</v>
      </c>
      <c r="E99" s="3">
        <v>1097</v>
      </c>
      <c r="F99" s="5" t="s">
        <v>639</v>
      </c>
      <c r="G99" s="9">
        <v>6.99</v>
      </c>
      <c r="H99" s="5" t="s">
        <v>640</v>
      </c>
      <c r="I99" s="5" t="s">
        <v>641</v>
      </c>
    </row>
    <row r="100" spans="3:9" x14ac:dyDescent="0.25">
      <c r="C100" t="str">
        <f>IF(COUNTBLANK(E100:K100) = 7,"",IF(AND(NOT(ISBLANK(E100)),COUNTBLANK(E100:K100) = 6),"3 Delete",IF(ISBLANK(E100),"2 Add",IF(SHA1Range(E100:K100) = "0de27095a53fe8d19183ab0303b8a6682b4f8fe7","0 Original","1 Modify"))))</f>
        <v>0 Original</v>
      </c>
      <c r="D100" s="5" t="s">
        <v>631</v>
      </c>
      <c r="E100" s="3">
        <v>1099</v>
      </c>
      <c r="F100" s="5" t="s">
        <v>632</v>
      </c>
      <c r="G100" s="9">
        <v>5.99</v>
      </c>
      <c r="H100" s="5" t="s">
        <v>402</v>
      </c>
      <c r="I100" s="5" t="s">
        <v>633</v>
      </c>
    </row>
    <row r="101" spans="3:9" x14ac:dyDescent="0.25">
      <c r="C101" t="str">
        <f>IF(COUNTBLANK(E101:K101) = 7,"",IF(AND(NOT(ISBLANK(E101)),COUNTBLANK(E101:K101) = 6),"3 Delete",IF(ISBLANK(E101),"2 Add",IF(SHA1Range(E101:K101) = "c9bff174a2b98bf9b3c45bd4e1540eb98de0c325","0 Original","1 Modify"))))</f>
        <v>0 Original</v>
      </c>
      <c r="D101" s="5" t="s">
        <v>628</v>
      </c>
      <c r="E101" s="3">
        <v>1100</v>
      </c>
      <c r="F101" s="5" t="s">
        <v>629</v>
      </c>
      <c r="G101" s="9">
        <v>6.99</v>
      </c>
      <c r="H101" s="5" t="s">
        <v>379</v>
      </c>
      <c r="I101" s="5" t="s">
        <v>630</v>
      </c>
    </row>
    <row r="102" spans="3:9" x14ac:dyDescent="0.25">
      <c r="C102" t="str">
        <f>IF(COUNTBLANK(E102:K102) = 7,"",IF(AND(NOT(ISBLANK(E102)),COUNTBLANK(E102:K102) = 6),"3 Delete",IF(ISBLANK(E102),"2 Add",IF(SHA1Range(E102:K102) = "761047dda8dce84dc3a9219d8ec47950cd12c392","0 Original","1 Modify"))))</f>
        <v>0 Original</v>
      </c>
      <c r="D102" s="5" t="s">
        <v>634</v>
      </c>
      <c r="E102" s="3">
        <v>1098</v>
      </c>
      <c r="F102" s="5" t="s">
        <v>635</v>
      </c>
      <c r="G102" s="9">
        <v>6.99</v>
      </c>
      <c r="H102" s="5" t="s">
        <v>636</v>
      </c>
      <c r="I102" s="5" t="s">
        <v>637</v>
      </c>
    </row>
    <row r="103" spans="3:9" x14ac:dyDescent="0.25">
      <c r="C103" t="str">
        <f>IF(COUNTBLANK(E103:K103) = 7,"",IF(AND(NOT(ISBLANK(E103)),COUNTBLANK(E103:K103) = 6),"3 Delete",IF(ISBLANK(E103),"2 Add",IF(SHA1Range(E103:K103) = "9e524c87b64a454afba1c645a7f1ff1256035cb6","0 Original","1 Modify"))))</f>
        <v>0 Original</v>
      </c>
      <c r="D103" s="5" t="s">
        <v>624</v>
      </c>
      <c r="E103" s="3">
        <v>1101</v>
      </c>
      <c r="F103" s="5" t="s">
        <v>625</v>
      </c>
      <c r="G103" s="9">
        <v>9.99</v>
      </c>
      <c r="H103" s="5" t="s">
        <v>626</v>
      </c>
      <c r="I103" s="5" t="s">
        <v>627</v>
      </c>
    </row>
    <row r="104" spans="3:9" x14ac:dyDescent="0.25">
      <c r="C104" t="str">
        <f>IF(COUNTBLANK(E104:K104) = 7,"",IF(AND(NOT(ISBLANK(E104)),COUNTBLANK(E104:K104) = 6),"3 Delete",IF(ISBLANK(E104),"2 Add",IF(SHA1Range(E104:K104) = "498140b1479431180fb166e303fcb94649a76450","0 Original","1 Modify"))))</f>
        <v>0 Original</v>
      </c>
      <c r="D104" s="5" t="s">
        <v>620</v>
      </c>
      <c r="E104" s="3">
        <v>1102</v>
      </c>
      <c r="F104" s="5" t="s">
        <v>621</v>
      </c>
      <c r="G104" s="9">
        <v>4.99</v>
      </c>
      <c r="H104" s="5" t="s">
        <v>622</v>
      </c>
      <c r="I104" s="5" t="s">
        <v>623</v>
      </c>
    </row>
    <row r="105" spans="3:9" x14ac:dyDescent="0.25">
      <c r="C105" t="str">
        <f>IF(COUNTBLANK(E105:K105) = 7,"",IF(AND(NOT(ISBLANK(E105)),COUNTBLANK(E105:K105) = 6),"3 Delete",IF(ISBLANK(E105),"2 Add",IF(SHA1Range(E105:K105) = "7ab9585081d226195f63d1572c6f5320a6fac3a2","0 Original","1 Modify"))))</f>
        <v>0 Original</v>
      </c>
      <c r="D105" s="5" t="s">
        <v>617</v>
      </c>
      <c r="E105" s="3">
        <v>1103</v>
      </c>
      <c r="F105" s="5" t="s">
        <v>618</v>
      </c>
      <c r="G105" s="9">
        <v>9.99</v>
      </c>
      <c r="H105" s="5" t="s">
        <v>402</v>
      </c>
      <c r="I105" s="5" t="s">
        <v>619</v>
      </c>
    </row>
    <row r="106" spans="3:9" x14ac:dyDescent="0.25">
      <c r="C106" t="str">
        <f>IF(COUNTBLANK(E106:K106) = 7,"",IF(AND(NOT(ISBLANK(E106)),COUNTBLANK(E106:K106) = 6),"3 Delete",IF(ISBLANK(E106),"2 Add",IF(SHA1Range(E106:K106) = "0ecb5dceda6498b9f1cb7b745afc0f7a079da18c","0 Original","1 Modify"))))</f>
        <v>0 Original</v>
      </c>
      <c r="D106" s="5" t="s">
        <v>613</v>
      </c>
      <c r="E106" s="3">
        <v>1104</v>
      </c>
      <c r="F106" s="5" t="s">
        <v>614</v>
      </c>
      <c r="G106" s="9">
        <v>9.99</v>
      </c>
      <c r="H106" s="5" t="s">
        <v>615</v>
      </c>
      <c r="I106" s="5" t="s">
        <v>616</v>
      </c>
    </row>
    <row r="107" spans="3:9" x14ac:dyDescent="0.25">
      <c r="C107" t="str">
        <f>IF(COUNTBLANK(E107:K107) = 7,"",IF(AND(NOT(ISBLANK(E107)),COUNTBLANK(E107:K107) = 6),"3 Delete",IF(ISBLANK(E107),"2 Add",IF(SHA1Range(E107:K107) = "4d58396ef9c9300dfa108645ff874d2470fd3db7","0 Original","1 Modify"))))</f>
        <v>0 Original</v>
      </c>
      <c r="D107" s="5" t="s">
        <v>610</v>
      </c>
      <c r="E107" s="3">
        <v>1105</v>
      </c>
      <c r="F107" s="5" t="s">
        <v>611</v>
      </c>
      <c r="G107" s="9">
        <v>9.99</v>
      </c>
      <c r="H107" s="5" t="s">
        <v>383</v>
      </c>
      <c r="I107" s="5" t="s">
        <v>612</v>
      </c>
    </row>
    <row r="108" spans="3:9" x14ac:dyDescent="0.25">
      <c r="C108" t="str">
        <f>IF(COUNTBLANK(E108:K108) = 7,"",IF(AND(NOT(ISBLANK(E108)),COUNTBLANK(E108:K108) = 6),"3 Delete",IF(ISBLANK(E108),"2 Add",IF(SHA1Range(E108:K108) = "0fbd9f8463189a0aabdd7445581e43a2cd075b2c","0 Original","1 Modify"))))</f>
        <v>0 Original</v>
      </c>
      <c r="D108" s="5" t="s">
        <v>607</v>
      </c>
      <c r="E108" s="3">
        <v>1106</v>
      </c>
      <c r="F108" s="5" t="s">
        <v>608</v>
      </c>
      <c r="G108" s="9">
        <v>9.99</v>
      </c>
      <c r="H108" s="5" t="s">
        <v>402</v>
      </c>
      <c r="I108" s="5" t="s">
        <v>609</v>
      </c>
    </row>
    <row r="109" spans="3:9" x14ac:dyDescent="0.25">
      <c r="C109" t="str">
        <f>IF(COUNTBLANK(E109:K109) = 7,"",IF(AND(NOT(ISBLANK(E109)),COUNTBLANK(E109:K109) = 6),"3 Delete",IF(ISBLANK(E109),"2 Add",IF(SHA1Range(E109:K109) = "9302d3b554072cc55765446c9284fa6267d5a4c2","0 Original","1 Modify"))))</f>
        <v>0 Original</v>
      </c>
      <c r="D109" s="5" t="s">
        <v>604</v>
      </c>
      <c r="E109" s="3">
        <v>1107</v>
      </c>
      <c r="F109" s="5" t="s">
        <v>605</v>
      </c>
      <c r="G109" s="9">
        <v>9.99</v>
      </c>
      <c r="H109" s="5" t="s">
        <v>402</v>
      </c>
      <c r="I109" s="5" t="s">
        <v>606</v>
      </c>
    </row>
    <row r="110" spans="3:9" x14ac:dyDescent="0.25">
      <c r="C110" t="str">
        <f>IF(COUNTBLANK(E110:K110) = 7,"",IF(AND(NOT(ISBLANK(E110)),COUNTBLANK(E110:K110) = 6),"3 Delete",IF(ISBLANK(E110),"2 Add",IF(SHA1Range(E110:K110) = "07d81e54b7cf12a72eada3285924c73560949cfe","0 Original","1 Modify"))))</f>
        <v>0 Original</v>
      </c>
      <c r="D110" s="5" t="s">
        <v>600</v>
      </c>
      <c r="E110" s="3">
        <v>1108</v>
      </c>
      <c r="F110" s="5" t="s">
        <v>601</v>
      </c>
      <c r="G110" s="9">
        <v>5.99</v>
      </c>
      <c r="H110" s="5" t="s">
        <v>602</v>
      </c>
      <c r="I110" s="5" t="s">
        <v>603</v>
      </c>
    </row>
    <row r="111" spans="3:9" x14ac:dyDescent="0.25">
      <c r="C111" t="str">
        <f>IF(COUNTBLANK(E111:K111) = 7,"",IF(AND(NOT(ISBLANK(E111)),COUNTBLANK(E111:K111) = 6),"3 Delete",IF(ISBLANK(E111),"2 Add",IF(SHA1Range(E111:K111) = "f0f82f89f0ecad66f9cc4961e95aa0d6f1f72492","0 Original","1 Modify"))))</f>
        <v>0 Original</v>
      </c>
      <c r="D111" s="5" t="s">
        <v>596</v>
      </c>
      <c r="E111" s="3">
        <v>1109</v>
      </c>
      <c r="F111" s="5" t="s">
        <v>597</v>
      </c>
      <c r="G111" s="9">
        <v>7.99</v>
      </c>
      <c r="H111" s="5" t="s">
        <v>598</v>
      </c>
      <c r="I111" s="5" t="s">
        <v>599</v>
      </c>
    </row>
    <row r="112" spans="3:9" x14ac:dyDescent="0.25">
      <c r="C112" t="str">
        <f>IF(COUNTBLANK(E112:K112) = 7,"",IF(AND(NOT(ISBLANK(E112)),COUNTBLANK(E112:K112) = 6),"3 Delete",IF(ISBLANK(E112),"2 Add",IF(SHA1Range(E112:K112) = "4e3f2eaec0fa13a79f8f009ad9a63a3287797bf5","0 Original","1 Modify"))))</f>
        <v>0 Original</v>
      </c>
      <c r="D112" s="5" t="s">
        <v>592</v>
      </c>
      <c r="E112" s="3">
        <v>1110</v>
      </c>
      <c r="F112" s="5" t="s">
        <v>593</v>
      </c>
      <c r="G112" s="9">
        <v>8.99</v>
      </c>
      <c r="H112" s="5" t="s">
        <v>594</v>
      </c>
      <c r="I112" s="5" t="s">
        <v>595</v>
      </c>
    </row>
    <row r="113" spans="3:9" x14ac:dyDescent="0.25">
      <c r="C113" t="str">
        <f>IF(COUNTBLANK(E113:K113) = 7,"",IF(AND(NOT(ISBLANK(E113)),COUNTBLANK(E113:K113) = 6),"3 Delete",IF(ISBLANK(E113),"2 Add",IF(SHA1Range(E113:K113) = "b16a1d87cab017761aeb0dbb1294764e1559d07f","0 Original","1 Modify"))))</f>
        <v>0 Original</v>
      </c>
      <c r="D113" s="5" t="s">
        <v>588</v>
      </c>
      <c r="E113" s="3">
        <v>1111</v>
      </c>
      <c r="F113" s="5" t="s">
        <v>589</v>
      </c>
      <c r="G113" s="9">
        <v>4.99</v>
      </c>
      <c r="H113" s="5" t="s">
        <v>590</v>
      </c>
      <c r="I113" s="5" t="s">
        <v>591</v>
      </c>
    </row>
    <row r="114" spans="3:9" x14ac:dyDescent="0.25">
      <c r="C114" t="str">
        <f>IF(COUNTBLANK(E114:K114) = 7,"",IF(AND(NOT(ISBLANK(E114)),COUNTBLANK(E114:K114) = 6),"3 Delete",IF(ISBLANK(E114),"2 Add",IF(SHA1Range(E114:K114) = "3a5199462ced637f219394c83c79b9e42c63f435","0 Original","1 Modify"))))</f>
        <v>0 Original</v>
      </c>
      <c r="D114" s="5" t="s">
        <v>585</v>
      </c>
      <c r="E114" s="3">
        <v>1112</v>
      </c>
      <c r="F114" s="5" t="s">
        <v>586</v>
      </c>
      <c r="G114" s="9">
        <v>9.99</v>
      </c>
      <c r="H114" s="5" t="s">
        <v>410</v>
      </c>
      <c r="I114" s="5" t="s">
        <v>587</v>
      </c>
    </row>
    <row r="115" spans="3:9" x14ac:dyDescent="0.25">
      <c r="C115" t="str">
        <f>IF(COUNTBLANK(E115:K115) = 7,"",IF(AND(NOT(ISBLANK(E115)),COUNTBLANK(E115:K115) = 6),"3 Delete",IF(ISBLANK(E115),"2 Add",IF(SHA1Range(E115:K115) = "a80774bf667c611f19e113034a906a46f5b60c62","0 Original","1 Modify"))))</f>
        <v>0 Original</v>
      </c>
      <c r="D115" s="5" t="s">
        <v>582</v>
      </c>
      <c r="E115" s="3">
        <v>1113</v>
      </c>
      <c r="F115" s="5" t="s">
        <v>583</v>
      </c>
      <c r="G115" s="9">
        <v>9.99</v>
      </c>
      <c r="H115" s="5" t="s">
        <v>402</v>
      </c>
      <c r="I115" s="5" t="s">
        <v>584</v>
      </c>
    </row>
    <row r="116" spans="3:9" x14ac:dyDescent="0.25">
      <c r="C116" t="str">
        <f>IF(COUNTBLANK(E116:K116) = 7,"",IF(AND(NOT(ISBLANK(E116)),COUNTBLANK(E116:K116) = 6),"3 Delete",IF(ISBLANK(E116),"2 Add",IF(SHA1Range(E116:K116) = "01ca27f4e2f3f873db0625d5d29a125c6364c540","0 Original","1 Modify"))))</f>
        <v>0 Original</v>
      </c>
      <c r="D116" s="5" t="s">
        <v>579</v>
      </c>
      <c r="E116" s="3">
        <v>1114</v>
      </c>
      <c r="F116" s="5" t="s">
        <v>580</v>
      </c>
      <c r="G116" s="9">
        <v>9.99</v>
      </c>
      <c r="H116" s="5" t="s">
        <v>402</v>
      </c>
      <c r="I116" s="5" t="s">
        <v>581</v>
      </c>
    </row>
    <row r="117" spans="3:9" x14ac:dyDescent="0.25">
      <c r="C117" t="str">
        <f>IF(COUNTBLANK(E117:K117) = 7,"",IF(AND(NOT(ISBLANK(E117)),COUNTBLANK(E117:K117) = 6),"3 Delete",IF(ISBLANK(E117),"2 Add",IF(SHA1Range(E117:K117) = "3ccac38f179ee1cf130f3990b784bfd25a5a9413","0 Original","1 Modify"))))</f>
        <v>0 Original</v>
      </c>
      <c r="D117" s="5" t="s">
        <v>576</v>
      </c>
      <c r="E117" s="3">
        <v>1115</v>
      </c>
      <c r="F117" s="5" t="s">
        <v>577</v>
      </c>
      <c r="G117" s="9">
        <v>6.99</v>
      </c>
      <c r="H117" s="5" t="s">
        <v>505</v>
      </c>
      <c r="I117" s="5" t="s">
        <v>578</v>
      </c>
    </row>
    <row r="118" spans="3:9" x14ac:dyDescent="0.25">
      <c r="C118" t="str">
        <f>IF(COUNTBLANK(E118:K118) = 7,"",IF(AND(NOT(ISBLANK(E118)),COUNTBLANK(E118:K118) = 6),"3 Delete",IF(ISBLANK(E118),"2 Add",IF(SHA1Range(E118:K118) = "02b2385964b7ca0949b8421a0b1b01732988205c","0 Original","1 Modify"))))</f>
        <v>0 Original</v>
      </c>
      <c r="D118" s="5" t="s">
        <v>573</v>
      </c>
      <c r="E118" s="3">
        <v>1116</v>
      </c>
      <c r="F118" s="5" t="s">
        <v>574</v>
      </c>
      <c r="G118" s="9">
        <v>4.99</v>
      </c>
      <c r="H118" s="5" t="s">
        <v>530</v>
      </c>
      <c r="I118" s="5" t="s">
        <v>575</v>
      </c>
    </row>
    <row r="119" spans="3:9" x14ac:dyDescent="0.25">
      <c r="C119" t="str">
        <f>IF(COUNTBLANK(E119:K119) = 7,"",IF(AND(NOT(ISBLANK(E119)),COUNTBLANK(E119:K119) = 6),"3 Delete",IF(ISBLANK(E119),"2 Add",IF(SHA1Range(E119:K119) = "8a5d745a463753725e8d3a0f374cc49c7e924456","0 Original","1 Modify"))))</f>
        <v>0 Original</v>
      </c>
      <c r="D119" s="5" t="s">
        <v>570</v>
      </c>
      <c r="E119" s="3">
        <v>1117</v>
      </c>
      <c r="F119" s="5" t="s">
        <v>571</v>
      </c>
      <c r="G119" s="9">
        <v>6.99</v>
      </c>
      <c r="H119" s="5" t="s">
        <v>383</v>
      </c>
      <c r="I119" s="5" t="s">
        <v>572</v>
      </c>
    </row>
    <row r="120" spans="3:9" x14ac:dyDescent="0.25">
      <c r="C120" t="str">
        <f>IF(COUNTBLANK(E120:K120) = 7,"",IF(AND(NOT(ISBLANK(E120)),COUNTBLANK(E120:K120) = 6),"3 Delete",IF(ISBLANK(E120),"2 Add",IF(SHA1Range(E120:K120) = "03691ef6c8cf54d49cf3bf20660b7f70b733ac70","0 Original","1 Modify"))))</f>
        <v>0 Original</v>
      </c>
      <c r="D120" s="5" t="s">
        <v>566</v>
      </c>
      <c r="E120" s="3">
        <v>1118</v>
      </c>
      <c r="F120" s="5" t="s">
        <v>567</v>
      </c>
      <c r="G120" s="9">
        <v>6.99</v>
      </c>
      <c r="H120" s="5" t="s">
        <v>568</v>
      </c>
      <c r="I120" s="5" t="s">
        <v>569</v>
      </c>
    </row>
    <row r="121" spans="3:9" x14ac:dyDescent="0.25">
      <c r="C121" t="str">
        <f>IF(COUNTBLANK(E121:K121) = 7,"",IF(AND(NOT(ISBLANK(E121)),COUNTBLANK(E121:K121) = 6),"3 Delete",IF(ISBLANK(E121),"2 Add",IF(SHA1Range(E121:K121) = "47d292eacb80f217e99c7063c222f5473d7196c5","0 Original","1 Modify"))))</f>
        <v>0 Original</v>
      </c>
      <c r="D121" s="5" t="s">
        <v>563</v>
      </c>
      <c r="E121" s="3">
        <v>1119</v>
      </c>
      <c r="F121" s="5" t="s">
        <v>564</v>
      </c>
      <c r="G121" s="9">
        <v>6.99</v>
      </c>
      <c r="H121" s="5" t="s">
        <v>387</v>
      </c>
      <c r="I121" s="5" t="s">
        <v>565</v>
      </c>
    </row>
    <row r="122" spans="3:9" x14ac:dyDescent="0.25">
      <c r="C122" t="str">
        <f>IF(COUNTBLANK(E122:K122) = 7,"",IF(AND(NOT(ISBLANK(E122)),COUNTBLANK(E122:K122) = 6),"3 Delete",IF(ISBLANK(E122),"2 Add",IF(SHA1Range(E122:K122) = "45d95850caaa2b1366bd59a1e70a7cefe5b38166","0 Original","1 Modify"))))</f>
        <v>0 Original</v>
      </c>
      <c r="D122" s="5" t="s">
        <v>560</v>
      </c>
      <c r="E122" s="3">
        <v>1120</v>
      </c>
      <c r="F122" s="5" t="s">
        <v>561</v>
      </c>
      <c r="G122" s="9">
        <v>8.99</v>
      </c>
      <c r="H122" s="5" t="s">
        <v>402</v>
      </c>
      <c r="I122" s="5" t="s">
        <v>562</v>
      </c>
    </row>
    <row r="123" spans="3:9" x14ac:dyDescent="0.25">
      <c r="C123" t="str">
        <f>IF(COUNTBLANK(E123:K123) = 7,"",IF(AND(NOT(ISBLANK(E123)),COUNTBLANK(E123:K123) = 6),"3 Delete",IF(ISBLANK(E123),"2 Add",IF(SHA1Range(E123:K123) = "555a963d933f6b278ea1d258b7f433b7cafc08f0","0 Original","1 Modify"))))</f>
        <v>0 Original</v>
      </c>
      <c r="D123" s="5" t="s">
        <v>556</v>
      </c>
      <c r="E123" s="3">
        <v>1121</v>
      </c>
      <c r="F123" s="5" t="s">
        <v>557</v>
      </c>
      <c r="G123" s="9">
        <v>5.99</v>
      </c>
      <c r="H123" s="5" t="s">
        <v>558</v>
      </c>
      <c r="I123" s="5" t="s">
        <v>559</v>
      </c>
    </row>
    <row r="124" spans="3:9" x14ac:dyDescent="0.25">
      <c r="C124" t="str">
        <f>IF(COUNTBLANK(E124:K124) = 7,"",IF(AND(NOT(ISBLANK(E124)),COUNTBLANK(E124:K124) = 6),"3 Delete",IF(ISBLANK(E124),"2 Add",IF(SHA1Range(E124:K124) = "08d3e440f7554908207aff1e35a4183667be2b01","0 Original","1 Modify"))))</f>
        <v>0 Original</v>
      </c>
      <c r="D124" s="5" t="s">
        <v>552</v>
      </c>
      <c r="E124" s="3">
        <v>1122</v>
      </c>
      <c r="F124" s="5" t="s">
        <v>553</v>
      </c>
      <c r="G124" s="9">
        <v>6.99</v>
      </c>
      <c r="H124" s="5" t="s">
        <v>554</v>
      </c>
      <c r="I124" s="5" t="s">
        <v>555</v>
      </c>
    </row>
    <row r="125" spans="3:9" x14ac:dyDescent="0.25">
      <c r="C125" t="str">
        <f>IF(COUNTBLANK(E125:K125) = 7,"",IF(AND(NOT(ISBLANK(E125)),COUNTBLANK(E125:K125) = 6),"3 Delete",IF(ISBLANK(E125),"2 Add",IF(SHA1Range(E125:K125) = "2bbd0983bf7f252781326d54d9ed8b8646660707","0 Original","1 Modify"))))</f>
        <v>0 Original</v>
      </c>
      <c r="D125" s="5" t="s">
        <v>548</v>
      </c>
      <c r="E125" s="3">
        <v>1123</v>
      </c>
      <c r="F125" s="5" t="s">
        <v>549</v>
      </c>
      <c r="G125" s="9">
        <v>5.99</v>
      </c>
      <c r="H125" s="5" t="s">
        <v>550</v>
      </c>
      <c r="I125" s="5" t="s">
        <v>551</v>
      </c>
    </row>
    <row r="126" spans="3:9" x14ac:dyDescent="0.25">
      <c r="C126" t="str">
        <f>IF(COUNTBLANK(E126:K126) = 7,"",IF(AND(NOT(ISBLANK(E126)),COUNTBLANK(E126:K126) = 6),"3 Delete",IF(ISBLANK(E126),"2 Add",IF(SHA1Range(E126:K126) = "df078eb47d0fd0b8fce19ec5fc57f1941fb0d7b5","0 Original","1 Modify"))))</f>
        <v>0 Original</v>
      </c>
      <c r="D126" s="5" t="s">
        <v>545</v>
      </c>
      <c r="E126" s="3">
        <v>1124</v>
      </c>
      <c r="F126" s="5" t="s">
        <v>546</v>
      </c>
      <c r="G126" s="9">
        <v>6.99</v>
      </c>
      <c r="H126" s="5" t="s">
        <v>402</v>
      </c>
      <c r="I126" s="5" t="s">
        <v>547</v>
      </c>
    </row>
    <row r="127" spans="3:9" x14ac:dyDescent="0.25">
      <c r="C127" t="str">
        <f>IF(COUNTBLANK(E127:K127) = 7,"",IF(AND(NOT(ISBLANK(E127)),COUNTBLANK(E127:K127) = 6),"3 Delete",IF(ISBLANK(E127),"2 Add",IF(SHA1Range(E127:K127) = "aea6946a2ff9abd47bff7838f7dfd49a2c5eb8d8","0 Original","1 Modify"))))</f>
        <v>0 Original</v>
      </c>
      <c r="D127" s="5" t="s">
        <v>543</v>
      </c>
      <c r="E127" s="3">
        <v>1125</v>
      </c>
      <c r="F127" s="5" t="s">
        <v>544</v>
      </c>
      <c r="G127" s="9">
        <v>4.99</v>
      </c>
      <c r="H127" s="5" t="s">
        <v>394</v>
      </c>
      <c r="I127" s="5" t="s">
        <v>383</v>
      </c>
    </row>
    <row r="128" spans="3:9" x14ac:dyDescent="0.25">
      <c r="C128" t="str">
        <f>IF(COUNTBLANK(E128:K128) = 7,"",IF(AND(NOT(ISBLANK(E128)),COUNTBLANK(E128:K128) = 6),"3 Delete",IF(ISBLANK(E128),"2 Add",IF(SHA1Range(E128:K128) = "6d9f2d40a2b51bedc71b246ee08876f1d5afce41","0 Original","1 Modify"))))</f>
        <v>0 Original</v>
      </c>
      <c r="D128" s="5" t="s">
        <v>539</v>
      </c>
      <c r="E128" s="3">
        <v>1126</v>
      </c>
      <c r="F128" s="5" t="s">
        <v>540</v>
      </c>
      <c r="G128" s="9">
        <v>8.99</v>
      </c>
      <c r="H128" s="5" t="s">
        <v>541</v>
      </c>
      <c r="I128" s="5" t="s">
        <v>542</v>
      </c>
    </row>
    <row r="129" spans="3:9" x14ac:dyDescent="0.25">
      <c r="C129" t="str">
        <f>IF(COUNTBLANK(E129:K129) = 7,"",IF(AND(NOT(ISBLANK(E129)),COUNTBLANK(E129:K129) = 6),"3 Delete",IF(ISBLANK(E129),"2 Add",IF(SHA1Range(E129:K129) = "75612fc57fd4534d422952727ff66c72961efa75","0 Original","1 Modify"))))</f>
        <v>0 Original</v>
      </c>
      <c r="D129" s="5" t="s">
        <v>535</v>
      </c>
      <c r="E129" s="3">
        <v>1127</v>
      </c>
      <c r="F129" s="5" t="s">
        <v>536</v>
      </c>
      <c r="G129" s="9">
        <v>4.99</v>
      </c>
      <c r="H129" s="5" t="s">
        <v>537</v>
      </c>
      <c r="I129" s="5" t="s">
        <v>538</v>
      </c>
    </row>
    <row r="130" spans="3:9" x14ac:dyDescent="0.25">
      <c r="C130" t="str">
        <f>IF(COUNTBLANK(E130:K130) = 7,"",IF(AND(NOT(ISBLANK(E130)),COUNTBLANK(E130:K130) = 6),"3 Delete",IF(ISBLANK(E130),"2 Add",IF(SHA1Range(E130:K130) = "0024025f332437f9631d847082af84206157ec5e","0 Original","1 Modify"))))</f>
        <v>0 Original</v>
      </c>
      <c r="D130" s="5" t="s">
        <v>532</v>
      </c>
      <c r="E130" s="3">
        <v>1128</v>
      </c>
      <c r="F130" s="5" t="s">
        <v>533</v>
      </c>
      <c r="G130" s="9">
        <v>9.99</v>
      </c>
      <c r="H130" s="5" t="s">
        <v>402</v>
      </c>
      <c r="I130" s="5" t="s">
        <v>534</v>
      </c>
    </row>
    <row r="131" spans="3:9" x14ac:dyDescent="0.25">
      <c r="C131" t="str">
        <f>IF(COUNTBLANK(E131:K131) = 7,"",IF(AND(NOT(ISBLANK(E131)),COUNTBLANK(E131:K131) = 6),"3 Delete",IF(ISBLANK(E131),"2 Add",IF(SHA1Range(E131:K131) = "8740fe0d3a7936def67b2a40c4ad8875257fbbed","0 Original","1 Modify"))))</f>
        <v>0 Original</v>
      </c>
      <c r="D131" s="5" t="s">
        <v>528</v>
      </c>
      <c r="E131" s="3">
        <v>1129</v>
      </c>
      <c r="F131" s="5" t="s">
        <v>529</v>
      </c>
      <c r="G131" s="9">
        <v>5.99</v>
      </c>
      <c r="H131" s="5" t="s">
        <v>530</v>
      </c>
      <c r="I131" s="5" t="s">
        <v>531</v>
      </c>
    </row>
    <row r="132" spans="3:9" x14ac:dyDescent="0.25">
      <c r="C132" t="str">
        <f>IF(COUNTBLANK(E132:K132) = 7,"",IF(AND(NOT(ISBLANK(E132)),COUNTBLANK(E132:K132) = 6),"3 Delete",IF(ISBLANK(E132),"2 Add",IF(SHA1Range(E132:K132) = "b2d237009432a16dfb5af321e9a41ac58a59dc24","0 Original","1 Modify"))))</f>
        <v>0 Original</v>
      </c>
      <c r="D132" s="5" t="s">
        <v>525</v>
      </c>
      <c r="E132" s="3">
        <v>1130</v>
      </c>
      <c r="F132" s="5" t="s">
        <v>526</v>
      </c>
      <c r="G132" s="9">
        <v>9.99</v>
      </c>
      <c r="H132" s="5" t="s">
        <v>402</v>
      </c>
      <c r="I132" s="5" t="s">
        <v>527</v>
      </c>
    </row>
    <row r="133" spans="3:9" x14ac:dyDescent="0.25">
      <c r="C133" t="str">
        <f>IF(COUNTBLANK(E133:K133) = 7,"",IF(AND(NOT(ISBLANK(E133)),COUNTBLANK(E133:K133) = 6),"3 Delete",IF(ISBLANK(E133),"2 Add",IF(SHA1Range(E133:K133) = "d41c5c44ed20917770b7692c73dbb6b579f41f88","0 Original","1 Modify"))))</f>
        <v>0 Original</v>
      </c>
      <c r="D133" s="5" t="s">
        <v>521</v>
      </c>
      <c r="E133" s="3">
        <v>1131</v>
      </c>
      <c r="F133" s="5" t="s">
        <v>522</v>
      </c>
      <c r="G133" s="9">
        <v>7.99</v>
      </c>
      <c r="H133" s="5" t="s">
        <v>523</v>
      </c>
      <c r="I133" s="5" t="s">
        <v>524</v>
      </c>
    </row>
    <row r="134" spans="3:9" x14ac:dyDescent="0.25">
      <c r="C134" t="str">
        <f>IF(COUNTBLANK(E134:K134) = 7,"",IF(AND(NOT(ISBLANK(E134)),COUNTBLANK(E134:K134) = 6),"3 Delete",IF(ISBLANK(E134),"2 Add",IF(SHA1Range(E134:K134) = "4b11cad18637107718ec111b92ee00c7c1d966f7","0 Original","1 Modify"))))</f>
        <v>0 Original</v>
      </c>
      <c r="D134" s="5" t="s">
        <v>517</v>
      </c>
      <c r="E134" s="3">
        <v>1132</v>
      </c>
      <c r="F134" s="5" t="s">
        <v>518</v>
      </c>
      <c r="G134" s="9">
        <v>5.99</v>
      </c>
      <c r="H134" s="5" t="s">
        <v>519</v>
      </c>
      <c r="I134" s="5" t="s">
        <v>520</v>
      </c>
    </row>
    <row r="135" spans="3:9" x14ac:dyDescent="0.25">
      <c r="C135" t="str">
        <f>IF(COUNTBLANK(E135:K135) = 7,"",IF(AND(NOT(ISBLANK(E135)),COUNTBLANK(E135:K135) = 6),"3 Delete",IF(ISBLANK(E135),"2 Add",IF(SHA1Range(E135:K135) = "2cb839d1e4747eae4713862ba64c1faa2db871a5","0 Original","1 Modify"))))</f>
        <v>0 Original</v>
      </c>
      <c r="D135" s="5" t="s">
        <v>514</v>
      </c>
      <c r="E135" s="3">
        <v>1133</v>
      </c>
      <c r="F135" s="5" t="s">
        <v>515</v>
      </c>
      <c r="G135" s="9">
        <v>6.99</v>
      </c>
      <c r="H135" s="5" t="s">
        <v>402</v>
      </c>
      <c r="I135" s="5" t="s">
        <v>516</v>
      </c>
    </row>
    <row r="136" spans="3:9" x14ac:dyDescent="0.25">
      <c r="C136" t="str">
        <f>IF(COUNTBLANK(E136:K136) = 7,"",IF(AND(NOT(ISBLANK(E136)),COUNTBLANK(E136:K136) = 6),"3 Delete",IF(ISBLANK(E136),"2 Add",IF(SHA1Range(E136:K136) = "1de9be6d8997a30e75f1b95c06b22e961461c04c","0 Original","1 Modify"))))</f>
        <v>0 Original</v>
      </c>
      <c r="D136" s="5" t="s">
        <v>510</v>
      </c>
      <c r="E136" s="3">
        <v>1134</v>
      </c>
      <c r="F136" s="5" t="s">
        <v>511</v>
      </c>
      <c r="G136" s="9">
        <v>4.99</v>
      </c>
      <c r="H136" s="5" t="s">
        <v>512</v>
      </c>
      <c r="I136" s="5" t="s">
        <v>513</v>
      </c>
    </row>
    <row r="137" spans="3:9" x14ac:dyDescent="0.25">
      <c r="C137" t="str">
        <f>IF(COUNTBLANK(E137:K137) = 7,"",IF(AND(NOT(ISBLANK(E137)),COUNTBLANK(E137:K137) = 6),"3 Delete",IF(ISBLANK(E137),"2 Add",IF(SHA1Range(E137:K137) = "b45fa210c7aa52c33662bc25f8fd1c7f475a0546","0 Original","1 Modify"))))</f>
        <v>0 Original</v>
      </c>
      <c r="D137" s="5" t="s">
        <v>500</v>
      </c>
      <c r="E137" s="3">
        <v>1137</v>
      </c>
      <c r="F137" s="5" t="s">
        <v>501</v>
      </c>
      <c r="G137" s="9">
        <v>6.99</v>
      </c>
      <c r="H137" s="5" t="s">
        <v>387</v>
      </c>
      <c r="I137" s="5" t="s">
        <v>502</v>
      </c>
    </row>
    <row r="138" spans="3:9" x14ac:dyDescent="0.25">
      <c r="C138" t="str">
        <f>IF(COUNTBLANK(E138:K138) = 7,"",IF(AND(NOT(ISBLANK(E138)),COUNTBLANK(E138:K138) = 6),"3 Delete",IF(ISBLANK(E138),"2 Add",IF(SHA1Range(E138:K138) = "ecd78adbbc6fe69d2600d088394e0bf438699412","0 Original","1 Modify"))))</f>
        <v>0 Original</v>
      </c>
      <c r="D138" s="5" t="s">
        <v>507</v>
      </c>
      <c r="E138" s="3">
        <v>1135</v>
      </c>
      <c r="F138" s="5" t="s">
        <v>508</v>
      </c>
      <c r="G138" s="9">
        <v>6.99</v>
      </c>
      <c r="H138" s="5" t="s">
        <v>402</v>
      </c>
      <c r="I138" s="5" t="s">
        <v>509</v>
      </c>
    </row>
    <row r="139" spans="3:9" x14ac:dyDescent="0.25">
      <c r="C139" t="str">
        <f>IF(COUNTBLANK(E139:K139) = 7,"",IF(AND(NOT(ISBLANK(E139)),COUNTBLANK(E139:K139) = 6),"3 Delete",IF(ISBLANK(E139),"2 Add",IF(SHA1Range(E139:K139) = "9e41082468728646bb41d5abc1b600387e5575ad","0 Original","1 Modify"))))</f>
        <v>0 Original</v>
      </c>
      <c r="D139" s="5" t="s">
        <v>496</v>
      </c>
      <c r="E139" s="3">
        <v>1138</v>
      </c>
      <c r="F139" s="5" t="s">
        <v>497</v>
      </c>
      <c r="G139" s="9">
        <v>8.99</v>
      </c>
      <c r="H139" s="5" t="s">
        <v>498</v>
      </c>
      <c r="I139" s="5" t="s">
        <v>499</v>
      </c>
    </row>
    <row r="140" spans="3:9" x14ac:dyDescent="0.25">
      <c r="C140" t="str">
        <f>IF(COUNTBLANK(E140:K140) = 7,"",IF(AND(NOT(ISBLANK(E140)),COUNTBLANK(E140:K140) = 6),"3 Delete",IF(ISBLANK(E140),"2 Add",IF(SHA1Range(E140:K140) = "8f1f82c172bf3388cb99ee761718d4f38d633c1c","0 Original","1 Modify"))))</f>
        <v>0 Original</v>
      </c>
      <c r="D140" s="5" t="s">
        <v>492</v>
      </c>
      <c r="E140" s="3">
        <v>1139</v>
      </c>
      <c r="F140" s="5" t="s">
        <v>493</v>
      </c>
      <c r="G140" s="9">
        <v>7.99</v>
      </c>
      <c r="H140" s="5" t="s">
        <v>494</v>
      </c>
      <c r="I140" s="5" t="s">
        <v>495</v>
      </c>
    </row>
    <row r="141" spans="3:9" x14ac:dyDescent="0.25">
      <c r="C141" t="str">
        <f>IF(COUNTBLANK(E141:K141) = 7,"",IF(AND(NOT(ISBLANK(E141)),COUNTBLANK(E141:K141) = 6),"3 Delete",IF(ISBLANK(E141),"2 Add",IF(SHA1Range(E141:K141) = "3605340dee06dc29a2fc5cfe4417b20e382dd273","0 Original","1 Modify"))))</f>
        <v>0 Original</v>
      </c>
      <c r="D141" s="5" t="s">
        <v>488</v>
      </c>
      <c r="E141" s="3">
        <v>1140</v>
      </c>
      <c r="F141" s="5" t="s">
        <v>489</v>
      </c>
      <c r="G141" s="9">
        <v>8.99</v>
      </c>
      <c r="H141" s="5" t="s">
        <v>490</v>
      </c>
      <c r="I141" s="5" t="s">
        <v>491</v>
      </c>
    </row>
    <row r="142" spans="3:9" x14ac:dyDescent="0.25">
      <c r="C142" t="str">
        <f>IF(COUNTBLANK(E142:K142) = 7,"",IF(AND(NOT(ISBLANK(E142)),COUNTBLANK(E142:K142) = 6),"3 Delete",IF(ISBLANK(E142),"2 Add",IF(SHA1Range(E142:K142) = "b132656c4cbf833ef4c066fa2df1d8bf4a64229f","0 Original","1 Modify"))))</f>
        <v>0 Original</v>
      </c>
      <c r="D142" s="5" t="s">
        <v>485</v>
      </c>
      <c r="E142" s="3">
        <v>1141</v>
      </c>
      <c r="F142" s="5" t="s">
        <v>486</v>
      </c>
      <c r="G142" s="9">
        <v>4.99</v>
      </c>
      <c r="H142" s="5" t="s">
        <v>402</v>
      </c>
      <c r="I142" s="5" t="s">
        <v>487</v>
      </c>
    </row>
    <row r="143" spans="3:9" x14ac:dyDescent="0.25">
      <c r="C143" t="str">
        <f>IF(COUNTBLANK(E143:K143) = 7,"",IF(AND(NOT(ISBLANK(E143)),COUNTBLANK(E143:K143) = 6),"3 Delete",IF(ISBLANK(E143),"2 Add",IF(SHA1Range(E143:K143) = "144dcb9cdc7e34a671cc59ff7ff700977dc1ffc4","0 Original","1 Modify"))))</f>
        <v>0 Original</v>
      </c>
      <c r="D143" s="5" t="s">
        <v>482</v>
      </c>
      <c r="E143" s="3">
        <v>1142</v>
      </c>
      <c r="F143" s="5" t="s">
        <v>483</v>
      </c>
      <c r="G143" s="9">
        <v>8.99</v>
      </c>
      <c r="H143" s="5" t="s">
        <v>402</v>
      </c>
      <c r="I143" s="5" t="s">
        <v>484</v>
      </c>
    </row>
    <row r="144" spans="3:9" x14ac:dyDescent="0.25">
      <c r="C144" t="str">
        <f>IF(COUNTBLANK(E144:K144) = 7,"",IF(AND(NOT(ISBLANK(E144)),COUNTBLANK(E144:K144) = 6),"3 Delete",IF(ISBLANK(E144),"2 Add",IF(SHA1Range(E144:K144) = "26a1d8cbb0c438810af99d3109b3208affc4e766","0 Original","1 Modify"))))</f>
        <v>0 Original</v>
      </c>
      <c r="D144" s="5" t="s">
        <v>479</v>
      </c>
      <c r="E144" s="3">
        <v>1143</v>
      </c>
      <c r="F144" s="5" t="s">
        <v>480</v>
      </c>
      <c r="G144" s="9">
        <v>6.99</v>
      </c>
      <c r="H144" s="5" t="s">
        <v>402</v>
      </c>
      <c r="I144" s="5" t="s">
        <v>481</v>
      </c>
    </row>
    <row r="145" spans="3:9" x14ac:dyDescent="0.25">
      <c r="C145" t="str">
        <f>IF(COUNTBLANK(E145:K145) = 7,"",IF(AND(NOT(ISBLANK(E145)),COUNTBLANK(E145:K145) = 6),"3 Delete",IF(ISBLANK(E145),"2 Add",IF(SHA1Range(E145:K145) = "8468429acf817ef9247f0ab51f6adcc3e8929cdb","0 Original","1 Modify"))))</f>
        <v>0 Original</v>
      </c>
      <c r="D145" s="5" t="s">
        <v>475</v>
      </c>
      <c r="E145" s="3">
        <v>1144</v>
      </c>
      <c r="F145" s="5" t="s">
        <v>476</v>
      </c>
      <c r="G145" s="9">
        <v>7.99</v>
      </c>
      <c r="H145" s="5" t="s">
        <v>477</v>
      </c>
      <c r="I145" s="5" t="s">
        <v>478</v>
      </c>
    </row>
    <row r="146" spans="3:9" x14ac:dyDescent="0.25">
      <c r="C146" t="str">
        <f>IF(COUNTBLANK(E146:K146) = 7,"",IF(AND(NOT(ISBLANK(E146)),COUNTBLANK(E146:K146) = 6),"3 Delete",IF(ISBLANK(E146),"2 Add",IF(SHA1Range(E146:K146) = "87cb16c1b8626b0d4f59437e6ea6283ad6377b56","0 Original","1 Modify"))))</f>
        <v>0 Original</v>
      </c>
      <c r="D146" s="5" t="s">
        <v>472</v>
      </c>
      <c r="E146" s="3">
        <v>1145</v>
      </c>
      <c r="F146" s="5" t="s">
        <v>473</v>
      </c>
      <c r="G146" s="9">
        <v>4.99</v>
      </c>
      <c r="H146" s="5" t="s">
        <v>470</v>
      </c>
      <c r="I146" s="5" t="s">
        <v>474</v>
      </c>
    </row>
    <row r="147" spans="3:9" x14ac:dyDescent="0.25">
      <c r="C147" t="str">
        <f>IF(COUNTBLANK(E147:K147) = 7,"",IF(AND(NOT(ISBLANK(E147)),COUNTBLANK(E147:K147) = 6),"3 Delete",IF(ISBLANK(E147),"2 Add",IF(SHA1Range(E147:K147) = "489830622bae792d82e3f59713a1703285d9839f","0 Original","1 Modify"))))</f>
        <v>0 Original</v>
      </c>
      <c r="D147" s="5" t="s">
        <v>468</v>
      </c>
      <c r="E147" s="3">
        <v>1146</v>
      </c>
      <c r="F147" s="5" t="s">
        <v>469</v>
      </c>
      <c r="G147" s="9">
        <v>5.99</v>
      </c>
      <c r="H147" s="5" t="s">
        <v>470</v>
      </c>
      <c r="I147" s="5" t="s">
        <v>471</v>
      </c>
    </row>
    <row r="148" spans="3:9" x14ac:dyDescent="0.25">
      <c r="C148" t="str">
        <f>IF(COUNTBLANK(E148:K148) = 7,"",IF(AND(NOT(ISBLANK(E148)),COUNTBLANK(E148:K148) = 6),"3 Delete",IF(ISBLANK(E148),"2 Add",IF(SHA1Range(E148:K148) = "044058f1edc24eead269114da11423216394794b","0 Original","1 Modify"))))</f>
        <v>0 Original</v>
      </c>
      <c r="D148" s="5" t="s">
        <v>464</v>
      </c>
      <c r="E148" s="3">
        <v>1147</v>
      </c>
      <c r="F148" s="5" t="s">
        <v>465</v>
      </c>
      <c r="G148" s="9">
        <v>8.99</v>
      </c>
      <c r="H148" s="5" t="s">
        <v>466</v>
      </c>
      <c r="I148" s="5" t="s">
        <v>467</v>
      </c>
    </row>
    <row r="149" spans="3:9" x14ac:dyDescent="0.25">
      <c r="C149" t="str">
        <f>IF(COUNTBLANK(E149:K149) = 7,"",IF(AND(NOT(ISBLANK(E149)),COUNTBLANK(E149:K149) = 6),"3 Delete",IF(ISBLANK(E149),"2 Add",IF(SHA1Range(E149:K149) = "3ef78d1e8b98152f13954dd851c6f1c92f7a38f4","0 Original","1 Modify"))))</f>
        <v>0 Original</v>
      </c>
      <c r="D149" s="5" t="s">
        <v>461</v>
      </c>
      <c r="E149" s="3">
        <v>1148</v>
      </c>
      <c r="F149" s="5" t="s">
        <v>462</v>
      </c>
      <c r="G149" s="9">
        <v>6.99</v>
      </c>
      <c r="H149" s="5" t="s">
        <v>402</v>
      </c>
      <c r="I149" s="5" t="s">
        <v>463</v>
      </c>
    </row>
    <row r="150" spans="3:9" x14ac:dyDescent="0.25">
      <c r="C150" t="str">
        <f>IF(COUNTBLANK(E150:K150) = 7,"",IF(AND(NOT(ISBLANK(E150)),COUNTBLANK(E150:K150) = 6),"3 Delete",IF(ISBLANK(E150),"2 Add",IF(SHA1Range(E150:K150) = "4d9df98f08436dbe85d6685b0145ffbe5fc83eda","0 Original","1 Modify"))))</f>
        <v>0 Original</v>
      </c>
      <c r="D150" s="5" t="s">
        <v>457</v>
      </c>
      <c r="E150" s="3">
        <v>1149</v>
      </c>
      <c r="F150" s="5" t="s">
        <v>458</v>
      </c>
      <c r="G150" s="9">
        <v>4.99</v>
      </c>
      <c r="H150" s="5" t="s">
        <v>459</v>
      </c>
      <c r="I150" s="5" t="s">
        <v>460</v>
      </c>
    </row>
    <row r="151" spans="3:9" x14ac:dyDescent="0.25">
      <c r="C151" t="str">
        <f>IF(COUNTBLANK(E151:K151) = 7,"",IF(AND(NOT(ISBLANK(E151)),COUNTBLANK(E151:K151) = 6),"3 Delete",IF(ISBLANK(E151),"2 Add",IF(SHA1Range(E151:K151) = "ad475101e57af193bc8021f2aff4b64af8b62b0d","0 Original","1 Modify"))))</f>
        <v>0 Original</v>
      </c>
      <c r="D151" s="5" t="s">
        <v>448</v>
      </c>
      <c r="E151" s="3">
        <v>1152</v>
      </c>
      <c r="F151" s="5" t="s">
        <v>449</v>
      </c>
      <c r="G151" s="9">
        <v>8.99</v>
      </c>
      <c r="H151" s="5" t="s">
        <v>402</v>
      </c>
      <c r="I151" s="5" t="s">
        <v>450</v>
      </c>
    </row>
    <row r="152" spans="3:9" x14ac:dyDescent="0.25">
      <c r="C152" t="str">
        <f>IF(COUNTBLANK(E152:K152) = 7,"",IF(AND(NOT(ISBLANK(E152)),COUNTBLANK(E152:K152) = 6),"3 Delete",IF(ISBLANK(E152),"2 Add",IF(SHA1Range(E152:K152) = "bc02a86fd901eeaaa6f2424214d8e1eb1c03ebea","0 Original","1 Modify"))))</f>
        <v>0 Original</v>
      </c>
      <c r="D152" s="5" t="s">
        <v>454</v>
      </c>
      <c r="E152" s="3">
        <v>1150</v>
      </c>
      <c r="F152" s="5" t="s">
        <v>455</v>
      </c>
      <c r="G152" s="9">
        <v>7.99</v>
      </c>
      <c r="H152" s="5" t="s">
        <v>402</v>
      </c>
      <c r="I152" s="5" t="s">
        <v>456</v>
      </c>
    </row>
    <row r="153" spans="3:9" x14ac:dyDescent="0.25">
      <c r="C153" t="str">
        <f>IF(COUNTBLANK(E153:K153) = 7,"",IF(AND(NOT(ISBLANK(E153)),COUNTBLANK(E153:K153) = 6),"3 Delete",IF(ISBLANK(E153),"2 Add",IF(SHA1Range(E153:K153) = "b24761634ecfe0d20d202f5db31eb65e191098a6","0 Original","1 Modify"))))</f>
        <v>0 Original</v>
      </c>
      <c r="D153" s="5" t="s">
        <v>451</v>
      </c>
      <c r="E153" s="3">
        <v>1151</v>
      </c>
      <c r="F153" s="5" t="s">
        <v>452</v>
      </c>
      <c r="G153" s="9">
        <v>5.99</v>
      </c>
      <c r="H153" s="5" t="s">
        <v>383</v>
      </c>
      <c r="I153" s="5" t="s">
        <v>453</v>
      </c>
    </row>
    <row r="154" spans="3:9" x14ac:dyDescent="0.25">
      <c r="C154" t="str">
        <f>IF(COUNTBLANK(E154:K154) = 7,"",IF(AND(NOT(ISBLANK(E154)),COUNTBLANK(E154:K154) = 6),"3 Delete",IF(ISBLANK(E154),"2 Add",IF(SHA1Range(E154:K154) = "cda3bfb5b930a3612c46bdfcbe6fae5f90f07baa","0 Original","1 Modify"))))</f>
        <v>0 Original</v>
      </c>
      <c r="D154" s="5" t="s">
        <v>445</v>
      </c>
      <c r="E154" s="3">
        <v>1153</v>
      </c>
      <c r="F154" s="5" t="s">
        <v>446</v>
      </c>
      <c r="G154" s="9">
        <v>7.99</v>
      </c>
      <c r="H154" s="5" t="s">
        <v>402</v>
      </c>
      <c r="I154" s="5" t="s">
        <v>447</v>
      </c>
    </row>
    <row r="155" spans="3:9" x14ac:dyDescent="0.25">
      <c r="C155" t="str">
        <f>IF(COUNTBLANK(E155:K155) = 7,"",IF(AND(NOT(ISBLANK(E155)),COUNTBLANK(E155:K155) = 6),"3 Delete",IF(ISBLANK(E155),"2 Add",IF(SHA1Range(E155:K155) = "3d623218833910e3a14e23c1692eb07850a1f74b","0 Original","1 Modify"))))</f>
        <v>0 Original</v>
      </c>
      <c r="D155" s="5" t="s">
        <v>442</v>
      </c>
      <c r="E155" s="3">
        <v>1154</v>
      </c>
      <c r="F155" s="5" t="s">
        <v>443</v>
      </c>
      <c r="G155" s="9">
        <v>4.99</v>
      </c>
      <c r="H155" s="5" t="s">
        <v>402</v>
      </c>
      <c r="I155" s="5" t="s">
        <v>444</v>
      </c>
    </row>
    <row r="156" spans="3:9" x14ac:dyDescent="0.25">
      <c r="C156" t="str">
        <f>IF(COUNTBLANK(E156:K156) = 7,"",IF(AND(NOT(ISBLANK(E156)),COUNTBLANK(E156:K156) = 6),"3 Delete",IF(ISBLANK(E156),"2 Add",IF(SHA1Range(E156:K156) = "0c424ae349aa65018241eed5471deed8ce0fd09b","0 Original","1 Modify"))))</f>
        <v>0 Original</v>
      </c>
      <c r="D156" s="5" t="s">
        <v>439</v>
      </c>
      <c r="E156" s="3">
        <v>1155</v>
      </c>
      <c r="F156" s="5" t="s">
        <v>440</v>
      </c>
      <c r="G156" s="9">
        <v>8.99</v>
      </c>
      <c r="H156" s="5" t="s">
        <v>387</v>
      </c>
      <c r="I156" s="5" t="s">
        <v>441</v>
      </c>
    </row>
    <row r="157" spans="3:9" x14ac:dyDescent="0.25">
      <c r="C157" t="str">
        <f>IF(COUNTBLANK(E157:K157) = 7,"",IF(AND(NOT(ISBLANK(E157)),COUNTBLANK(E157:K157) = 6),"3 Delete",IF(ISBLANK(E157),"2 Add",IF(SHA1Range(E157:K157) = "e8aa45453d61bae684aadde44a4523ebc9bf8927","0 Original","1 Modify"))))</f>
        <v>0 Original</v>
      </c>
      <c r="D157" s="5" t="s">
        <v>436</v>
      </c>
      <c r="E157" s="3">
        <v>1156</v>
      </c>
      <c r="F157" s="5" t="s">
        <v>437</v>
      </c>
      <c r="G157" s="9">
        <v>9.99</v>
      </c>
      <c r="H157" s="5" t="s">
        <v>402</v>
      </c>
      <c r="I157" s="5" t="s">
        <v>438</v>
      </c>
    </row>
    <row r="158" spans="3:9" x14ac:dyDescent="0.25">
      <c r="C158" t="str">
        <f>IF(COUNTBLANK(E158:K158) = 7,"",IF(AND(NOT(ISBLANK(E158)),COUNTBLANK(E158:K158) = 6),"3 Delete",IF(ISBLANK(E158),"2 Add",IF(SHA1Range(E158:K158) = "e54c1db989f18fdeba0778d8d3b0779bd79027d2","0 Original","1 Modify"))))</f>
        <v>0 Original</v>
      </c>
      <c r="D158" s="5" t="s">
        <v>432</v>
      </c>
      <c r="E158" s="3">
        <v>1157</v>
      </c>
      <c r="F158" s="5" t="s">
        <v>433</v>
      </c>
      <c r="G158" s="9">
        <v>8.99</v>
      </c>
      <c r="H158" s="5" t="s">
        <v>434</v>
      </c>
      <c r="I158" s="5" t="s">
        <v>435</v>
      </c>
    </row>
    <row r="159" spans="3:9" x14ac:dyDescent="0.25">
      <c r="C159" t="str">
        <f>IF(COUNTBLANK(E159:K159) = 7,"",IF(AND(NOT(ISBLANK(E159)),COUNTBLANK(E159:K159) = 6),"3 Delete",IF(ISBLANK(E159),"2 Add",IF(SHA1Range(E159:K159) = "21b1936ae11c3f238f942dfd0805b2d203d21309","0 Original","1 Modify"))))</f>
        <v>0 Original</v>
      </c>
      <c r="D159" s="5" t="s">
        <v>429</v>
      </c>
      <c r="E159" s="3">
        <v>1158</v>
      </c>
      <c r="F159" s="5" t="s">
        <v>430</v>
      </c>
      <c r="G159" s="9">
        <v>6.99</v>
      </c>
      <c r="H159" s="5" t="s">
        <v>379</v>
      </c>
      <c r="I159" s="5" t="s">
        <v>431</v>
      </c>
    </row>
    <row r="160" spans="3:9" x14ac:dyDescent="0.25">
      <c r="C160" t="str">
        <f>IF(COUNTBLANK(E160:K160) = 7,"",IF(AND(NOT(ISBLANK(E160)),COUNTBLANK(E160:K160) = 6),"3 Delete",IF(ISBLANK(E160),"2 Add",IF(SHA1Range(E160:K160) = "01414b90871d4bcbbd476359d2fcba94f347d5a8","0 Original","1 Modify"))))</f>
        <v>0 Original</v>
      </c>
      <c r="D160" s="5" t="s">
        <v>426</v>
      </c>
      <c r="E160" s="3">
        <v>1159</v>
      </c>
      <c r="F160" s="5" t="s">
        <v>427</v>
      </c>
      <c r="G160" s="9">
        <v>8.99</v>
      </c>
      <c r="H160" s="5" t="s">
        <v>383</v>
      </c>
      <c r="I160" s="5" t="s">
        <v>428</v>
      </c>
    </row>
    <row r="161" spans="3:9" x14ac:dyDescent="0.25">
      <c r="C161" t="str">
        <f>IF(COUNTBLANK(E161:K161) = 7,"",IF(AND(NOT(ISBLANK(E161)),COUNTBLANK(E161:K161) = 6),"3 Delete",IF(ISBLANK(E161),"2 Add",IF(SHA1Range(E161:K161) = "bb0ed87ae0711e155110041f70beef7cffe584d9","0 Original","1 Modify"))))</f>
        <v>0 Original</v>
      </c>
      <c r="D161" s="5" t="s">
        <v>423</v>
      </c>
      <c r="E161" s="3">
        <v>1160</v>
      </c>
      <c r="F161" s="5" t="s">
        <v>424</v>
      </c>
      <c r="G161" s="9">
        <v>4.99</v>
      </c>
      <c r="H161" s="5" t="s">
        <v>402</v>
      </c>
      <c r="I161" s="5" t="s">
        <v>425</v>
      </c>
    </row>
    <row r="162" spans="3:9" x14ac:dyDescent="0.25">
      <c r="C162" t="str">
        <f>IF(COUNTBLANK(E162:K162) = 7,"",IF(AND(NOT(ISBLANK(E162)),COUNTBLANK(E162:K162) = 6),"3 Delete",IF(ISBLANK(E162),"2 Add",IF(SHA1Range(E162:K162) = "1d27f09d5a92a0a1a1f37d346521b9fc6988d6d2","0 Original","1 Modify"))))</f>
        <v>0 Original</v>
      </c>
      <c r="D162" s="5" t="s">
        <v>420</v>
      </c>
      <c r="E162" s="3">
        <v>1161</v>
      </c>
      <c r="F162" s="5" t="s">
        <v>421</v>
      </c>
      <c r="G162" s="9">
        <v>5.99</v>
      </c>
      <c r="H162" s="5" t="s">
        <v>383</v>
      </c>
      <c r="I162" s="5" t="s">
        <v>422</v>
      </c>
    </row>
    <row r="163" spans="3:9" x14ac:dyDescent="0.25">
      <c r="C163" t="str">
        <f>IF(COUNTBLANK(E163:K163) = 7,"",IF(AND(NOT(ISBLANK(E163)),COUNTBLANK(E163:K163) = 6),"3 Delete",IF(ISBLANK(E163),"2 Add",IF(SHA1Range(E163:K163) = "dd783dc602eca7b7b06456c0aa31c9055bf4113b","0 Original","1 Modify"))))</f>
        <v>0 Original</v>
      </c>
      <c r="D163" s="5" t="s">
        <v>416</v>
      </c>
      <c r="E163" s="3">
        <v>1162</v>
      </c>
      <c r="F163" s="5" t="s">
        <v>417</v>
      </c>
      <c r="G163" s="9">
        <v>7.99</v>
      </c>
      <c r="H163" s="5" t="s">
        <v>418</v>
      </c>
      <c r="I163" s="5" t="s">
        <v>419</v>
      </c>
    </row>
    <row r="164" spans="3:9" x14ac:dyDescent="0.25">
      <c r="C164" t="str">
        <f>IF(COUNTBLANK(E164:K164) = 7,"",IF(AND(NOT(ISBLANK(E164)),COUNTBLANK(E164:K164) = 6),"3 Delete",IF(ISBLANK(E164),"2 Add",IF(SHA1Range(E164:K164) = "bfbae9410c95ab78ea694a89a46ede8cd8d8f5f5","0 Original","1 Modify"))))</f>
        <v>0 Original</v>
      </c>
      <c r="D164" s="5" t="s">
        <v>412</v>
      </c>
      <c r="E164" s="3">
        <v>1163</v>
      </c>
      <c r="F164" s="5" t="s">
        <v>413</v>
      </c>
      <c r="G164" s="9">
        <v>9.99</v>
      </c>
      <c r="H164" s="5" t="s">
        <v>414</v>
      </c>
      <c r="I164" s="5" t="s">
        <v>415</v>
      </c>
    </row>
    <row r="165" spans="3:9" x14ac:dyDescent="0.25">
      <c r="C165" t="str">
        <f>IF(COUNTBLANK(E165:K165) = 7,"",IF(AND(NOT(ISBLANK(E165)),COUNTBLANK(E165:K165) = 6),"3 Delete",IF(ISBLANK(E165),"2 Add",IF(SHA1Range(E165:K165) = "123bd4f1c6e8644005a39b0a1a1be1a9afcbdfad","0 Original","1 Modify"))))</f>
        <v>0 Original</v>
      </c>
      <c r="D165" s="5" t="s">
        <v>408</v>
      </c>
      <c r="E165" s="3">
        <v>1164</v>
      </c>
      <c r="F165" s="5" t="s">
        <v>409</v>
      </c>
      <c r="G165" s="9">
        <v>9.99</v>
      </c>
      <c r="H165" s="5" t="s">
        <v>410</v>
      </c>
      <c r="I165" s="5" t="s">
        <v>411</v>
      </c>
    </row>
    <row r="166" spans="3:9" x14ac:dyDescent="0.25">
      <c r="C166" t="str">
        <f>IF(COUNTBLANK(E166:K166) = 7,"",IF(AND(NOT(ISBLANK(E166)),COUNTBLANK(E166:K166) = 6),"3 Delete",IF(ISBLANK(E166),"2 Add",IF(SHA1Range(E166:K166) = "7f299785ab21eea9c45d729cbe31f6d18162c2a4","0 Original","1 Modify"))))</f>
        <v>0 Original</v>
      </c>
      <c r="D166" s="5" t="s">
        <v>404</v>
      </c>
      <c r="E166" s="3">
        <v>1165</v>
      </c>
      <c r="F166" s="5" t="s">
        <v>405</v>
      </c>
      <c r="G166" s="9">
        <v>5.99</v>
      </c>
      <c r="H166" s="5" t="s">
        <v>406</v>
      </c>
      <c r="I166" s="5" t="s">
        <v>407</v>
      </c>
    </row>
    <row r="167" spans="3:9" x14ac:dyDescent="0.25">
      <c r="C167" t="str">
        <f>IF(COUNTBLANK(E167:K167) = 7,"",IF(AND(NOT(ISBLANK(E167)),COUNTBLANK(E167:K167) = 6),"3 Delete",IF(ISBLANK(E167),"2 Add",IF(SHA1Range(E167:K167) = "425a942d46625ea54f6e98879e5e67abff13df21","0 Original","1 Modify"))))</f>
        <v>0 Original</v>
      </c>
      <c r="D167" s="5" t="s">
        <v>400</v>
      </c>
      <c r="E167" s="3">
        <v>1166</v>
      </c>
      <c r="F167" s="5" t="s">
        <v>401</v>
      </c>
      <c r="G167" s="9">
        <v>4.99</v>
      </c>
      <c r="H167" s="5" t="s">
        <v>402</v>
      </c>
      <c r="I167" s="5" t="s">
        <v>403</v>
      </c>
    </row>
    <row r="168" spans="3:9" x14ac:dyDescent="0.25">
      <c r="C168" t="str">
        <f>IF(COUNTBLANK(E168:K168) = 7,"",IF(AND(NOT(ISBLANK(E168)),COUNTBLANK(E168:K168) = 6),"3 Delete",IF(ISBLANK(E168),"2 Add",IF(SHA1Range(E168:K168) = "dec454b844781c51ce341afea5d82e296cc5c27f","0 Original","1 Modify"))))</f>
        <v>0 Original</v>
      </c>
      <c r="D168" s="5" t="s">
        <v>396</v>
      </c>
      <c r="E168" s="3">
        <v>1167</v>
      </c>
      <c r="F168" s="5" t="s">
        <v>397</v>
      </c>
      <c r="G168" s="9">
        <v>8.99</v>
      </c>
      <c r="H168" s="5" t="s">
        <v>398</v>
      </c>
      <c r="I168" s="5" t="s">
        <v>399</v>
      </c>
    </row>
    <row r="169" spans="3:9" x14ac:dyDescent="0.25">
      <c r="C169" t="str">
        <f>IF(COUNTBLANK(E169:K169) = 7,"",IF(AND(NOT(ISBLANK(E169)),COUNTBLANK(E169:K169) = 6),"3 Delete",IF(ISBLANK(E169),"2 Add",IF(SHA1Range(E169:K169) = "85a39f0d73fffc318814d83623980edbb3c2e8b9","0 Original","1 Modify"))))</f>
        <v>0 Original</v>
      </c>
      <c r="D169" s="5" t="s">
        <v>392</v>
      </c>
      <c r="E169" s="3">
        <v>1168</v>
      </c>
      <c r="F169" s="5" t="s">
        <v>393</v>
      </c>
      <c r="G169" s="9">
        <v>7.99</v>
      </c>
      <c r="H169" s="5" t="s">
        <v>394</v>
      </c>
      <c r="I169" s="5" t="s">
        <v>395</v>
      </c>
    </row>
    <row r="170" spans="3:9" x14ac:dyDescent="0.25">
      <c r="C170" t="str">
        <f>IF(COUNTBLANK(E170:K170) = 7,"",IF(AND(NOT(ISBLANK(E170)),COUNTBLANK(E170:K170) = 6),"3 Delete",IF(ISBLANK(E170),"2 Add",IF(SHA1Range(E170:K170) = "487df270bf7d16b65f6f5b4cce4fe17059db9a71","0 Original","1 Modify"))))</f>
        <v>0 Original</v>
      </c>
      <c r="D170" s="5" t="s">
        <v>389</v>
      </c>
      <c r="E170" s="3">
        <v>1169</v>
      </c>
      <c r="F170" s="5" t="s">
        <v>390</v>
      </c>
      <c r="G170" s="9">
        <v>4.99</v>
      </c>
      <c r="H170" s="5" t="s">
        <v>383</v>
      </c>
      <c r="I170" s="5" t="s">
        <v>391</v>
      </c>
    </row>
    <row r="171" spans="3:9" x14ac:dyDescent="0.25">
      <c r="C171" t="str">
        <f>IF(COUNTBLANK(E171:K171) = 7,"",IF(AND(NOT(ISBLANK(E171)),COUNTBLANK(E171:K171) = 6),"3 Delete",IF(ISBLANK(E171),"2 Add",IF(SHA1Range(E171:K171) = "b7c5767feb1d8ae5bde1d54af03b6e4b053d53b0","0 Original","1 Modify"))))</f>
        <v>0 Original</v>
      </c>
      <c r="D171" s="5" t="s">
        <v>385</v>
      </c>
      <c r="E171" s="3">
        <v>1170</v>
      </c>
      <c r="F171" s="5" t="s">
        <v>386</v>
      </c>
      <c r="G171" s="9">
        <v>9.99</v>
      </c>
      <c r="H171" s="5" t="s">
        <v>387</v>
      </c>
      <c r="I171" s="5" t="s">
        <v>388</v>
      </c>
    </row>
    <row r="172" spans="3:9" x14ac:dyDescent="0.25">
      <c r="C172" t="str">
        <f>IF(COUNTBLANK(E172:K172) = 7,"",IF(AND(NOT(ISBLANK(E172)),COUNTBLANK(E172:K172) = 6),"3 Delete",IF(ISBLANK(E172),"2 Add",IF(SHA1Range(E172:K172) = "af3bb64c23cdff85dda31147d863787603bf0c12","0 Original","1 Modify"))))</f>
        <v>0 Original</v>
      </c>
      <c r="D172" s="5" t="s">
        <v>381</v>
      </c>
      <c r="E172" s="3">
        <v>1171</v>
      </c>
      <c r="F172" s="5" t="s">
        <v>382</v>
      </c>
      <c r="G172" s="9">
        <v>8.99</v>
      </c>
      <c r="H172" s="5" t="s">
        <v>383</v>
      </c>
      <c r="I172" s="5" t="s">
        <v>384</v>
      </c>
    </row>
    <row r="173" spans="3:9" x14ac:dyDescent="0.25">
      <c r="C173" t="str">
        <f>IF(COUNTBLANK(E173:K173) = 7,"",IF(AND(NOT(ISBLANK(E173)),COUNTBLANK(E173:K173) = 6),"3 Delete",IF(ISBLANK(E173),"2 Add",IF(SHA1Range(E173:K173) = "4050773956d5e37dd7781a16df377c347140b0df","0 Original","1 Modify"))))</f>
        <v>0 Original</v>
      </c>
      <c r="D173" s="5" t="s">
        <v>377</v>
      </c>
      <c r="E173" s="3">
        <v>1172</v>
      </c>
      <c r="F173" s="5" t="s">
        <v>378</v>
      </c>
      <c r="G173" s="9">
        <v>5.99</v>
      </c>
      <c r="H173" s="5" t="s">
        <v>379</v>
      </c>
      <c r="I173" s="5" t="s">
        <v>380</v>
      </c>
    </row>
    <row r="174" spans="3:9" x14ac:dyDescent="0.25">
      <c r="C174" t="str">
        <f>IF(COUNTBLANK(E174:K174) = 7,"",IF(AND(NOT(ISBLANK(E174)),COUNTBLANK(E174:K174) = 6),"3 Delete",IF(ISBLANK(E174),"2 Add",IF(SHA1Range(E174:K174) = "f0786e31400436f30a0cb13d70b7aaa82b2af141","0 Original","1 Modify"))))</f>
        <v>0 Original</v>
      </c>
      <c r="D174" s="5" t="s">
        <v>373</v>
      </c>
      <c r="E174" s="3">
        <v>1173</v>
      </c>
      <c r="F174" s="5" t="s">
        <v>374</v>
      </c>
      <c r="G174" s="9">
        <v>7.99</v>
      </c>
      <c r="H174" s="5" t="s">
        <v>375</v>
      </c>
      <c r="I174" s="5" t="s">
        <v>376</v>
      </c>
    </row>
    <row r="175" spans="3:9" x14ac:dyDescent="0.25">
      <c r="C175" t="str">
        <f>IF(COUNTBLANK(E175:K175) = 7,"",IF(AND(NOT(ISBLANK(E175)),COUNTBLANK(E175:K175) = 6),"3 Delete",IF(ISBLANK(E175),"2 Add",IF(SHA1Range(E175:K175) = "9233e76776e16c998d7b4ef1f504bb660e6e262c","0 Original","1 Modify"))))</f>
        <v>0 Original</v>
      </c>
      <c r="D175" s="5" t="s">
        <v>369</v>
      </c>
      <c r="E175" s="3">
        <v>1174</v>
      </c>
      <c r="F175" s="5" t="s">
        <v>370</v>
      </c>
      <c r="G175" s="9">
        <v>6.99</v>
      </c>
      <c r="H175" s="5" t="s">
        <v>371</v>
      </c>
      <c r="I175" s="5" t="s">
        <v>372</v>
      </c>
    </row>
    <row r="176" spans="3:9" x14ac:dyDescent="0.25">
      <c r="C176" t="str">
        <f>IF(COUNTBLANK(E176:K176) = 7,"",IF(AND(NOT(ISBLANK(E176)),COUNTBLANK(E176:K176) = 6),"3 Delete",IF(ISBLANK(E176),"2 Add",IF(SHA1Range(E176:K176) = "b858cb282617fb0956d960215c8e84d1ccf909c6","0 Original","1 Modify"))))</f>
        <v/>
      </c>
    </row>
  </sheetData>
  <autoFilter ref="C1:K1">
    <sortState ref="C2:K176">
      <sortCondition ref="F1"/>
    </sortState>
  </autoFilter>
  <dataConsolidate/>
  <conditionalFormatting sqref="C2">
    <cfRule type="cellIs" dxfId="42182" priority="1" stopIfTrue="1" operator="equal">
      <formula>"1 Modify"</formula>
    </cfRule>
    <cfRule type="cellIs" dxfId="42181" priority="2" stopIfTrue="1" operator="equal">
      <formula>"2 Add"</formula>
    </cfRule>
    <cfRule type="cellIs" dxfId="42180" priority="3" stopIfTrue="1" operator="equal">
      <formula>"3 Delete"</formula>
    </cfRule>
  </conditionalFormatting>
  <conditionalFormatting sqref="C3">
    <cfRule type="cellIs" dxfId="42179" priority="4" stopIfTrue="1" operator="equal">
      <formula>"1 Modify"</formula>
    </cfRule>
    <cfRule type="cellIs" dxfId="42178" priority="5" stopIfTrue="1" operator="equal">
      <formula>"2 Add"</formula>
    </cfRule>
    <cfRule type="cellIs" dxfId="42177" priority="6" stopIfTrue="1" operator="equal">
      <formula>"3 Delete"</formula>
    </cfRule>
  </conditionalFormatting>
  <conditionalFormatting sqref="C4">
    <cfRule type="cellIs" dxfId="42176" priority="7" stopIfTrue="1" operator="equal">
      <formula>"1 Modify"</formula>
    </cfRule>
    <cfRule type="cellIs" dxfId="42175" priority="8" stopIfTrue="1" operator="equal">
      <formula>"2 Add"</formula>
    </cfRule>
    <cfRule type="cellIs" dxfId="42174" priority="9" stopIfTrue="1" operator="equal">
      <formula>"3 Delete"</formula>
    </cfRule>
  </conditionalFormatting>
  <conditionalFormatting sqref="C5">
    <cfRule type="cellIs" dxfId="42173" priority="10" stopIfTrue="1" operator="equal">
      <formula>"1 Modify"</formula>
    </cfRule>
    <cfRule type="cellIs" dxfId="42172" priority="11" stopIfTrue="1" operator="equal">
      <formula>"2 Add"</formula>
    </cfRule>
    <cfRule type="cellIs" dxfId="42171" priority="12" stopIfTrue="1" operator="equal">
      <formula>"3 Delete"</formula>
    </cfRule>
  </conditionalFormatting>
  <conditionalFormatting sqref="C6">
    <cfRule type="cellIs" dxfId="42170" priority="13" stopIfTrue="1" operator="equal">
      <formula>"1 Modify"</formula>
    </cfRule>
    <cfRule type="cellIs" dxfId="42169" priority="14" stopIfTrue="1" operator="equal">
      <formula>"2 Add"</formula>
    </cfRule>
    <cfRule type="cellIs" dxfId="42168" priority="15" stopIfTrue="1" operator="equal">
      <formula>"3 Delete"</formula>
    </cfRule>
  </conditionalFormatting>
  <conditionalFormatting sqref="C7">
    <cfRule type="cellIs" dxfId="42167" priority="16" stopIfTrue="1" operator="equal">
      <formula>"1 Modify"</formula>
    </cfRule>
    <cfRule type="cellIs" dxfId="42166" priority="17" stopIfTrue="1" operator="equal">
      <formula>"2 Add"</formula>
    </cfRule>
    <cfRule type="cellIs" dxfId="42165" priority="18" stopIfTrue="1" operator="equal">
      <formula>"3 Delete"</formula>
    </cfRule>
  </conditionalFormatting>
  <conditionalFormatting sqref="C8">
    <cfRule type="cellIs" dxfId="42164" priority="19" stopIfTrue="1" operator="equal">
      <formula>"1 Modify"</formula>
    </cfRule>
    <cfRule type="cellIs" dxfId="42163" priority="20" stopIfTrue="1" operator="equal">
      <formula>"2 Add"</formula>
    </cfRule>
    <cfRule type="cellIs" dxfId="42162" priority="21" stopIfTrue="1" operator="equal">
      <formula>"3 Delete"</formula>
    </cfRule>
  </conditionalFormatting>
  <conditionalFormatting sqref="C9">
    <cfRule type="cellIs" dxfId="42161" priority="22" stopIfTrue="1" operator="equal">
      <formula>"1 Modify"</formula>
    </cfRule>
    <cfRule type="cellIs" dxfId="42160" priority="23" stopIfTrue="1" operator="equal">
      <formula>"2 Add"</formula>
    </cfRule>
    <cfRule type="cellIs" dxfId="42159" priority="24" stopIfTrue="1" operator="equal">
      <formula>"3 Delete"</formula>
    </cfRule>
  </conditionalFormatting>
  <conditionalFormatting sqref="C10">
    <cfRule type="cellIs" dxfId="42158" priority="25" stopIfTrue="1" operator="equal">
      <formula>"1 Modify"</formula>
    </cfRule>
    <cfRule type="cellIs" dxfId="42157" priority="26" stopIfTrue="1" operator="equal">
      <formula>"2 Add"</formula>
    </cfRule>
    <cfRule type="cellIs" dxfId="42156" priority="27" stopIfTrue="1" operator="equal">
      <formula>"3 Delete"</formula>
    </cfRule>
  </conditionalFormatting>
  <conditionalFormatting sqref="C11">
    <cfRule type="cellIs" dxfId="42155" priority="28" stopIfTrue="1" operator="equal">
      <formula>"1 Modify"</formula>
    </cfRule>
    <cfRule type="cellIs" dxfId="42154" priority="29" stopIfTrue="1" operator="equal">
      <formula>"2 Add"</formula>
    </cfRule>
    <cfRule type="cellIs" dxfId="42153" priority="30" stopIfTrue="1" operator="equal">
      <formula>"3 Delete"</formula>
    </cfRule>
  </conditionalFormatting>
  <conditionalFormatting sqref="C12">
    <cfRule type="cellIs" dxfId="42152" priority="31" stopIfTrue="1" operator="equal">
      <formula>"1 Modify"</formula>
    </cfRule>
    <cfRule type="cellIs" dxfId="42151" priority="32" stopIfTrue="1" operator="equal">
      <formula>"2 Add"</formula>
    </cfRule>
    <cfRule type="cellIs" dxfId="42150" priority="33" stopIfTrue="1" operator="equal">
      <formula>"3 Delete"</formula>
    </cfRule>
  </conditionalFormatting>
  <conditionalFormatting sqref="C13">
    <cfRule type="cellIs" dxfId="42149" priority="34" stopIfTrue="1" operator="equal">
      <formula>"1 Modify"</formula>
    </cfRule>
    <cfRule type="cellIs" dxfId="42148" priority="35" stopIfTrue="1" operator="equal">
      <formula>"2 Add"</formula>
    </cfRule>
    <cfRule type="cellIs" dxfId="42147" priority="36" stopIfTrue="1" operator="equal">
      <formula>"3 Delete"</formula>
    </cfRule>
  </conditionalFormatting>
  <conditionalFormatting sqref="C14">
    <cfRule type="cellIs" dxfId="42146" priority="37" stopIfTrue="1" operator="equal">
      <formula>"1 Modify"</formula>
    </cfRule>
    <cfRule type="cellIs" dxfId="42145" priority="38" stopIfTrue="1" operator="equal">
      <formula>"2 Add"</formula>
    </cfRule>
    <cfRule type="cellIs" dxfId="42144" priority="39" stopIfTrue="1" operator="equal">
      <formula>"3 Delete"</formula>
    </cfRule>
  </conditionalFormatting>
  <conditionalFormatting sqref="C15">
    <cfRule type="cellIs" dxfId="42143" priority="40" stopIfTrue="1" operator="equal">
      <formula>"1 Modify"</formula>
    </cfRule>
    <cfRule type="cellIs" dxfId="42142" priority="41" stopIfTrue="1" operator="equal">
      <formula>"2 Add"</formula>
    </cfRule>
    <cfRule type="cellIs" dxfId="42141" priority="42" stopIfTrue="1" operator="equal">
      <formula>"3 Delete"</formula>
    </cfRule>
  </conditionalFormatting>
  <conditionalFormatting sqref="C16">
    <cfRule type="cellIs" dxfId="42140" priority="43" stopIfTrue="1" operator="equal">
      <formula>"1 Modify"</formula>
    </cfRule>
    <cfRule type="cellIs" dxfId="42139" priority="44" stopIfTrue="1" operator="equal">
      <formula>"2 Add"</formula>
    </cfRule>
    <cfRule type="cellIs" dxfId="42138" priority="45" stopIfTrue="1" operator="equal">
      <formula>"3 Delete"</formula>
    </cfRule>
  </conditionalFormatting>
  <conditionalFormatting sqref="C17">
    <cfRule type="cellIs" dxfId="42137" priority="46" stopIfTrue="1" operator="equal">
      <formula>"1 Modify"</formula>
    </cfRule>
    <cfRule type="cellIs" dxfId="42136" priority="47" stopIfTrue="1" operator="equal">
      <formula>"2 Add"</formula>
    </cfRule>
    <cfRule type="cellIs" dxfId="42135" priority="48" stopIfTrue="1" operator="equal">
      <formula>"3 Delete"</formula>
    </cfRule>
  </conditionalFormatting>
  <conditionalFormatting sqref="C18">
    <cfRule type="cellIs" dxfId="42134" priority="49" stopIfTrue="1" operator="equal">
      <formula>"1 Modify"</formula>
    </cfRule>
    <cfRule type="cellIs" dxfId="42133" priority="50" stopIfTrue="1" operator="equal">
      <formula>"2 Add"</formula>
    </cfRule>
    <cfRule type="cellIs" dxfId="42132" priority="51" stopIfTrue="1" operator="equal">
      <formula>"3 Delete"</formula>
    </cfRule>
  </conditionalFormatting>
  <conditionalFormatting sqref="C19">
    <cfRule type="cellIs" dxfId="42131" priority="52" stopIfTrue="1" operator="equal">
      <formula>"1 Modify"</formula>
    </cfRule>
    <cfRule type="cellIs" dxfId="42130" priority="53" stopIfTrue="1" operator="equal">
      <formula>"2 Add"</formula>
    </cfRule>
    <cfRule type="cellIs" dxfId="42129" priority="54" stopIfTrue="1" operator="equal">
      <formula>"3 Delete"</formula>
    </cfRule>
  </conditionalFormatting>
  <conditionalFormatting sqref="C20">
    <cfRule type="cellIs" dxfId="42128" priority="55" stopIfTrue="1" operator="equal">
      <formula>"1 Modify"</formula>
    </cfRule>
    <cfRule type="cellIs" dxfId="42127" priority="56" stopIfTrue="1" operator="equal">
      <formula>"2 Add"</formula>
    </cfRule>
    <cfRule type="cellIs" dxfId="42126" priority="57" stopIfTrue="1" operator="equal">
      <formula>"3 Delete"</formula>
    </cfRule>
  </conditionalFormatting>
  <conditionalFormatting sqref="C21">
    <cfRule type="cellIs" dxfId="42125" priority="58" stopIfTrue="1" operator="equal">
      <formula>"1 Modify"</formula>
    </cfRule>
    <cfRule type="cellIs" dxfId="42124" priority="59" stopIfTrue="1" operator="equal">
      <formula>"2 Add"</formula>
    </cfRule>
    <cfRule type="cellIs" dxfId="42123" priority="60" stopIfTrue="1" operator="equal">
      <formula>"3 Delete"</formula>
    </cfRule>
  </conditionalFormatting>
  <conditionalFormatting sqref="C22">
    <cfRule type="cellIs" dxfId="42122" priority="61" stopIfTrue="1" operator="equal">
      <formula>"1 Modify"</formula>
    </cfRule>
  </conditionalFormatting>
  <conditionalFormatting sqref="C22">
    <cfRule type="cellIs" dxfId="42121" priority="62" stopIfTrue="1" operator="equal">
      <formula>"2 Add"</formula>
    </cfRule>
  </conditionalFormatting>
  <conditionalFormatting sqref="C22">
    <cfRule type="cellIs" dxfId="42120" priority="63" stopIfTrue="1" operator="equal">
      <formula>"3 Delete"</formula>
    </cfRule>
  </conditionalFormatting>
  <conditionalFormatting sqref="C23">
    <cfRule type="cellIs" dxfId="42119" priority="64" stopIfTrue="1" operator="equal">
      <formula>"1 Modify"</formula>
    </cfRule>
  </conditionalFormatting>
  <conditionalFormatting sqref="C23">
    <cfRule type="cellIs" dxfId="42118" priority="65" stopIfTrue="1" operator="equal">
      <formula>"2 Add"</formula>
    </cfRule>
  </conditionalFormatting>
  <conditionalFormatting sqref="C23">
    <cfRule type="cellIs" dxfId="42117" priority="66" stopIfTrue="1" operator="equal">
      <formula>"3 Delete"</formula>
    </cfRule>
  </conditionalFormatting>
  <conditionalFormatting sqref="C24">
    <cfRule type="cellIs" dxfId="42116" priority="67" stopIfTrue="1" operator="equal">
      <formula>"1 Modify"</formula>
    </cfRule>
  </conditionalFormatting>
  <conditionalFormatting sqref="C24">
    <cfRule type="cellIs" dxfId="42115" priority="68" stopIfTrue="1" operator="equal">
      <formula>"2 Add"</formula>
    </cfRule>
  </conditionalFormatting>
  <conditionalFormatting sqref="C24">
    <cfRule type="cellIs" dxfId="42114" priority="69" stopIfTrue="1" operator="equal">
      <formula>"3 Delete"</formula>
    </cfRule>
  </conditionalFormatting>
  <conditionalFormatting sqref="C25">
    <cfRule type="cellIs" dxfId="42113" priority="70" stopIfTrue="1" operator="equal">
      <formula>"1 Modify"</formula>
    </cfRule>
  </conditionalFormatting>
  <conditionalFormatting sqref="C25">
    <cfRule type="cellIs" dxfId="42112" priority="71" stopIfTrue="1" operator="equal">
      <formula>"2 Add"</formula>
    </cfRule>
  </conditionalFormatting>
  <conditionalFormatting sqref="C25">
    <cfRule type="cellIs" dxfId="42111" priority="72" stopIfTrue="1" operator="equal">
      <formula>"3 Delete"</formula>
    </cfRule>
  </conditionalFormatting>
  <conditionalFormatting sqref="C26">
    <cfRule type="cellIs" dxfId="42110" priority="73" stopIfTrue="1" operator="equal">
      <formula>"1 Modify"</formula>
    </cfRule>
  </conditionalFormatting>
  <conditionalFormatting sqref="C26">
    <cfRule type="cellIs" dxfId="42109" priority="74" stopIfTrue="1" operator="equal">
      <formula>"2 Add"</formula>
    </cfRule>
  </conditionalFormatting>
  <conditionalFormatting sqref="C26">
    <cfRule type="cellIs" dxfId="42108" priority="75" stopIfTrue="1" operator="equal">
      <formula>"3 Delete"</formula>
    </cfRule>
  </conditionalFormatting>
  <conditionalFormatting sqref="C27">
    <cfRule type="cellIs" dxfId="42107" priority="76" stopIfTrue="1" operator="equal">
      <formula>"1 Modify"</formula>
    </cfRule>
  </conditionalFormatting>
  <conditionalFormatting sqref="C27">
    <cfRule type="cellIs" dxfId="42106" priority="77" stopIfTrue="1" operator="equal">
      <formula>"2 Add"</formula>
    </cfRule>
  </conditionalFormatting>
  <conditionalFormatting sqref="C27">
    <cfRule type="cellIs" dxfId="42105" priority="78" stopIfTrue="1" operator="equal">
      <formula>"3 Delete"</formula>
    </cfRule>
  </conditionalFormatting>
  <conditionalFormatting sqref="C28">
    <cfRule type="cellIs" dxfId="42104" priority="79" stopIfTrue="1" operator="equal">
      <formula>"1 Modify"</formula>
    </cfRule>
  </conditionalFormatting>
  <conditionalFormatting sqref="C28">
    <cfRule type="cellIs" dxfId="42103" priority="80" stopIfTrue="1" operator="equal">
      <formula>"2 Add"</formula>
    </cfRule>
  </conditionalFormatting>
  <conditionalFormatting sqref="C28">
    <cfRule type="cellIs" dxfId="42102" priority="81" stopIfTrue="1" operator="equal">
      <formula>"3 Delete"</formula>
    </cfRule>
  </conditionalFormatting>
  <conditionalFormatting sqref="C29">
    <cfRule type="cellIs" dxfId="42101" priority="82" stopIfTrue="1" operator="equal">
      <formula>"1 Modify"</formula>
    </cfRule>
  </conditionalFormatting>
  <conditionalFormatting sqref="C29">
    <cfRule type="cellIs" dxfId="42100" priority="83" stopIfTrue="1" operator="equal">
      <formula>"2 Add"</formula>
    </cfRule>
  </conditionalFormatting>
  <conditionalFormatting sqref="C29">
    <cfRule type="cellIs" dxfId="42099" priority="84" stopIfTrue="1" operator="equal">
      <formula>"3 Delete"</formula>
    </cfRule>
  </conditionalFormatting>
  <conditionalFormatting sqref="C30">
    <cfRule type="cellIs" dxfId="42098" priority="85" stopIfTrue="1" operator="equal">
      <formula>"1 Modify"</formula>
    </cfRule>
  </conditionalFormatting>
  <conditionalFormatting sqref="C30">
    <cfRule type="cellIs" dxfId="42097" priority="86" stopIfTrue="1" operator="equal">
      <formula>"2 Add"</formula>
    </cfRule>
  </conditionalFormatting>
  <conditionalFormatting sqref="C30">
    <cfRule type="cellIs" dxfId="42096" priority="87" stopIfTrue="1" operator="equal">
      <formula>"3 Delete"</formula>
    </cfRule>
  </conditionalFormatting>
  <conditionalFormatting sqref="C31">
    <cfRule type="cellIs" dxfId="42095" priority="88" stopIfTrue="1" operator="equal">
      <formula>"1 Modify"</formula>
    </cfRule>
  </conditionalFormatting>
  <conditionalFormatting sqref="C31">
    <cfRule type="cellIs" dxfId="42094" priority="89" stopIfTrue="1" operator="equal">
      <formula>"2 Add"</formula>
    </cfRule>
  </conditionalFormatting>
  <conditionalFormatting sqref="C31">
    <cfRule type="cellIs" dxfId="42093" priority="90" stopIfTrue="1" operator="equal">
      <formula>"3 Delete"</formula>
    </cfRule>
  </conditionalFormatting>
  <conditionalFormatting sqref="C32">
    <cfRule type="cellIs" dxfId="42092" priority="91" stopIfTrue="1" operator="equal">
      <formula>"1 Modify"</formula>
    </cfRule>
  </conditionalFormatting>
  <conditionalFormatting sqref="C32">
    <cfRule type="cellIs" dxfId="42091" priority="92" stopIfTrue="1" operator="equal">
      <formula>"2 Add"</formula>
    </cfRule>
  </conditionalFormatting>
  <conditionalFormatting sqref="C32">
    <cfRule type="cellIs" dxfId="42090" priority="93" stopIfTrue="1" operator="equal">
      <formula>"3 Delete"</formula>
    </cfRule>
  </conditionalFormatting>
  <conditionalFormatting sqref="C33">
    <cfRule type="cellIs" dxfId="42089" priority="94" stopIfTrue="1" operator="equal">
      <formula>"1 Modify"</formula>
    </cfRule>
  </conditionalFormatting>
  <conditionalFormatting sqref="C33">
    <cfRule type="cellIs" dxfId="42088" priority="95" stopIfTrue="1" operator="equal">
      <formula>"2 Add"</formula>
    </cfRule>
  </conditionalFormatting>
  <conditionalFormatting sqref="C33">
    <cfRule type="cellIs" dxfId="42087" priority="96" stopIfTrue="1" operator="equal">
      <formula>"3 Delete"</formula>
    </cfRule>
  </conditionalFormatting>
  <conditionalFormatting sqref="C34">
    <cfRule type="cellIs" dxfId="42086" priority="97" stopIfTrue="1" operator="equal">
      <formula>"1 Modify"</formula>
    </cfRule>
  </conditionalFormatting>
  <conditionalFormatting sqref="C34">
    <cfRule type="cellIs" dxfId="42085" priority="98" stopIfTrue="1" operator="equal">
      <formula>"2 Add"</formula>
    </cfRule>
  </conditionalFormatting>
  <conditionalFormatting sqref="C34">
    <cfRule type="cellIs" dxfId="42084" priority="99" stopIfTrue="1" operator="equal">
      <formula>"3 Delete"</formula>
    </cfRule>
  </conditionalFormatting>
  <conditionalFormatting sqref="C35">
    <cfRule type="cellIs" dxfId="42083" priority="100" stopIfTrue="1" operator="equal">
      <formula>"1 Modify"</formula>
    </cfRule>
  </conditionalFormatting>
  <conditionalFormatting sqref="C35">
    <cfRule type="cellIs" dxfId="42082" priority="101" stopIfTrue="1" operator="equal">
      <formula>"2 Add"</formula>
    </cfRule>
  </conditionalFormatting>
  <conditionalFormatting sqref="C35">
    <cfRule type="cellIs" dxfId="42081" priority="102" stopIfTrue="1" operator="equal">
      <formula>"3 Delete"</formula>
    </cfRule>
  </conditionalFormatting>
  <conditionalFormatting sqref="C36">
    <cfRule type="cellIs" dxfId="42080" priority="103" stopIfTrue="1" operator="equal">
      <formula>"1 Modify"</formula>
    </cfRule>
  </conditionalFormatting>
  <conditionalFormatting sqref="C36">
    <cfRule type="cellIs" dxfId="42079" priority="104" stopIfTrue="1" operator="equal">
      <formula>"2 Add"</formula>
    </cfRule>
  </conditionalFormatting>
  <conditionalFormatting sqref="C36">
    <cfRule type="cellIs" dxfId="42078" priority="105" stopIfTrue="1" operator="equal">
      <formula>"3 Delete"</formula>
    </cfRule>
  </conditionalFormatting>
  <conditionalFormatting sqref="C37">
    <cfRule type="cellIs" dxfId="42077" priority="106" stopIfTrue="1" operator="equal">
      <formula>"1 Modify"</formula>
    </cfRule>
  </conditionalFormatting>
  <conditionalFormatting sqref="C37">
    <cfRule type="cellIs" dxfId="42076" priority="107" stopIfTrue="1" operator="equal">
      <formula>"2 Add"</formula>
    </cfRule>
  </conditionalFormatting>
  <conditionalFormatting sqref="C37">
    <cfRule type="cellIs" dxfId="42075" priority="108" stopIfTrue="1" operator="equal">
      <formula>"3 Delete"</formula>
    </cfRule>
  </conditionalFormatting>
  <conditionalFormatting sqref="C38">
    <cfRule type="cellIs" dxfId="42074" priority="109" stopIfTrue="1" operator="equal">
      <formula>"1 Modify"</formula>
    </cfRule>
  </conditionalFormatting>
  <conditionalFormatting sqref="C38">
    <cfRule type="cellIs" dxfId="42073" priority="110" stopIfTrue="1" operator="equal">
      <formula>"2 Add"</formula>
    </cfRule>
  </conditionalFormatting>
  <conditionalFormatting sqref="C38">
    <cfRule type="cellIs" dxfId="42072" priority="111" stopIfTrue="1" operator="equal">
      <formula>"3 Delete"</formula>
    </cfRule>
  </conditionalFormatting>
  <conditionalFormatting sqref="C39">
    <cfRule type="cellIs" dxfId="42071" priority="112" stopIfTrue="1" operator="equal">
      <formula>"1 Modify"</formula>
    </cfRule>
  </conditionalFormatting>
  <conditionalFormatting sqref="C39">
    <cfRule type="cellIs" dxfId="42070" priority="113" stopIfTrue="1" operator="equal">
      <formula>"2 Add"</formula>
    </cfRule>
  </conditionalFormatting>
  <conditionalFormatting sqref="C39">
    <cfRule type="cellIs" dxfId="42069" priority="114" stopIfTrue="1" operator="equal">
      <formula>"3 Delete"</formula>
    </cfRule>
  </conditionalFormatting>
  <conditionalFormatting sqref="C40">
    <cfRule type="cellIs" dxfId="42068" priority="115" stopIfTrue="1" operator="equal">
      <formula>"1 Modify"</formula>
    </cfRule>
  </conditionalFormatting>
  <conditionalFormatting sqref="C40">
    <cfRule type="cellIs" dxfId="42067" priority="116" stopIfTrue="1" operator="equal">
      <formula>"2 Add"</formula>
    </cfRule>
  </conditionalFormatting>
  <conditionalFormatting sqref="C40">
    <cfRule type="cellIs" dxfId="42066" priority="117" stopIfTrue="1" operator="equal">
      <formula>"3 Delete"</formula>
    </cfRule>
  </conditionalFormatting>
  <conditionalFormatting sqref="C41">
    <cfRule type="cellIs" dxfId="42065" priority="118" stopIfTrue="1" operator="equal">
      <formula>"1 Modify"</formula>
    </cfRule>
  </conditionalFormatting>
  <conditionalFormatting sqref="C41">
    <cfRule type="cellIs" dxfId="42064" priority="119" stopIfTrue="1" operator="equal">
      <formula>"2 Add"</formula>
    </cfRule>
  </conditionalFormatting>
  <conditionalFormatting sqref="C41">
    <cfRule type="cellIs" dxfId="42063" priority="120" stopIfTrue="1" operator="equal">
      <formula>"3 Delete"</formula>
    </cfRule>
  </conditionalFormatting>
  <conditionalFormatting sqref="C42">
    <cfRule type="cellIs" dxfId="42062" priority="121" stopIfTrue="1" operator="equal">
      <formula>"1 Modify"</formula>
    </cfRule>
  </conditionalFormatting>
  <conditionalFormatting sqref="C42">
    <cfRule type="cellIs" dxfId="42061" priority="122" stopIfTrue="1" operator="equal">
      <formula>"2 Add"</formula>
    </cfRule>
  </conditionalFormatting>
  <conditionalFormatting sqref="C42">
    <cfRule type="cellIs" dxfId="42060" priority="123" stopIfTrue="1" operator="equal">
      <formula>"3 Delete"</formula>
    </cfRule>
  </conditionalFormatting>
  <conditionalFormatting sqref="C43">
    <cfRule type="cellIs" dxfId="42059" priority="124" stopIfTrue="1" operator="equal">
      <formula>"1 Modify"</formula>
    </cfRule>
  </conditionalFormatting>
  <conditionalFormatting sqref="C43">
    <cfRule type="cellIs" dxfId="42058" priority="125" stopIfTrue="1" operator="equal">
      <formula>"2 Add"</formula>
    </cfRule>
  </conditionalFormatting>
  <conditionalFormatting sqref="C43">
    <cfRule type="cellIs" dxfId="42057" priority="126" stopIfTrue="1" operator="equal">
      <formula>"3 Delete"</formula>
    </cfRule>
  </conditionalFormatting>
  <conditionalFormatting sqref="C44">
    <cfRule type="cellIs" dxfId="42056" priority="127" stopIfTrue="1" operator="equal">
      <formula>"1 Modify"</formula>
    </cfRule>
  </conditionalFormatting>
  <conditionalFormatting sqref="C44">
    <cfRule type="cellIs" dxfId="42055" priority="128" stopIfTrue="1" operator="equal">
      <formula>"2 Add"</formula>
    </cfRule>
  </conditionalFormatting>
  <conditionalFormatting sqref="C44">
    <cfRule type="cellIs" dxfId="42054" priority="129" stopIfTrue="1" operator="equal">
      <formula>"3 Delete"</formula>
    </cfRule>
  </conditionalFormatting>
  <conditionalFormatting sqref="C45">
    <cfRule type="cellIs" dxfId="42053" priority="130" stopIfTrue="1" operator="equal">
      <formula>"1 Modify"</formula>
    </cfRule>
  </conditionalFormatting>
  <conditionalFormatting sqref="C45">
    <cfRule type="cellIs" dxfId="42052" priority="131" stopIfTrue="1" operator="equal">
      <formula>"2 Add"</formula>
    </cfRule>
  </conditionalFormatting>
  <conditionalFormatting sqref="C45">
    <cfRule type="cellIs" dxfId="42051" priority="132" stopIfTrue="1" operator="equal">
      <formula>"3 Delete"</formula>
    </cfRule>
  </conditionalFormatting>
  <conditionalFormatting sqref="C46">
    <cfRule type="cellIs" dxfId="42050" priority="133" stopIfTrue="1" operator="equal">
      <formula>"1 Modify"</formula>
    </cfRule>
  </conditionalFormatting>
  <conditionalFormatting sqref="C46">
    <cfRule type="cellIs" dxfId="42049" priority="134" stopIfTrue="1" operator="equal">
      <formula>"2 Add"</formula>
    </cfRule>
  </conditionalFormatting>
  <conditionalFormatting sqref="C46">
    <cfRule type="cellIs" dxfId="42048" priority="135" stopIfTrue="1" operator="equal">
      <formula>"3 Delete"</formula>
    </cfRule>
  </conditionalFormatting>
  <conditionalFormatting sqref="C47">
    <cfRule type="cellIs" dxfId="42047" priority="136" stopIfTrue="1" operator="equal">
      <formula>"1 Modify"</formula>
    </cfRule>
  </conditionalFormatting>
  <conditionalFormatting sqref="C47">
    <cfRule type="cellIs" dxfId="42046" priority="137" stopIfTrue="1" operator="equal">
      <formula>"2 Add"</formula>
    </cfRule>
  </conditionalFormatting>
  <conditionalFormatting sqref="C47">
    <cfRule type="cellIs" dxfId="42045" priority="138" stopIfTrue="1" operator="equal">
      <formula>"3 Delete"</formula>
    </cfRule>
  </conditionalFormatting>
  <conditionalFormatting sqref="C48">
    <cfRule type="cellIs" dxfId="42044" priority="139" stopIfTrue="1" operator="equal">
      <formula>"1 Modify"</formula>
    </cfRule>
  </conditionalFormatting>
  <conditionalFormatting sqref="C48">
    <cfRule type="cellIs" dxfId="42043" priority="140" stopIfTrue="1" operator="equal">
      <formula>"2 Add"</formula>
    </cfRule>
  </conditionalFormatting>
  <conditionalFormatting sqref="C48">
    <cfRule type="cellIs" dxfId="42042" priority="141" stopIfTrue="1" operator="equal">
      <formula>"3 Delete"</formula>
    </cfRule>
  </conditionalFormatting>
  <conditionalFormatting sqref="C49">
    <cfRule type="cellIs" dxfId="42041" priority="142" stopIfTrue="1" operator="equal">
      <formula>"1 Modify"</formula>
    </cfRule>
  </conditionalFormatting>
  <conditionalFormatting sqref="C49">
    <cfRule type="cellIs" dxfId="42040" priority="143" stopIfTrue="1" operator="equal">
      <formula>"2 Add"</formula>
    </cfRule>
  </conditionalFormatting>
  <conditionalFormatting sqref="C49">
    <cfRule type="cellIs" dxfId="42039" priority="144" stopIfTrue="1" operator="equal">
      <formula>"3 Delete"</formula>
    </cfRule>
  </conditionalFormatting>
  <conditionalFormatting sqref="C50">
    <cfRule type="cellIs" dxfId="42038" priority="145" stopIfTrue="1" operator="equal">
      <formula>"1 Modify"</formula>
    </cfRule>
  </conditionalFormatting>
  <conditionalFormatting sqref="C50">
    <cfRule type="cellIs" dxfId="42037" priority="146" stopIfTrue="1" operator="equal">
      <formula>"2 Add"</formula>
    </cfRule>
  </conditionalFormatting>
  <conditionalFormatting sqref="C50">
    <cfRule type="cellIs" dxfId="42036" priority="147" stopIfTrue="1" operator="equal">
      <formula>"3 Delete"</formula>
    </cfRule>
  </conditionalFormatting>
  <conditionalFormatting sqref="C51">
    <cfRule type="cellIs" dxfId="42035" priority="148" stopIfTrue="1" operator="equal">
      <formula>"1 Modify"</formula>
    </cfRule>
  </conditionalFormatting>
  <conditionalFormatting sqref="C51">
    <cfRule type="cellIs" dxfId="42034" priority="149" stopIfTrue="1" operator="equal">
      <formula>"2 Add"</formula>
    </cfRule>
  </conditionalFormatting>
  <conditionalFormatting sqref="C51">
    <cfRule type="cellIs" dxfId="42033" priority="150" stopIfTrue="1" operator="equal">
      <formula>"3 Delete"</formula>
    </cfRule>
  </conditionalFormatting>
  <conditionalFormatting sqref="C52">
    <cfRule type="cellIs" dxfId="42032" priority="151" stopIfTrue="1" operator="equal">
      <formula>"1 Modify"</formula>
    </cfRule>
  </conditionalFormatting>
  <conditionalFormatting sqref="C52">
    <cfRule type="cellIs" dxfId="42031" priority="152" stopIfTrue="1" operator="equal">
      <formula>"2 Add"</formula>
    </cfRule>
  </conditionalFormatting>
  <conditionalFormatting sqref="C52">
    <cfRule type="cellIs" dxfId="42030" priority="153" stopIfTrue="1" operator="equal">
      <formula>"3 Delete"</formula>
    </cfRule>
  </conditionalFormatting>
  <conditionalFormatting sqref="C53">
    <cfRule type="cellIs" dxfId="42029" priority="154" stopIfTrue="1" operator="equal">
      <formula>"1 Modify"</formula>
    </cfRule>
  </conditionalFormatting>
  <conditionalFormatting sqref="C53">
    <cfRule type="cellIs" dxfId="42028" priority="155" stopIfTrue="1" operator="equal">
      <formula>"2 Add"</formula>
    </cfRule>
  </conditionalFormatting>
  <conditionalFormatting sqref="C53">
    <cfRule type="cellIs" dxfId="42027" priority="156" stopIfTrue="1" operator="equal">
      <formula>"3 Delete"</formula>
    </cfRule>
  </conditionalFormatting>
  <conditionalFormatting sqref="C54">
    <cfRule type="cellIs" dxfId="42026" priority="157" stopIfTrue="1" operator="equal">
      <formula>"1 Modify"</formula>
    </cfRule>
  </conditionalFormatting>
  <conditionalFormatting sqref="C54">
    <cfRule type="cellIs" dxfId="42025" priority="158" stopIfTrue="1" operator="equal">
      <formula>"2 Add"</formula>
    </cfRule>
  </conditionalFormatting>
  <conditionalFormatting sqref="C54">
    <cfRule type="cellIs" dxfId="42024" priority="159" stopIfTrue="1" operator="equal">
      <formula>"3 Delete"</formula>
    </cfRule>
  </conditionalFormatting>
  <conditionalFormatting sqref="C55">
    <cfRule type="cellIs" dxfId="42023" priority="160" stopIfTrue="1" operator="equal">
      <formula>"1 Modify"</formula>
    </cfRule>
  </conditionalFormatting>
  <conditionalFormatting sqref="C55">
    <cfRule type="cellIs" dxfId="42022" priority="161" stopIfTrue="1" operator="equal">
      <formula>"2 Add"</formula>
    </cfRule>
  </conditionalFormatting>
  <conditionalFormatting sqref="C55">
    <cfRule type="cellIs" dxfId="42021" priority="162" stopIfTrue="1" operator="equal">
      <formula>"3 Delete"</formula>
    </cfRule>
  </conditionalFormatting>
  <conditionalFormatting sqref="C56">
    <cfRule type="cellIs" dxfId="42020" priority="163" stopIfTrue="1" operator="equal">
      <formula>"1 Modify"</formula>
    </cfRule>
  </conditionalFormatting>
  <conditionalFormatting sqref="C56">
    <cfRule type="cellIs" dxfId="42019" priority="164" stopIfTrue="1" operator="equal">
      <formula>"2 Add"</formula>
    </cfRule>
  </conditionalFormatting>
  <conditionalFormatting sqref="C56">
    <cfRule type="cellIs" dxfId="42018" priority="165" stopIfTrue="1" operator="equal">
      <formula>"3 Delete"</formula>
    </cfRule>
  </conditionalFormatting>
  <conditionalFormatting sqref="C57">
    <cfRule type="cellIs" dxfId="42017" priority="166" stopIfTrue="1" operator="equal">
      <formula>"1 Modify"</formula>
    </cfRule>
  </conditionalFormatting>
  <conditionalFormatting sqref="C57">
    <cfRule type="cellIs" dxfId="42016" priority="167" stopIfTrue="1" operator="equal">
      <formula>"2 Add"</formula>
    </cfRule>
  </conditionalFormatting>
  <conditionalFormatting sqref="C57">
    <cfRule type="cellIs" dxfId="42015" priority="168" stopIfTrue="1" operator="equal">
      <formula>"3 Delete"</formula>
    </cfRule>
  </conditionalFormatting>
  <conditionalFormatting sqref="C58">
    <cfRule type="cellIs" dxfId="42014" priority="169" stopIfTrue="1" operator="equal">
      <formula>"1 Modify"</formula>
    </cfRule>
  </conditionalFormatting>
  <conditionalFormatting sqref="C58">
    <cfRule type="cellIs" dxfId="42013" priority="170" stopIfTrue="1" operator="equal">
      <formula>"2 Add"</formula>
    </cfRule>
  </conditionalFormatting>
  <conditionalFormatting sqref="C58">
    <cfRule type="cellIs" dxfId="42012" priority="171" stopIfTrue="1" operator="equal">
      <formula>"3 Delete"</formula>
    </cfRule>
  </conditionalFormatting>
  <conditionalFormatting sqref="C59">
    <cfRule type="cellIs" dxfId="42011" priority="172" stopIfTrue="1" operator="equal">
      <formula>"1 Modify"</formula>
    </cfRule>
  </conditionalFormatting>
  <conditionalFormatting sqref="C59">
    <cfRule type="cellIs" dxfId="42010" priority="173" stopIfTrue="1" operator="equal">
      <formula>"2 Add"</formula>
    </cfRule>
  </conditionalFormatting>
  <conditionalFormatting sqref="C59">
    <cfRule type="cellIs" dxfId="42009" priority="174" stopIfTrue="1" operator="equal">
      <formula>"3 Delete"</formula>
    </cfRule>
  </conditionalFormatting>
  <conditionalFormatting sqref="C60">
    <cfRule type="cellIs" dxfId="42008" priority="175" stopIfTrue="1" operator="equal">
      <formula>"1 Modify"</formula>
    </cfRule>
  </conditionalFormatting>
  <conditionalFormatting sqref="C60">
    <cfRule type="cellIs" dxfId="42007" priority="176" stopIfTrue="1" operator="equal">
      <formula>"2 Add"</formula>
    </cfRule>
  </conditionalFormatting>
  <conditionalFormatting sqref="C60">
    <cfRule type="cellIs" dxfId="42006" priority="177" stopIfTrue="1" operator="equal">
      <formula>"3 Delete"</formula>
    </cfRule>
  </conditionalFormatting>
  <conditionalFormatting sqref="C61">
    <cfRule type="cellIs" dxfId="42005" priority="178" stopIfTrue="1" operator="equal">
      <formula>"1 Modify"</formula>
    </cfRule>
  </conditionalFormatting>
  <conditionalFormatting sqref="C61">
    <cfRule type="cellIs" dxfId="42004" priority="179" stopIfTrue="1" operator="equal">
      <formula>"2 Add"</formula>
    </cfRule>
  </conditionalFormatting>
  <conditionalFormatting sqref="C61">
    <cfRule type="cellIs" dxfId="42003" priority="180" stopIfTrue="1" operator="equal">
      <formula>"3 Delete"</formula>
    </cfRule>
  </conditionalFormatting>
  <conditionalFormatting sqref="C62">
    <cfRule type="cellIs" dxfId="42002" priority="181" stopIfTrue="1" operator="equal">
      <formula>"1 Modify"</formula>
    </cfRule>
  </conditionalFormatting>
  <conditionalFormatting sqref="C62">
    <cfRule type="cellIs" dxfId="42001" priority="182" stopIfTrue="1" operator="equal">
      <formula>"2 Add"</formula>
    </cfRule>
  </conditionalFormatting>
  <conditionalFormatting sqref="C62">
    <cfRule type="cellIs" dxfId="42000" priority="183" stopIfTrue="1" operator="equal">
      <formula>"3 Delete"</formula>
    </cfRule>
  </conditionalFormatting>
  <conditionalFormatting sqref="C63">
    <cfRule type="cellIs" dxfId="41999" priority="184" stopIfTrue="1" operator="equal">
      <formula>"1 Modify"</formula>
    </cfRule>
  </conditionalFormatting>
  <conditionalFormatting sqref="C63">
    <cfRule type="cellIs" dxfId="41998" priority="185" stopIfTrue="1" operator="equal">
      <formula>"2 Add"</formula>
    </cfRule>
  </conditionalFormatting>
  <conditionalFormatting sqref="C63">
    <cfRule type="cellIs" dxfId="41997" priority="186" stopIfTrue="1" operator="equal">
      <formula>"3 Delete"</formula>
    </cfRule>
  </conditionalFormatting>
  <conditionalFormatting sqref="C64">
    <cfRule type="cellIs" dxfId="41996" priority="187" stopIfTrue="1" operator="equal">
      <formula>"1 Modify"</formula>
    </cfRule>
  </conditionalFormatting>
  <conditionalFormatting sqref="C64">
    <cfRule type="cellIs" dxfId="41995" priority="188" stopIfTrue="1" operator="equal">
      <formula>"2 Add"</formula>
    </cfRule>
  </conditionalFormatting>
  <conditionalFormatting sqref="C64">
    <cfRule type="cellIs" dxfId="41994" priority="189" stopIfTrue="1" operator="equal">
      <formula>"3 Delete"</formula>
    </cfRule>
  </conditionalFormatting>
  <conditionalFormatting sqref="C65">
    <cfRule type="cellIs" dxfId="41993" priority="190" stopIfTrue="1" operator="equal">
      <formula>"1 Modify"</formula>
    </cfRule>
  </conditionalFormatting>
  <conditionalFormatting sqref="C65">
    <cfRule type="cellIs" dxfId="41992" priority="191" stopIfTrue="1" operator="equal">
      <formula>"2 Add"</formula>
    </cfRule>
  </conditionalFormatting>
  <conditionalFormatting sqref="C65">
    <cfRule type="cellIs" dxfId="41991" priority="192" stopIfTrue="1" operator="equal">
      <formula>"3 Delete"</formula>
    </cfRule>
  </conditionalFormatting>
  <conditionalFormatting sqref="C66">
    <cfRule type="cellIs" dxfId="41990" priority="193" stopIfTrue="1" operator="equal">
      <formula>"1 Modify"</formula>
    </cfRule>
  </conditionalFormatting>
  <conditionalFormatting sqref="C66">
    <cfRule type="cellIs" dxfId="41989" priority="194" stopIfTrue="1" operator="equal">
      <formula>"2 Add"</formula>
    </cfRule>
  </conditionalFormatting>
  <conditionalFormatting sqref="C66">
    <cfRule type="cellIs" dxfId="41988" priority="195" stopIfTrue="1" operator="equal">
      <formula>"3 Delete"</formula>
    </cfRule>
  </conditionalFormatting>
  <conditionalFormatting sqref="C67">
    <cfRule type="cellIs" dxfId="41987" priority="196" stopIfTrue="1" operator="equal">
      <formula>"1 Modify"</formula>
    </cfRule>
  </conditionalFormatting>
  <conditionalFormatting sqref="C67">
    <cfRule type="cellIs" dxfId="41986" priority="197" stopIfTrue="1" operator="equal">
      <formula>"2 Add"</formula>
    </cfRule>
  </conditionalFormatting>
  <conditionalFormatting sqref="C67">
    <cfRule type="cellIs" dxfId="41985" priority="198" stopIfTrue="1" operator="equal">
      <formula>"3 Delete"</formula>
    </cfRule>
  </conditionalFormatting>
  <conditionalFormatting sqref="C68">
    <cfRule type="cellIs" dxfId="41984" priority="199" stopIfTrue="1" operator="equal">
      <formula>"1 Modify"</formula>
    </cfRule>
  </conditionalFormatting>
  <conditionalFormatting sqref="C68">
    <cfRule type="cellIs" dxfId="41983" priority="200" stopIfTrue="1" operator="equal">
      <formula>"2 Add"</formula>
    </cfRule>
  </conditionalFormatting>
  <conditionalFormatting sqref="C68">
    <cfRule type="cellIs" dxfId="41982" priority="201" stopIfTrue="1" operator="equal">
      <formula>"3 Delete"</formula>
    </cfRule>
  </conditionalFormatting>
  <conditionalFormatting sqref="C69">
    <cfRule type="cellIs" dxfId="41981" priority="202" stopIfTrue="1" operator="equal">
      <formula>"1 Modify"</formula>
    </cfRule>
  </conditionalFormatting>
  <conditionalFormatting sqref="C69">
    <cfRule type="cellIs" dxfId="41980" priority="203" stopIfTrue="1" operator="equal">
      <formula>"2 Add"</formula>
    </cfRule>
  </conditionalFormatting>
  <conditionalFormatting sqref="C69">
    <cfRule type="cellIs" dxfId="41979" priority="204" stopIfTrue="1" operator="equal">
      <formula>"3 Delete"</formula>
    </cfRule>
  </conditionalFormatting>
  <conditionalFormatting sqref="C70">
    <cfRule type="cellIs" dxfId="41978" priority="205" stopIfTrue="1" operator="equal">
      <formula>"1 Modify"</formula>
    </cfRule>
  </conditionalFormatting>
  <conditionalFormatting sqref="C70">
    <cfRule type="cellIs" dxfId="41977" priority="206" stopIfTrue="1" operator="equal">
      <formula>"2 Add"</formula>
    </cfRule>
  </conditionalFormatting>
  <conditionalFormatting sqref="C70">
    <cfRule type="cellIs" dxfId="41976" priority="207" stopIfTrue="1" operator="equal">
      <formula>"3 Delete"</formula>
    </cfRule>
  </conditionalFormatting>
  <conditionalFormatting sqref="C71">
    <cfRule type="cellIs" dxfId="41975" priority="208" stopIfTrue="1" operator="equal">
      <formula>"1 Modify"</formula>
    </cfRule>
  </conditionalFormatting>
  <conditionalFormatting sqref="C71">
    <cfRule type="cellIs" dxfId="41974" priority="209" stopIfTrue="1" operator="equal">
      <formula>"2 Add"</formula>
    </cfRule>
  </conditionalFormatting>
  <conditionalFormatting sqref="C71">
    <cfRule type="cellIs" dxfId="41973" priority="210" stopIfTrue="1" operator="equal">
      <formula>"3 Delete"</formula>
    </cfRule>
  </conditionalFormatting>
  <conditionalFormatting sqref="C72">
    <cfRule type="cellIs" dxfId="41972" priority="211" stopIfTrue="1" operator="equal">
      <formula>"1 Modify"</formula>
    </cfRule>
  </conditionalFormatting>
  <conditionalFormatting sqref="C72">
    <cfRule type="cellIs" dxfId="41971" priority="212" stopIfTrue="1" operator="equal">
      <formula>"2 Add"</formula>
    </cfRule>
  </conditionalFormatting>
  <conditionalFormatting sqref="C72">
    <cfRule type="cellIs" dxfId="41970" priority="213" stopIfTrue="1" operator="equal">
      <formula>"3 Delete"</formula>
    </cfRule>
  </conditionalFormatting>
  <conditionalFormatting sqref="C73">
    <cfRule type="cellIs" dxfId="41969" priority="214" stopIfTrue="1" operator="equal">
      <formula>"1 Modify"</formula>
    </cfRule>
  </conditionalFormatting>
  <conditionalFormatting sqref="C73">
    <cfRule type="cellIs" dxfId="41968" priority="215" stopIfTrue="1" operator="equal">
      <formula>"2 Add"</formula>
    </cfRule>
  </conditionalFormatting>
  <conditionalFormatting sqref="C73">
    <cfRule type="cellIs" dxfId="41967" priority="216" stopIfTrue="1" operator="equal">
      <formula>"3 Delete"</formula>
    </cfRule>
  </conditionalFormatting>
  <conditionalFormatting sqref="C74">
    <cfRule type="cellIs" dxfId="41966" priority="217" stopIfTrue="1" operator="equal">
      <formula>"1 Modify"</formula>
    </cfRule>
  </conditionalFormatting>
  <conditionalFormatting sqref="C74">
    <cfRule type="cellIs" dxfId="41965" priority="218" stopIfTrue="1" operator="equal">
      <formula>"2 Add"</formula>
    </cfRule>
  </conditionalFormatting>
  <conditionalFormatting sqref="C74">
    <cfRule type="cellIs" dxfId="41964" priority="219" stopIfTrue="1" operator="equal">
      <formula>"3 Delete"</formula>
    </cfRule>
  </conditionalFormatting>
  <conditionalFormatting sqref="C75">
    <cfRule type="cellIs" dxfId="41963" priority="220" stopIfTrue="1" operator="equal">
      <formula>"1 Modify"</formula>
    </cfRule>
  </conditionalFormatting>
  <conditionalFormatting sqref="C75">
    <cfRule type="cellIs" dxfId="41962" priority="221" stopIfTrue="1" operator="equal">
      <formula>"2 Add"</formula>
    </cfRule>
  </conditionalFormatting>
  <conditionalFormatting sqref="C75">
    <cfRule type="cellIs" dxfId="41961" priority="222" stopIfTrue="1" operator="equal">
      <formula>"3 Delete"</formula>
    </cfRule>
  </conditionalFormatting>
  <conditionalFormatting sqref="C76">
    <cfRule type="cellIs" dxfId="41960" priority="223" stopIfTrue="1" operator="equal">
      <formula>"1 Modify"</formula>
    </cfRule>
  </conditionalFormatting>
  <conditionalFormatting sqref="C76">
    <cfRule type="cellIs" dxfId="41959" priority="224" stopIfTrue="1" operator="equal">
      <formula>"2 Add"</formula>
    </cfRule>
  </conditionalFormatting>
  <conditionalFormatting sqref="C76">
    <cfRule type="cellIs" dxfId="41958" priority="225" stopIfTrue="1" operator="equal">
      <formula>"3 Delete"</formula>
    </cfRule>
  </conditionalFormatting>
  <conditionalFormatting sqref="C77">
    <cfRule type="cellIs" dxfId="41957" priority="226" stopIfTrue="1" operator="equal">
      <formula>"1 Modify"</formula>
    </cfRule>
  </conditionalFormatting>
  <conditionalFormatting sqref="C77">
    <cfRule type="cellIs" dxfId="41956" priority="227" stopIfTrue="1" operator="equal">
      <formula>"2 Add"</formula>
    </cfRule>
  </conditionalFormatting>
  <conditionalFormatting sqref="C77">
    <cfRule type="cellIs" dxfId="41955" priority="228" stopIfTrue="1" operator="equal">
      <formula>"3 Delete"</formula>
    </cfRule>
  </conditionalFormatting>
  <conditionalFormatting sqref="C78">
    <cfRule type="cellIs" dxfId="41954" priority="229" stopIfTrue="1" operator="equal">
      <formula>"1 Modify"</formula>
    </cfRule>
  </conditionalFormatting>
  <conditionalFormatting sqref="C78">
    <cfRule type="cellIs" dxfId="41953" priority="230" stopIfTrue="1" operator="equal">
      <formula>"2 Add"</formula>
    </cfRule>
  </conditionalFormatting>
  <conditionalFormatting sqref="C78">
    <cfRule type="cellIs" dxfId="41952" priority="231" stopIfTrue="1" operator="equal">
      <formula>"3 Delete"</formula>
    </cfRule>
  </conditionalFormatting>
  <conditionalFormatting sqref="C79">
    <cfRule type="cellIs" dxfId="41951" priority="232" stopIfTrue="1" operator="equal">
      <formula>"1 Modify"</formula>
    </cfRule>
  </conditionalFormatting>
  <conditionalFormatting sqref="C79">
    <cfRule type="cellIs" dxfId="41950" priority="233" stopIfTrue="1" operator="equal">
      <formula>"2 Add"</formula>
    </cfRule>
  </conditionalFormatting>
  <conditionalFormatting sqref="C79">
    <cfRule type="cellIs" dxfId="41949" priority="234" stopIfTrue="1" operator="equal">
      <formula>"3 Delete"</formula>
    </cfRule>
  </conditionalFormatting>
  <conditionalFormatting sqref="C80">
    <cfRule type="cellIs" dxfId="41948" priority="235" stopIfTrue="1" operator="equal">
      <formula>"1 Modify"</formula>
    </cfRule>
  </conditionalFormatting>
  <conditionalFormatting sqref="C80">
    <cfRule type="cellIs" dxfId="41947" priority="236" stopIfTrue="1" operator="equal">
      <formula>"2 Add"</formula>
    </cfRule>
  </conditionalFormatting>
  <conditionalFormatting sqref="C80">
    <cfRule type="cellIs" dxfId="41946" priority="237" stopIfTrue="1" operator="equal">
      <formula>"3 Delete"</formula>
    </cfRule>
  </conditionalFormatting>
  <conditionalFormatting sqref="C81">
    <cfRule type="cellIs" dxfId="41945" priority="238" stopIfTrue="1" operator="equal">
      <formula>"1 Modify"</formula>
    </cfRule>
  </conditionalFormatting>
  <conditionalFormatting sqref="C81">
    <cfRule type="cellIs" dxfId="41944" priority="239" stopIfTrue="1" operator="equal">
      <formula>"2 Add"</formula>
    </cfRule>
  </conditionalFormatting>
  <conditionalFormatting sqref="C81">
    <cfRule type="cellIs" dxfId="41943" priority="240" stopIfTrue="1" operator="equal">
      <formula>"3 Delete"</formula>
    </cfRule>
  </conditionalFormatting>
  <conditionalFormatting sqref="C82">
    <cfRule type="cellIs" dxfId="41942" priority="241" stopIfTrue="1" operator="equal">
      <formula>"1 Modify"</formula>
    </cfRule>
  </conditionalFormatting>
  <conditionalFormatting sqref="C82">
    <cfRule type="cellIs" dxfId="41941" priority="242" stopIfTrue="1" operator="equal">
      <formula>"2 Add"</formula>
    </cfRule>
  </conditionalFormatting>
  <conditionalFormatting sqref="C82">
    <cfRule type="cellIs" dxfId="41940" priority="243" stopIfTrue="1" operator="equal">
      <formula>"3 Delete"</formula>
    </cfRule>
  </conditionalFormatting>
  <conditionalFormatting sqref="C83">
    <cfRule type="cellIs" dxfId="41939" priority="244" stopIfTrue="1" operator="equal">
      <formula>"1 Modify"</formula>
    </cfRule>
  </conditionalFormatting>
  <conditionalFormatting sqref="C83">
    <cfRule type="cellIs" dxfId="41938" priority="245" stopIfTrue="1" operator="equal">
      <formula>"2 Add"</formula>
    </cfRule>
  </conditionalFormatting>
  <conditionalFormatting sqref="C83">
    <cfRule type="cellIs" dxfId="41937" priority="246" stopIfTrue="1" operator="equal">
      <formula>"3 Delete"</formula>
    </cfRule>
  </conditionalFormatting>
  <conditionalFormatting sqref="C84">
    <cfRule type="cellIs" dxfId="41936" priority="247" stopIfTrue="1" operator="equal">
      <formula>"1 Modify"</formula>
    </cfRule>
  </conditionalFormatting>
  <conditionalFormatting sqref="C84">
    <cfRule type="cellIs" dxfId="41935" priority="248" stopIfTrue="1" operator="equal">
      <formula>"2 Add"</formula>
    </cfRule>
  </conditionalFormatting>
  <conditionalFormatting sqref="C84">
    <cfRule type="cellIs" dxfId="41934" priority="249" stopIfTrue="1" operator="equal">
      <formula>"3 Delete"</formula>
    </cfRule>
  </conditionalFormatting>
  <conditionalFormatting sqref="C85">
    <cfRule type="cellIs" dxfId="41933" priority="250" stopIfTrue="1" operator="equal">
      <formula>"1 Modify"</formula>
    </cfRule>
  </conditionalFormatting>
  <conditionalFormatting sqref="C85">
    <cfRule type="cellIs" dxfId="41932" priority="251" stopIfTrue="1" operator="equal">
      <formula>"2 Add"</formula>
    </cfRule>
  </conditionalFormatting>
  <conditionalFormatting sqref="C85">
    <cfRule type="cellIs" dxfId="41931" priority="252" stopIfTrue="1" operator="equal">
      <formula>"3 Delete"</formula>
    </cfRule>
  </conditionalFormatting>
  <conditionalFormatting sqref="C86">
    <cfRule type="cellIs" dxfId="41930" priority="253" stopIfTrue="1" operator="equal">
      <formula>"1 Modify"</formula>
    </cfRule>
  </conditionalFormatting>
  <conditionalFormatting sqref="C86">
    <cfRule type="cellIs" dxfId="41929" priority="254" stopIfTrue="1" operator="equal">
      <formula>"2 Add"</formula>
    </cfRule>
  </conditionalFormatting>
  <conditionalFormatting sqref="C86">
    <cfRule type="cellIs" dxfId="41928" priority="255" stopIfTrue="1" operator="equal">
      <formula>"3 Delete"</formula>
    </cfRule>
  </conditionalFormatting>
  <conditionalFormatting sqref="C87">
    <cfRule type="cellIs" dxfId="41927" priority="256" stopIfTrue="1" operator="equal">
      <formula>"1 Modify"</formula>
    </cfRule>
  </conditionalFormatting>
  <conditionalFormatting sqref="C87">
    <cfRule type="cellIs" dxfId="41926" priority="257" stopIfTrue="1" operator="equal">
      <formula>"2 Add"</formula>
    </cfRule>
  </conditionalFormatting>
  <conditionalFormatting sqref="C87">
    <cfRule type="cellIs" dxfId="41925" priority="258" stopIfTrue="1" operator="equal">
      <formula>"3 Delete"</formula>
    </cfRule>
  </conditionalFormatting>
  <conditionalFormatting sqref="C88">
    <cfRule type="cellIs" dxfId="41924" priority="259" stopIfTrue="1" operator="equal">
      <formula>"1 Modify"</formula>
    </cfRule>
  </conditionalFormatting>
  <conditionalFormatting sqref="C88">
    <cfRule type="cellIs" dxfId="41923" priority="260" stopIfTrue="1" operator="equal">
      <formula>"2 Add"</formula>
    </cfRule>
  </conditionalFormatting>
  <conditionalFormatting sqref="C88">
    <cfRule type="cellIs" dxfId="41922" priority="261" stopIfTrue="1" operator="equal">
      <formula>"3 Delete"</formula>
    </cfRule>
  </conditionalFormatting>
  <conditionalFormatting sqref="C89">
    <cfRule type="cellIs" dxfId="41921" priority="262" stopIfTrue="1" operator="equal">
      <formula>"1 Modify"</formula>
    </cfRule>
  </conditionalFormatting>
  <conditionalFormatting sqref="C89">
    <cfRule type="cellIs" dxfId="41920" priority="263" stopIfTrue="1" operator="equal">
      <formula>"2 Add"</formula>
    </cfRule>
  </conditionalFormatting>
  <conditionalFormatting sqref="C89">
    <cfRule type="cellIs" dxfId="41919" priority="264" stopIfTrue="1" operator="equal">
      <formula>"3 Delete"</formula>
    </cfRule>
  </conditionalFormatting>
  <conditionalFormatting sqref="C90">
    <cfRule type="cellIs" dxfId="41918" priority="265" stopIfTrue="1" operator="equal">
      <formula>"1 Modify"</formula>
    </cfRule>
  </conditionalFormatting>
  <conditionalFormatting sqref="C90">
    <cfRule type="cellIs" dxfId="41917" priority="266" stopIfTrue="1" operator="equal">
      <formula>"2 Add"</formula>
    </cfRule>
  </conditionalFormatting>
  <conditionalFormatting sqref="C90">
    <cfRule type="cellIs" dxfId="41916" priority="267" stopIfTrue="1" operator="equal">
      <formula>"3 Delete"</formula>
    </cfRule>
  </conditionalFormatting>
  <conditionalFormatting sqref="C91">
    <cfRule type="cellIs" dxfId="41915" priority="268" stopIfTrue="1" operator="equal">
      <formula>"1 Modify"</formula>
    </cfRule>
  </conditionalFormatting>
  <conditionalFormatting sqref="C91">
    <cfRule type="cellIs" dxfId="41914" priority="269" stopIfTrue="1" operator="equal">
      <formula>"2 Add"</formula>
    </cfRule>
  </conditionalFormatting>
  <conditionalFormatting sqref="C91">
    <cfRule type="cellIs" dxfId="41913" priority="270" stopIfTrue="1" operator="equal">
      <formula>"3 Delete"</formula>
    </cfRule>
  </conditionalFormatting>
  <conditionalFormatting sqref="C92">
    <cfRule type="cellIs" dxfId="41912" priority="271" stopIfTrue="1" operator="equal">
      <formula>"1 Modify"</formula>
    </cfRule>
  </conditionalFormatting>
  <conditionalFormatting sqref="C92">
    <cfRule type="cellIs" dxfId="41911" priority="272" stopIfTrue="1" operator="equal">
      <formula>"2 Add"</formula>
    </cfRule>
  </conditionalFormatting>
  <conditionalFormatting sqref="C92">
    <cfRule type="cellIs" dxfId="41910" priority="273" stopIfTrue="1" operator="equal">
      <formula>"3 Delete"</formula>
    </cfRule>
  </conditionalFormatting>
  <conditionalFormatting sqref="C93">
    <cfRule type="cellIs" dxfId="41909" priority="274" stopIfTrue="1" operator="equal">
      <formula>"1 Modify"</formula>
    </cfRule>
  </conditionalFormatting>
  <conditionalFormatting sqref="C93">
    <cfRule type="cellIs" dxfId="41908" priority="275" stopIfTrue="1" operator="equal">
      <formula>"2 Add"</formula>
    </cfRule>
  </conditionalFormatting>
  <conditionalFormatting sqref="C93">
    <cfRule type="cellIs" dxfId="41907" priority="276" stopIfTrue="1" operator="equal">
      <formula>"3 Delete"</formula>
    </cfRule>
  </conditionalFormatting>
  <conditionalFormatting sqref="C94">
    <cfRule type="cellIs" dxfId="41906" priority="277" stopIfTrue="1" operator="equal">
      <formula>"1 Modify"</formula>
    </cfRule>
  </conditionalFormatting>
  <conditionalFormatting sqref="C94">
    <cfRule type="cellIs" dxfId="41905" priority="278" stopIfTrue="1" operator="equal">
      <formula>"2 Add"</formula>
    </cfRule>
  </conditionalFormatting>
  <conditionalFormatting sqref="C94">
    <cfRule type="cellIs" dxfId="41904" priority="279" stopIfTrue="1" operator="equal">
      <formula>"3 Delete"</formula>
    </cfRule>
  </conditionalFormatting>
  <conditionalFormatting sqref="C95">
    <cfRule type="cellIs" dxfId="41903" priority="280" stopIfTrue="1" operator="equal">
      <formula>"1 Modify"</formula>
    </cfRule>
  </conditionalFormatting>
  <conditionalFormatting sqref="C95">
    <cfRule type="cellIs" dxfId="41902" priority="281" stopIfTrue="1" operator="equal">
      <formula>"2 Add"</formula>
    </cfRule>
  </conditionalFormatting>
  <conditionalFormatting sqref="C95">
    <cfRule type="cellIs" dxfId="41901" priority="282" stopIfTrue="1" operator="equal">
      <formula>"3 Delete"</formula>
    </cfRule>
  </conditionalFormatting>
  <conditionalFormatting sqref="C96">
    <cfRule type="cellIs" dxfId="41900" priority="283" stopIfTrue="1" operator="equal">
      <formula>"1 Modify"</formula>
    </cfRule>
  </conditionalFormatting>
  <conditionalFormatting sqref="C96">
    <cfRule type="cellIs" dxfId="41899" priority="284" stopIfTrue="1" operator="equal">
      <formula>"2 Add"</formula>
    </cfRule>
  </conditionalFormatting>
  <conditionalFormatting sqref="C96">
    <cfRule type="cellIs" dxfId="41898" priority="285" stopIfTrue="1" operator="equal">
      <formula>"3 Delete"</formula>
    </cfRule>
  </conditionalFormatting>
  <conditionalFormatting sqref="C97">
    <cfRule type="cellIs" dxfId="41897" priority="286" stopIfTrue="1" operator="equal">
      <formula>"1 Modify"</formula>
    </cfRule>
  </conditionalFormatting>
  <conditionalFormatting sqref="C97">
    <cfRule type="cellIs" dxfId="41896" priority="287" stopIfTrue="1" operator="equal">
      <formula>"2 Add"</formula>
    </cfRule>
  </conditionalFormatting>
  <conditionalFormatting sqref="C97">
    <cfRule type="cellIs" dxfId="41895" priority="288" stopIfTrue="1" operator="equal">
      <formula>"3 Delete"</formula>
    </cfRule>
  </conditionalFormatting>
  <conditionalFormatting sqref="C98">
    <cfRule type="cellIs" dxfId="41894" priority="289" stopIfTrue="1" operator="equal">
      <formula>"1 Modify"</formula>
    </cfRule>
  </conditionalFormatting>
  <conditionalFormatting sqref="C98">
    <cfRule type="cellIs" dxfId="41893" priority="290" stopIfTrue="1" operator="equal">
      <formula>"2 Add"</formula>
    </cfRule>
  </conditionalFormatting>
  <conditionalFormatting sqref="C98">
    <cfRule type="cellIs" dxfId="41892" priority="291" stopIfTrue="1" operator="equal">
      <formula>"3 Delete"</formula>
    </cfRule>
  </conditionalFormatting>
  <conditionalFormatting sqref="C99">
    <cfRule type="cellIs" dxfId="41891" priority="292" stopIfTrue="1" operator="equal">
      <formula>"1 Modify"</formula>
    </cfRule>
  </conditionalFormatting>
  <conditionalFormatting sqref="C99">
    <cfRule type="cellIs" dxfId="41890" priority="293" stopIfTrue="1" operator="equal">
      <formula>"2 Add"</formula>
    </cfRule>
  </conditionalFormatting>
  <conditionalFormatting sqref="C99">
    <cfRule type="cellIs" dxfId="41889" priority="294" stopIfTrue="1" operator="equal">
      <formula>"3 Delete"</formula>
    </cfRule>
  </conditionalFormatting>
  <conditionalFormatting sqref="C100">
    <cfRule type="cellIs" dxfId="41888" priority="295" stopIfTrue="1" operator="equal">
      <formula>"1 Modify"</formula>
    </cfRule>
  </conditionalFormatting>
  <conditionalFormatting sqref="C100">
    <cfRule type="cellIs" dxfId="41887" priority="296" stopIfTrue="1" operator="equal">
      <formula>"2 Add"</formula>
    </cfRule>
  </conditionalFormatting>
  <conditionalFormatting sqref="C100">
    <cfRule type="cellIs" dxfId="41886" priority="297" stopIfTrue="1" operator="equal">
      <formula>"3 Delete"</formula>
    </cfRule>
  </conditionalFormatting>
  <conditionalFormatting sqref="C101">
    <cfRule type="cellIs" dxfId="41885" priority="298" stopIfTrue="1" operator="equal">
      <formula>"1 Modify"</formula>
    </cfRule>
  </conditionalFormatting>
  <conditionalFormatting sqref="C101">
    <cfRule type="cellIs" dxfId="41884" priority="299" stopIfTrue="1" operator="equal">
      <formula>"2 Add"</formula>
    </cfRule>
  </conditionalFormatting>
  <conditionalFormatting sqref="C101">
    <cfRule type="cellIs" dxfId="41883" priority="300" stopIfTrue="1" operator="equal">
      <formula>"3 Delete"</formula>
    </cfRule>
  </conditionalFormatting>
  <conditionalFormatting sqref="C102">
    <cfRule type="cellIs" dxfId="41882" priority="301" stopIfTrue="1" operator="equal">
      <formula>"1 Modify"</formula>
    </cfRule>
  </conditionalFormatting>
  <conditionalFormatting sqref="C102">
    <cfRule type="cellIs" dxfId="41881" priority="302" stopIfTrue="1" operator="equal">
      <formula>"2 Add"</formula>
    </cfRule>
  </conditionalFormatting>
  <conditionalFormatting sqref="C102">
    <cfRule type="cellIs" dxfId="41880" priority="303" stopIfTrue="1" operator="equal">
      <formula>"3 Delete"</formula>
    </cfRule>
  </conditionalFormatting>
  <conditionalFormatting sqref="C103">
    <cfRule type="cellIs" dxfId="41879" priority="304" stopIfTrue="1" operator="equal">
      <formula>"1 Modify"</formula>
    </cfRule>
  </conditionalFormatting>
  <conditionalFormatting sqref="C103">
    <cfRule type="cellIs" dxfId="41878" priority="305" stopIfTrue="1" operator="equal">
      <formula>"2 Add"</formula>
    </cfRule>
  </conditionalFormatting>
  <conditionalFormatting sqref="C103">
    <cfRule type="cellIs" dxfId="41877" priority="306" stopIfTrue="1" operator="equal">
      <formula>"3 Delete"</formula>
    </cfRule>
  </conditionalFormatting>
  <conditionalFormatting sqref="C104">
    <cfRule type="cellIs" dxfId="41876" priority="307" stopIfTrue="1" operator="equal">
      <formula>"1 Modify"</formula>
    </cfRule>
  </conditionalFormatting>
  <conditionalFormatting sqref="C104">
    <cfRule type="cellIs" dxfId="41875" priority="308" stopIfTrue="1" operator="equal">
      <formula>"2 Add"</formula>
    </cfRule>
  </conditionalFormatting>
  <conditionalFormatting sqref="C104">
    <cfRule type="cellIs" dxfId="41874" priority="309" stopIfTrue="1" operator="equal">
      <formula>"3 Delete"</formula>
    </cfRule>
  </conditionalFormatting>
  <conditionalFormatting sqref="C105">
    <cfRule type="cellIs" dxfId="41873" priority="310" stopIfTrue="1" operator="equal">
      <formula>"1 Modify"</formula>
    </cfRule>
  </conditionalFormatting>
  <conditionalFormatting sqref="C105">
    <cfRule type="cellIs" dxfId="41872" priority="311" stopIfTrue="1" operator="equal">
      <formula>"2 Add"</formula>
    </cfRule>
  </conditionalFormatting>
  <conditionalFormatting sqref="C105">
    <cfRule type="cellIs" dxfId="41871" priority="312" stopIfTrue="1" operator="equal">
      <formula>"3 Delete"</formula>
    </cfRule>
  </conditionalFormatting>
  <conditionalFormatting sqref="C106">
    <cfRule type="cellIs" dxfId="41870" priority="313" stopIfTrue="1" operator="equal">
      <formula>"1 Modify"</formula>
    </cfRule>
  </conditionalFormatting>
  <conditionalFormatting sqref="C106">
    <cfRule type="cellIs" dxfId="41869" priority="314" stopIfTrue="1" operator="equal">
      <formula>"2 Add"</formula>
    </cfRule>
  </conditionalFormatting>
  <conditionalFormatting sqref="C106">
    <cfRule type="cellIs" dxfId="41868" priority="315" stopIfTrue="1" operator="equal">
      <formula>"3 Delete"</formula>
    </cfRule>
  </conditionalFormatting>
  <conditionalFormatting sqref="C107">
    <cfRule type="cellIs" dxfId="41867" priority="316" stopIfTrue="1" operator="equal">
      <formula>"1 Modify"</formula>
    </cfRule>
  </conditionalFormatting>
  <conditionalFormatting sqref="C107">
    <cfRule type="cellIs" dxfId="41866" priority="317" stopIfTrue="1" operator="equal">
      <formula>"2 Add"</formula>
    </cfRule>
  </conditionalFormatting>
  <conditionalFormatting sqref="C107">
    <cfRule type="cellIs" dxfId="41865" priority="318" stopIfTrue="1" operator="equal">
      <formula>"3 Delete"</formula>
    </cfRule>
  </conditionalFormatting>
  <conditionalFormatting sqref="C108">
    <cfRule type="cellIs" dxfId="41864" priority="319" stopIfTrue="1" operator="equal">
      <formula>"1 Modify"</formula>
    </cfRule>
  </conditionalFormatting>
  <conditionalFormatting sqref="C108">
    <cfRule type="cellIs" dxfId="41863" priority="320" stopIfTrue="1" operator="equal">
      <formula>"2 Add"</formula>
    </cfRule>
  </conditionalFormatting>
  <conditionalFormatting sqref="C108">
    <cfRule type="cellIs" dxfId="41862" priority="321" stopIfTrue="1" operator="equal">
      <formula>"3 Delete"</formula>
    </cfRule>
  </conditionalFormatting>
  <conditionalFormatting sqref="C109">
    <cfRule type="cellIs" dxfId="41861" priority="322" stopIfTrue="1" operator="equal">
      <formula>"1 Modify"</formula>
    </cfRule>
  </conditionalFormatting>
  <conditionalFormatting sqref="C109">
    <cfRule type="cellIs" dxfId="41860" priority="323" stopIfTrue="1" operator="equal">
      <formula>"2 Add"</formula>
    </cfRule>
  </conditionalFormatting>
  <conditionalFormatting sqref="C109">
    <cfRule type="cellIs" dxfId="41859" priority="324" stopIfTrue="1" operator="equal">
      <formula>"3 Delete"</formula>
    </cfRule>
  </conditionalFormatting>
  <conditionalFormatting sqref="C110">
    <cfRule type="cellIs" dxfId="41858" priority="325" stopIfTrue="1" operator="equal">
      <formula>"1 Modify"</formula>
    </cfRule>
  </conditionalFormatting>
  <conditionalFormatting sqref="C110">
    <cfRule type="cellIs" dxfId="41857" priority="326" stopIfTrue="1" operator="equal">
      <formula>"2 Add"</formula>
    </cfRule>
  </conditionalFormatting>
  <conditionalFormatting sqref="C110">
    <cfRule type="cellIs" dxfId="41856" priority="327" stopIfTrue="1" operator="equal">
      <formula>"3 Delete"</formula>
    </cfRule>
  </conditionalFormatting>
  <conditionalFormatting sqref="C111">
    <cfRule type="cellIs" dxfId="41855" priority="328" stopIfTrue="1" operator="equal">
      <formula>"1 Modify"</formula>
    </cfRule>
  </conditionalFormatting>
  <conditionalFormatting sqref="C111">
    <cfRule type="cellIs" dxfId="41854" priority="329" stopIfTrue="1" operator="equal">
      <formula>"2 Add"</formula>
    </cfRule>
  </conditionalFormatting>
  <conditionalFormatting sqref="C111">
    <cfRule type="cellIs" dxfId="41853" priority="330" stopIfTrue="1" operator="equal">
      <formula>"3 Delete"</formula>
    </cfRule>
  </conditionalFormatting>
  <conditionalFormatting sqref="C112">
    <cfRule type="cellIs" dxfId="41852" priority="331" stopIfTrue="1" operator="equal">
      <formula>"1 Modify"</formula>
    </cfRule>
  </conditionalFormatting>
  <conditionalFormatting sqref="C112">
    <cfRule type="cellIs" dxfId="41851" priority="332" stopIfTrue="1" operator="equal">
      <formula>"2 Add"</formula>
    </cfRule>
  </conditionalFormatting>
  <conditionalFormatting sqref="C112">
    <cfRule type="cellIs" dxfId="41850" priority="333" stopIfTrue="1" operator="equal">
      <formula>"3 Delete"</formula>
    </cfRule>
  </conditionalFormatting>
  <conditionalFormatting sqref="C113">
    <cfRule type="cellIs" dxfId="41849" priority="334" stopIfTrue="1" operator="equal">
      <formula>"1 Modify"</formula>
    </cfRule>
  </conditionalFormatting>
  <conditionalFormatting sqref="C113">
    <cfRule type="cellIs" dxfId="41848" priority="335" stopIfTrue="1" operator="equal">
      <formula>"2 Add"</formula>
    </cfRule>
  </conditionalFormatting>
  <conditionalFormatting sqref="C113">
    <cfRule type="cellIs" dxfId="41847" priority="336" stopIfTrue="1" operator="equal">
      <formula>"3 Delete"</formula>
    </cfRule>
  </conditionalFormatting>
  <conditionalFormatting sqref="C114">
    <cfRule type="cellIs" dxfId="41846" priority="337" stopIfTrue="1" operator="equal">
      <formula>"1 Modify"</formula>
    </cfRule>
  </conditionalFormatting>
  <conditionalFormatting sqref="C114">
    <cfRule type="cellIs" dxfId="41845" priority="338" stopIfTrue="1" operator="equal">
      <formula>"2 Add"</formula>
    </cfRule>
  </conditionalFormatting>
  <conditionalFormatting sqref="C114">
    <cfRule type="cellIs" dxfId="41844" priority="339" stopIfTrue="1" operator="equal">
      <formula>"3 Delete"</formula>
    </cfRule>
  </conditionalFormatting>
  <conditionalFormatting sqref="C115">
    <cfRule type="cellIs" dxfId="41843" priority="340" stopIfTrue="1" operator="equal">
      <formula>"1 Modify"</formula>
    </cfRule>
  </conditionalFormatting>
  <conditionalFormatting sqref="C115">
    <cfRule type="cellIs" dxfId="41842" priority="341" stopIfTrue="1" operator="equal">
      <formula>"2 Add"</formula>
    </cfRule>
  </conditionalFormatting>
  <conditionalFormatting sqref="C115">
    <cfRule type="cellIs" dxfId="41841" priority="342" stopIfTrue="1" operator="equal">
      <formula>"3 Delete"</formula>
    </cfRule>
  </conditionalFormatting>
  <conditionalFormatting sqref="C116">
    <cfRule type="cellIs" dxfId="41840" priority="343" stopIfTrue="1" operator="equal">
      <formula>"1 Modify"</formula>
    </cfRule>
  </conditionalFormatting>
  <conditionalFormatting sqref="C116">
    <cfRule type="cellIs" dxfId="41839" priority="344" stopIfTrue="1" operator="equal">
      <formula>"2 Add"</formula>
    </cfRule>
  </conditionalFormatting>
  <conditionalFormatting sqref="C116">
    <cfRule type="cellIs" dxfId="41838" priority="345" stopIfTrue="1" operator="equal">
      <formula>"3 Delete"</formula>
    </cfRule>
  </conditionalFormatting>
  <conditionalFormatting sqref="C117">
    <cfRule type="cellIs" dxfId="41837" priority="346" stopIfTrue="1" operator="equal">
      <formula>"1 Modify"</formula>
    </cfRule>
  </conditionalFormatting>
  <conditionalFormatting sqref="C117">
    <cfRule type="cellIs" dxfId="41836" priority="347" stopIfTrue="1" operator="equal">
      <formula>"2 Add"</formula>
    </cfRule>
  </conditionalFormatting>
  <conditionalFormatting sqref="C117">
    <cfRule type="cellIs" dxfId="41835" priority="348" stopIfTrue="1" operator="equal">
      <formula>"3 Delete"</formula>
    </cfRule>
  </conditionalFormatting>
  <conditionalFormatting sqref="C118">
    <cfRule type="cellIs" dxfId="41834" priority="349" stopIfTrue="1" operator="equal">
      <formula>"1 Modify"</formula>
    </cfRule>
  </conditionalFormatting>
  <conditionalFormatting sqref="C118">
    <cfRule type="cellIs" dxfId="41833" priority="350" stopIfTrue="1" operator="equal">
      <formula>"2 Add"</formula>
    </cfRule>
  </conditionalFormatting>
  <conditionalFormatting sqref="C118">
    <cfRule type="cellIs" dxfId="41832" priority="351" stopIfTrue="1" operator="equal">
      <formula>"3 Delete"</formula>
    </cfRule>
  </conditionalFormatting>
  <conditionalFormatting sqref="C119">
    <cfRule type="cellIs" dxfId="41831" priority="352" stopIfTrue="1" operator="equal">
      <formula>"1 Modify"</formula>
    </cfRule>
  </conditionalFormatting>
  <conditionalFormatting sqref="C119">
    <cfRule type="cellIs" dxfId="41830" priority="353" stopIfTrue="1" operator="equal">
      <formula>"2 Add"</formula>
    </cfRule>
  </conditionalFormatting>
  <conditionalFormatting sqref="C119">
    <cfRule type="cellIs" dxfId="41829" priority="354" stopIfTrue="1" operator="equal">
      <formula>"3 Delete"</formula>
    </cfRule>
  </conditionalFormatting>
  <conditionalFormatting sqref="C120">
    <cfRule type="cellIs" dxfId="41828" priority="355" stopIfTrue="1" operator="equal">
      <formula>"1 Modify"</formula>
    </cfRule>
  </conditionalFormatting>
  <conditionalFormatting sqref="C120">
    <cfRule type="cellIs" dxfId="41827" priority="356" stopIfTrue="1" operator="equal">
      <formula>"2 Add"</formula>
    </cfRule>
  </conditionalFormatting>
  <conditionalFormatting sqref="C120">
    <cfRule type="cellIs" dxfId="41826" priority="357" stopIfTrue="1" operator="equal">
      <formula>"3 Delete"</formula>
    </cfRule>
  </conditionalFormatting>
  <conditionalFormatting sqref="C121">
    <cfRule type="cellIs" dxfId="41825" priority="358" stopIfTrue="1" operator="equal">
      <formula>"1 Modify"</formula>
    </cfRule>
  </conditionalFormatting>
  <conditionalFormatting sqref="C121">
    <cfRule type="cellIs" dxfId="41824" priority="359" stopIfTrue="1" operator="equal">
      <formula>"2 Add"</formula>
    </cfRule>
  </conditionalFormatting>
  <conditionalFormatting sqref="C121">
    <cfRule type="cellIs" dxfId="41823" priority="360" stopIfTrue="1" operator="equal">
      <formula>"3 Delete"</formula>
    </cfRule>
  </conditionalFormatting>
  <conditionalFormatting sqref="C122">
    <cfRule type="cellIs" dxfId="41822" priority="361" stopIfTrue="1" operator="equal">
      <formula>"1 Modify"</formula>
    </cfRule>
  </conditionalFormatting>
  <conditionalFormatting sqref="C122">
    <cfRule type="cellIs" dxfId="41821" priority="362" stopIfTrue="1" operator="equal">
      <formula>"2 Add"</formula>
    </cfRule>
  </conditionalFormatting>
  <conditionalFormatting sqref="C122">
    <cfRule type="cellIs" dxfId="41820" priority="363" stopIfTrue="1" operator="equal">
      <formula>"3 Delete"</formula>
    </cfRule>
  </conditionalFormatting>
  <conditionalFormatting sqref="C123">
    <cfRule type="cellIs" dxfId="41819" priority="364" stopIfTrue="1" operator="equal">
      <formula>"1 Modify"</formula>
    </cfRule>
  </conditionalFormatting>
  <conditionalFormatting sqref="C123">
    <cfRule type="cellIs" dxfId="41818" priority="365" stopIfTrue="1" operator="equal">
      <formula>"2 Add"</formula>
    </cfRule>
  </conditionalFormatting>
  <conditionalFormatting sqref="C123">
    <cfRule type="cellIs" dxfId="41817" priority="366" stopIfTrue="1" operator="equal">
      <formula>"3 Delete"</formula>
    </cfRule>
  </conditionalFormatting>
  <conditionalFormatting sqref="C124">
    <cfRule type="cellIs" dxfId="41816" priority="367" stopIfTrue="1" operator="equal">
      <formula>"1 Modify"</formula>
    </cfRule>
  </conditionalFormatting>
  <conditionalFormatting sqref="C124">
    <cfRule type="cellIs" dxfId="41815" priority="368" stopIfTrue="1" operator="equal">
      <formula>"2 Add"</formula>
    </cfRule>
  </conditionalFormatting>
  <conditionalFormatting sqref="C124">
    <cfRule type="cellIs" dxfId="41814" priority="369" stopIfTrue="1" operator="equal">
      <formula>"3 Delete"</formula>
    </cfRule>
  </conditionalFormatting>
  <conditionalFormatting sqref="C125">
    <cfRule type="cellIs" dxfId="41813" priority="370" stopIfTrue="1" operator="equal">
      <formula>"1 Modify"</formula>
    </cfRule>
  </conditionalFormatting>
  <conditionalFormatting sqref="C125">
    <cfRule type="cellIs" dxfId="41812" priority="371" stopIfTrue="1" operator="equal">
      <formula>"2 Add"</formula>
    </cfRule>
  </conditionalFormatting>
  <conditionalFormatting sqref="C125">
    <cfRule type="cellIs" dxfId="41811" priority="372" stopIfTrue="1" operator="equal">
      <formula>"3 Delete"</formula>
    </cfRule>
  </conditionalFormatting>
  <conditionalFormatting sqref="C126">
    <cfRule type="cellIs" dxfId="41810" priority="373" stopIfTrue="1" operator="equal">
      <formula>"1 Modify"</formula>
    </cfRule>
  </conditionalFormatting>
  <conditionalFormatting sqref="C126">
    <cfRule type="cellIs" dxfId="41809" priority="374" stopIfTrue="1" operator="equal">
      <formula>"2 Add"</formula>
    </cfRule>
  </conditionalFormatting>
  <conditionalFormatting sqref="C126">
    <cfRule type="cellIs" dxfId="41808" priority="375" stopIfTrue="1" operator="equal">
      <formula>"3 Delete"</formula>
    </cfRule>
  </conditionalFormatting>
  <conditionalFormatting sqref="C127">
    <cfRule type="cellIs" dxfId="41807" priority="376" stopIfTrue="1" operator="equal">
      <formula>"1 Modify"</formula>
    </cfRule>
  </conditionalFormatting>
  <conditionalFormatting sqref="C127">
    <cfRule type="cellIs" dxfId="41806" priority="377" stopIfTrue="1" operator="equal">
      <formula>"2 Add"</formula>
    </cfRule>
  </conditionalFormatting>
  <conditionalFormatting sqref="C127">
    <cfRule type="cellIs" dxfId="41805" priority="378" stopIfTrue="1" operator="equal">
      <formula>"3 Delete"</formula>
    </cfRule>
  </conditionalFormatting>
  <conditionalFormatting sqref="C128">
    <cfRule type="cellIs" dxfId="41804" priority="379" stopIfTrue="1" operator="equal">
      <formula>"1 Modify"</formula>
    </cfRule>
  </conditionalFormatting>
  <conditionalFormatting sqref="C128">
    <cfRule type="cellIs" dxfId="41803" priority="380" stopIfTrue="1" operator="equal">
      <formula>"2 Add"</formula>
    </cfRule>
  </conditionalFormatting>
  <conditionalFormatting sqref="C128">
    <cfRule type="cellIs" dxfId="41802" priority="381" stopIfTrue="1" operator="equal">
      <formula>"3 Delete"</formula>
    </cfRule>
  </conditionalFormatting>
  <conditionalFormatting sqref="C129">
    <cfRule type="cellIs" dxfId="41801" priority="382" stopIfTrue="1" operator="equal">
      <formula>"1 Modify"</formula>
    </cfRule>
  </conditionalFormatting>
  <conditionalFormatting sqref="C129">
    <cfRule type="cellIs" dxfId="41800" priority="383" stopIfTrue="1" operator="equal">
      <formula>"2 Add"</formula>
    </cfRule>
  </conditionalFormatting>
  <conditionalFormatting sqref="C129">
    <cfRule type="cellIs" dxfId="41799" priority="384" stopIfTrue="1" operator="equal">
      <formula>"3 Delete"</formula>
    </cfRule>
  </conditionalFormatting>
  <conditionalFormatting sqref="C130">
    <cfRule type="cellIs" dxfId="41798" priority="385" stopIfTrue="1" operator="equal">
      <formula>"1 Modify"</formula>
    </cfRule>
  </conditionalFormatting>
  <conditionalFormatting sqref="C130">
    <cfRule type="cellIs" dxfId="41797" priority="386" stopIfTrue="1" operator="equal">
      <formula>"2 Add"</formula>
    </cfRule>
  </conditionalFormatting>
  <conditionalFormatting sqref="C130">
    <cfRule type="cellIs" dxfId="41796" priority="387" stopIfTrue="1" operator="equal">
      <formula>"3 Delete"</formula>
    </cfRule>
  </conditionalFormatting>
  <conditionalFormatting sqref="C131">
    <cfRule type="cellIs" dxfId="41795" priority="388" stopIfTrue="1" operator="equal">
      <formula>"1 Modify"</formula>
    </cfRule>
  </conditionalFormatting>
  <conditionalFormatting sqref="C131">
    <cfRule type="cellIs" dxfId="41794" priority="389" stopIfTrue="1" operator="equal">
      <formula>"2 Add"</formula>
    </cfRule>
  </conditionalFormatting>
  <conditionalFormatting sqref="C131">
    <cfRule type="cellIs" dxfId="41793" priority="390" stopIfTrue="1" operator="equal">
      <formula>"3 Delete"</formula>
    </cfRule>
  </conditionalFormatting>
  <conditionalFormatting sqref="C132">
    <cfRule type="cellIs" dxfId="41792" priority="391" stopIfTrue="1" operator="equal">
      <formula>"1 Modify"</formula>
    </cfRule>
  </conditionalFormatting>
  <conditionalFormatting sqref="C132">
    <cfRule type="cellIs" dxfId="41791" priority="392" stopIfTrue="1" operator="equal">
      <formula>"2 Add"</formula>
    </cfRule>
  </conditionalFormatting>
  <conditionalFormatting sqref="C132">
    <cfRule type="cellIs" dxfId="41790" priority="393" stopIfTrue="1" operator="equal">
      <formula>"3 Delete"</formula>
    </cfRule>
  </conditionalFormatting>
  <conditionalFormatting sqref="C133">
    <cfRule type="cellIs" dxfId="41789" priority="394" stopIfTrue="1" operator="equal">
      <formula>"1 Modify"</formula>
    </cfRule>
  </conditionalFormatting>
  <conditionalFormatting sqref="C133">
    <cfRule type="cellIs" dxfId="41788" priority="395" stopIfTrue="1" operator="equal">
      <formula>"2 Add"</formula>
    </cfRule>
  </conditionalFormatting>
  <conditionalFormatting sqref="C133">
    <cfRule type="cellIs" dxfId="41787" priority="396" stopIfTrue="1" operator="equal">
      <formula>"3 Delete"</formula>
    </cfRule>
  </conditionalFormatting>
  <conditionalFormatting sqref="C134">
    <cfRule type="cellIs" dxfId="41786" priority="397" stopIfTrue="1" operator="equal">
      <formula>"1 Modify"</formula>
    </cfRule>
  </conditionalFormatting>
  <conditionalFormatting sqref="C134">
    <cfRule type="cellIs" dxfId="41785" priority="398" stopIfTrue="1" operator="equal">
      <formula>"2 Add"</formula>
    </cfRule>
  </conditionalFormatting>
  <conditionalFormatting sqref="C134">
    <cfRule type="cellIs" dxfId="41784" priority="399" stopIfTrue="1" operator="equal">
      <formula>"3 Delete"</formula>
    </cfRule>
  </conditionalFormatting>
  <conditionalFormatting sqref="C135">
    <cfRule type="cellIs" dxfId="41783" priority="400" stopIfTrue="1" operator="equal">
      <formula>"1 Modify"</formula>
    </cfRule>
  </conditionalFormatting>
  <conditionalFormatting sqref="C135">
    <cfRule type="cellIs" dxfId="41782" priority="401" stopIfTrue="1" operator="equal">
      <formula>"2 Add"</formula>
    </cfRule>
  </conditionalFormatting>
  <conditionalFormatting sqref="C135">
    <cfRule type="cellIs" dxfId="41781" priority="402" stopIfTrue="1" operator="equal">
      <formula>"3 Delete"</formula>
    </cfRule>
  </conditionalFormatting>
  <conditionalFormatting sqref="C136">
    <cfRule type="cellIs" dxfId="41780" priority="403" stopIfTrue="1" operator="equal">
      <formula>"1 Modify"</formula>
    </cfRule>
  </conditionalFormatting>
  <conditionalFormatting sqref="C136">
    <cfRule type="cellIs" dxfId="41779" priority="404" stopIfTrue="1" operator="equal">
      <formula>"2 Add"</formula>
    </cfRule>
  </conditionalFormatting>
  <conditionalFormatting sqref="C136">
    <cfRule type="cellIs" dxfId="41778" priority="405" stopIfTrue="1" operator="equal">
      <formula>"3 Delete"</formula>
    </cfRule>
  </conditionalFormatting>
  <conditionalFormatting sqref="C137">
    <cfRule type="cellIs" dxfId="41777" priority="406" stopIfTrue="1" operator="equal">
      <formula>"1 Modify"</formula>
    </cfRule>
  </conditionalFormatting>
  <conditionalFormatting sqref="C137">
    <cfRule type="cellIs" dxfId="41776" priority="407" stopIfTrue="1" operator="equal">
      <formula>"2 Add"</formula>
    </cfRule>
  </conditionalFormatting>
  <conditionalFormatting sqref="C137">
    <cfRule type="cellIs" dxfId="41775" priority="408" stopIfTrue="1" operator="equal">
      <formula>"3 Delete"</formula>
    </cfRule>
  </conditionalFormatting>
  <conditionalFormatting sqref="C138">
    <cfRule type="cellIs" dxfId="41774" priority="409" stopIfTrue="1" operator="equal">
      <formula>"1 Modify"</formula>
    </cfRule>
  </conditionalFormatting>
  <conditionalFormatting sqref="C138">
    <cfRule type="cellIs" dxfId="41773" priority="410" stopIfTrue="1" operator="equal">
      <formula>"2 Add"</formula>
    </cfRule>
  </conditionalFormatting>
  <conditionalFormatting sqref="C138">
    <cfRule type="cellIs" dxfId="41772" priority="411" stopIfTrue="1" operator="equal">
      <formula>"3 Delete"</formula>
    </cfRule>
  </conditionalFormatting>
  <conditionalFormatting sqref="C139">
    <cfRule type="cellIs" dxfId="41771" priority="412" stopIfTrue="1" operator="equal">
      <formula>"1 Modify"</formula>
    </cfRule>
  </conditionalFormatting>
  <conditionalFormatting sqref="C139">
    <cfRule type="cellIs" dxfId="41770" priority="413" stopIfTrue="1" operator="equal">
      <formula>"2 Add"</formula>
    </cfRule>
  </conditionalFormatting>
  <conditionalFormatting sqref="C139">
    <cfRule type="cellIs" dxfId="41769" priority="414" stopIfTrue="1" operator="equal">
      <formula>"3 Delete"</formula>
    </cfRule>
  </conditionalFormatting>
  <conditionalFormatting sqref="C140">
    <cfRule type="cellIs" dxfId="41768" priority="415" stopIfTrue="1" operator="equal">
      <formula>"1 Modify"</formula>
    </cfRule>
  </conditionalFormatting>
  <conditionalFormatting sqref="C140">
    <cfRule type="cellIs" dxfId="41767" priority="416" stopIfTrue="1" operator="equal">
      <formula>"2 Add"</formula>
    </cfRule>
  </conditionalFormatting>
  <conditionalFormatting sqref="C140">
    <cfRule type="cellIs" dxfId="41766" priority="417" stopIfTrue="1" operator="equal">
      <formula>"3 Delete"</formula>
    </cfRule>
  </conditionalFormatting>
  <conditionalFormatting sqref="C141">
    <cfRule type="cellIs" dxfId="41765" priority="418" stopIfTrue="1" operator="equal">
      <formula>"1 Modify"</formula>
    </cfRule>
  </conditionalFormatting>
  <conditionalFormatting sqref="C141">
    <cfRule type="cellIs" dxfId="41764" priority="419" stopIfTrue="1" operator="equal">
      <formula>"2 Add"</formula>
    </cfRule>
  </conditionalFormatting>
  <conditionalFormatting sqref="C141">
    <cfRule type="cellIs" dxfId="41763" priority="420" stopIfTrue="1" operator="equal">
      <formula>"3 Delete"</formula>
    </cfRule>
  </conditionalFormatting>
  <conditionalFormatting sqref="C142">
    <cfRule type="cellIs" dxfId="41762" priority="421" stopIfTrue="1" operator="equal">
      <formula>"1 Modify"</formula>
    </cfRule>
  </conditionalFormatting>
  <conditionalFormatting sqref="C142">
    <cfRule type="cellIs" dxfId="41761" priority="422" stopIfTrue="1" operator="equal">
      <formula>"2 Add"</formula>
    </cfRule>
  </conditionalFormatting>
  <conditionalFormatting sqref="C142">
    <cfRule type="cellIs" dxfId="41760" priority="423" stopIfTrue="1" operator="equal">
      <formula>"3 Delete"</formula>
    </cfRule>
  </conditionalFormatting>
  <conditionalFormatting sqref="C143">
    <cfRule type="cellIs" dxfId="41759" priority="424" stopIfTrue="1" operator="equal">
      <formula>"1 Modify"</formula>
    </cfRule>
  </conditionalFormatting>
  <conditionalFormatting sqref="C143">
    <cfRule type="cellIs" dxfId="41758" priority="425" stopIfTrue="1" operator="equal">
      <formula>"2 Add"</formula>
    </cfRule>
  </conditionalFormatting>
  <conditionalFormatting sqref="C143">
    <cfRule type="cellIs" dxfId="41757" priority="426" stopIfTrue="1" operator="equal">
      <formula>"3 Delete"</formula>
    </cfRule>
  </conditionalFormatting>
  <conditionalFormatting sqref="C144">
    <cfRule type="cellIs" dxfId="41756" priority="427" stopIfTrue="1" operator="equal">
      <formula>"1 Modify"</formula>
    </cfRule>
  </conditionalFormatting>
  <conditionalFormatting sqref="C144">
    <cfRule type="cellIs" dxfId="41755" priority="428" stopIfTrue="1" operator="equal">
      <formula>"2 Add"</formula>
    </cfRule>
  </conditionalFormatting>
  <conditionalFormatting sqref="C144">
    <cfRule type="cellIs" dxfId="41754" priority="429" stopIfTrue="1" operator="equal">
      <formula>"3 Delete"</formula>
    </cfRule>
  </conditionalFormatting>
  <conditionalFormatting sqref="C145">
    <cfRule type="cellIs" dxfId="41753" priority="430" stopIfTrue="1" operator="equal">
      <formula>"1 Modify"</formula>
    </cfRule>
  </conditionalFormatting>
  <conditionalFormatting sqref="C145">
    <cfRule type="cellIs" dxfId="41752" priority="431" stopIfTrue="1" operator="equal">
      <formula>"2 Add"</formula>
    </cfRule>
  </conditionalFormatting>
  <conditionalFormatting sqref="C145">
    <cfRule type="cellIs" dxfId="41751" priority="432" stopIfTrue="1" operator="equal">
      <formula>"3 Delete"</formula>
    </cfRule>
  </conditionalFormatting>
  <conditionalFormatting sqref="C146">
    <cfRule type="cellIs" dxfId="41750" priority="433" stopIfTrue="1" operator="equal">
      <formula>"1 Modify"</formula>
    </cfRule>
  </conditionalFormatting>
  <conditionalFormatting sqref="C146">
    <cfRule type="cellIs" dxfId="41749" priority="434" stopIfTrue="1" operator="equal">
      <formula>"2 Add"</formula>
    </cfRule>
  </conditionalFormatting>
  <conditionalFormatting sqref="C146">
    <cfRule type="cellIs" dxfId="41748" priority="435" stopIfTrue="1" operator="equal">
      <formula>"3 Delete"</formula>
    </cfRule>
  </conditionalFormatting>
  <conditionalFormatting sqref="C147">
    <cfRule type="cellIs" dxfId="41747" priority="436" stopIfTrue="1" operator="equal">
      <formula>"1 Modify"</formula>
    </cfRule>
  </conditionalFormatting>
  <conditionalFormatting sqref="C147">
    <cfRule type="cellIs" dxfId="41746" priority="437" stopIfTrue="1" operator="equal">
      <formula>"2 Add"</formula>
    </cfRule>
  </conditionalFormatting>
  <conditionalFormatting sqref="C147">
    <cfRule type="cellIs" dxfId="41745" priority="438" stopIfTrue="1" operator="equal">
      <formula>"3 Delete"</formula>
    </cfRule>
  </conditionalFormatting>
  <conditionalFormatting sqref="C148">
    <cfRule type="cellIs" dxfId="41744" priority="439" stopIfTrue="1" operator="equal">
      <formula>"1 Modify"</formula>
    </cfRule>
  </conditionalFormatting>
  <conditionalFormatting sqref="C148">
    <cfRule type="cellIs" dxfId="41743" priority="440" stopIfTrue="1" operator="equal">
      <formula>"2 Add"</formula>
    </cfRule>
  </conditionalFormatting>
  <conditionalFormatting sqref="C148">
    <cfRule type="cellIs" dxfId="41742" priority="441" stopIfTrue="1" operator="equal">
      <formula>"3 Delete"</formula>
    </cfRule>
  </conditionalFormatting>
  <conditionalFormatting sqref="C149">
    <cfRule type="cellIs" dxfId="41741" priority="442" stopIfTrue="1" operator="equal">
      <formula>"1 Modify"</formula>
    </cfRule>
  </conditionalFormatting>
  <conditionalFormatting sqref="C149">
    <cfRule type="cellIs" dxfId="41740" priority="443" stopIfTrue="1" operator="equal">
      <formula>"2 Add"</formula>
    </cfRule>
  </conditionalFormatting>
  <conditionalFormatting sqref="C149">
    <cfRule type="cellIs" dxfId="41739" priority="444" stopIfTrue="1" operator="equal">
      <formula>"3 Delete"</formula>
    </cfRule>
  </conditionalFormatting>
  <conditionalFormatting sqref="C150">
    <cfRule type="cellIs" dxfId="41738" priority="445" stopIfTrue="1" operator="equal">
      <formula>"1 Modify"</formula>
    </cfRule>
  </conditionalFormatting>
  <conditionalFormatting sqref="C150">
    <cfRule type="cellIs" dxfId="41737" priority="446" stopIfTrue="1" operator="equal">
      <formula>"2 Add"</formula>
    </cfRule>
  </conditionalFormatting>
  <conditionalFormatting sqref="C150">
    <cfRule type="cellIs" dxfId="41736" priority="447" stopIfTrue="1" operator="equal">
      <formula>"3 Delete"</formula>
    </cfRule>
  </conditionalFormatting>
  <conditionalFormatting sqref="C151">
    <cfRule type="cellIs" dxfId="41735" priority="448" stopIfTrue="1" operator="equal">
      <formula>"1 Modify"</formula>
    </cfRule>
  </conditionalFormatting>
  <conditionalFormatting sqref="C151">
    <cfRule type="cellIs" dxfId="41734" priority="449" stopIfTrue="1" operator="equal">
      <formula>"2 Add"</formula>
    </cfRule>
  </conditionalFormatting>
  <conditionalFormatting sqref="C151">
    <cfRule type="cellIs" dxfId="41733" priority="450" stopIfTrue="1" operator="equal">
      <formula>"3 Delete"</formula>
    </cfRule>
  </conditionalFormatting>
  <conditionalFormatting sqref="C152">
    <cfRule type="cellIs" dxfId="41732" priority="451" stopIfTrue="1" operator="equal">
      <formula>"1 Modify"</formula>
    </cfRule>
  </conditionalFormatting>
  <conditionalFormatting sqref="C152">
    <cfRule type="cellIs" dxfId="41731" priority="452" stopIfTrue="1" operator="equal">
      <formula>"2 Add"</formula>
    </cfRule>
  </conditionalFormatting>
  <conditionalFormatting sqref="C152">
    <cfRule type="cellIs" dxfId="41730" priority="453" stopIfTrue="1" operator="equal">
      <formula>"3 Delete"</formula>
    </cfRule>
  </conditionalFormatting>
  <conditionalFormatting sqref="C153">
    <cfRule type="cellIs" dxfId="41729" priority="454" stopIfTrue="1" operator="equal">
      <formula>"1 Modify"</formula>
    </cfRule>
  </conditionalFormatting>
  <conditionalFormatting sqref="C153">
    <cfRule type="cellIs" dxfId="41728" priority="455" stopIfTrue="1" operator="equal">
      <formula>"2 Add"</formula>
    </cfRule>
  </conditionalFormatting>
  <conditionalFormatting sqref="C153">
    <cfRule type="cellIs" dxfId="41727" priority="456" stopIfTrue="1" operator="equal">
      <formula>"3 Delete"</formula>
    </cfRule>
  </conditionalFormatting>
  <conditionalFormatting sqref="C154">
    <cfRule type="cellIs" dxfId="41726" priority="457" stopIfTrue="1" operator="equal">
      <formula>"1 Modify"</formula>
    </cfRule>
  </conditionalFormatting>
  <conditionalFormatting sqref="C154">
    <cfRule type="cellIs" dxfId="41725" priority="458" stopIfTrue="1" operator="equal">
      <formula>"2 Add"</formula>
    </cfRule>
  </conditionalFormatting>
  <conditionalFormatting sqref="C154">
    <cfRule type="cellIs" dxfId="41724" priority="459" stopIfTrue="1" operator="equal">
      <formula>"3 Delete"</formula>
    </cfRule>
  </conditionalFormatting>
  <conditionalFormatting sqref="C155">
    <cfRule type="cellIs" dxfId="41723" priority="460" stopIfTrue="1" operator="equal">
      <formula>"1 Modify"</formula>
    </cfRule>
  </conditionalFormatting>
  <conditionalFormatting sqref="C155">
    <cfRule type="cellIs" dxfId="41722" priority="461" stopIfTrue="1" operator="equal">
      <formula>"2 Add"</formula>
    </cfRule>
  </conditionalFormatting>
  <conditionalFormatting sqref="C155">
    <cfRule type="cellIs" dxfId="41721" priority="462" stopIfTrue="1" operator="equal">
      <formula>"3 Delete"</formula>
    </cfRule>
  </conditionalFormatting>
  <conditionalFormatting sqref="C156">
    <cfRule type="cellIs" dxfId="41720" priority="463" stopIfTrue="1" operator="equal">
      <formula>"1 Modify"</formula>
    </cfRule>
  </conditionalFormatting>
  <conditionalFormatting sqref="C156">
    <cfRule type="cellIs" dxfId="41719" priority="464" stopIfTrue="1" operator="equal">
      <formula>"2 Add"</formula>
    </cfRule>
  </conditionalFormatting>
  <conditionalFormatting sqref="C156">
    <cfRule type="cellIs" dxfId="41718" priority="465" stopIfTrue="1" operator="equal">
      <formula>"3 Delete"</formula>
    </cfRule>
  </conditionalFormatting>
  <conditionalFormatting sqref="C157">
    <cfRule type="cellIs" dxfId="41717" priority="466" stopIfTrue="1" operator="equal">
      <formula>"1 Modify"</formula>
    </cfRule>
  </conditionalFormatting>
  <conditionalFormatting sqref="C157">
    <cfRule type="cellIs" dxfId="41716" priority="467" stopIfTrue="1" operator="equal">
      <formula>"2 Add"</formula>
    </cfRule>
  </conditionalFormatting>
  <conditionalFormatting sqref="C157">
    <cfRule type="cellIs" dxfId="41715" priority="468" stopIfTrue="1" operator="equal">
      <formula>"3 Delete"</formula>
    </cfRule>
  </conditionalFormatting>
  <conditionalFormatting sqref="C158">
    <cfRule type="cellIs" dxfId="41714" priority="469" stopIfTrue="1" operator="equal">
      <formula>"1 Modify"</formula>
    </cfRule>
  </conditionalFormatting>
  <conditionalFormatting sqref="C158">
    <cfRule type="cellIs" dxfId="41713" priority="470" stopIfTrue="1" operator="equal">
      <formula>"2 Add"</formula>
    </cfRule>
  </conditionalFormatting>
  <conditionalFormatting sqref="C158">
    <cfRule type="cellIs" dxfId="41712" priority="471" stopIfTrue="1" operator="equal">
      <formula>"3 Delete"</formula>
    </cfRule>
  </conditionalFormatting>
  <conditionalFormatting sqref="C159">
    <cfRule type="cellIs" dxfId="41711" priority="472" stopIfTrue="1" operator="equal">
      <formula>"1 Modify"</formula>
    </cfRule>
  </conditionalFormatting>
  <conditionalFormatting sqref="C159">
    <cfRule type="cellIs" dxfId="41710" priority="473" stopIfTrue="1" operator="equal">
      <formula>"2 Add"</formula>
    </cfRule>
  </conditionalFormatting>
  <conditionalFormatting sqref="C159">
    <cfRule type="cellIs" dxfId="41709" priority="474" stopIfTrue="1" operator="equal">
      <formula>"3 Delete"</formula>
    </cfRule>
  </conditionalFormatting>
  <conditionalFormatting sqref="C160">
    <cfRule type="cellIs" dxfId="41708" priority="475" stopIfTrue="1" operator="equal">
      <formula>"1 Modify"</formula>
    </cfRule>
  </conditionalFormatting>
  <conditionalFormatting sqref="C160">
    <cfRule type="cellIs" dxfId="41707" priority="476" stopIfTrue="1" operator="equal">
      <formula>"2 Add"</formula>
    </cfRule>
  </conditionalFormatting>
  <conditionalFormatting sqref="C160">
    <cfRule type="cellIs" dxfId="41706" priority="477" stopIfTrue="1" operator="equal">
      <formula>"3 Delete"</formula>
    </cfRule>
  </conditionalFormatting>
  <conditionalFormatting sqref="C161">
    <cfRule type="cellIs" dxfId="41705" priority="478" stopIfTrue="1" operator="equal">
      <formula>"1 Modify"</formula>
    </cfRule>
  </conditionalFormatting>
  <conditionalFormatting sqref="C161">
    <cfRule type="cellIs" dxfId="41704" priority="479" stopIfTrue="1" operator="equal">
      <formula>"2 Add"</formula>
    </cfRule>
  </conditionalFormatting>
  <conditionalFormatting sqref="C161">
    <cfRule type="cellIs" dxfId="41703" priority="480" stopIfTrue="1" operator="equal">
      <formula>"3 Delete"</formula>
    </cfRule>
  </conditionalFormatting>
  <conditionalFormatting sqref="C162">
    <cfRule type="cellIs" dxfId="41702" priority="481" stopIfTrue="1" operator="equal">
      <formula>"1 Modify"</formula>
    </cfRule>
  </conditionalFormatting>
  <conditionalFormatting sqref="C162">
    <cfRule type="cellIs" dxfId="41701" priority="482" stopIfTrue="1" operator="equal">
      <formula>"2 Add"</formula>
    </cfRule>
  </conditionalFormatting>
  <conditionalFormatting sqref="C162">
    <cfRule type="cellIs" dxfId="41700" priority="483" stopIfTrue="1" operator="equal">
      <formula>"3 Delete"</formula>
    </cfRule>
  </conditionalFormatting>
  <conditionalFormatting sqref="C163">
    <cfRule type="cellIs" dxfId="41699" priority="484" stopIfTrue="1" operator="equal">
      <formula>"1 Modify"</formula>
    </cfRule>
  </conditionalFormatting>
  <conditionalFormatting sqref="C163">
    <cfRule type="cellIs" dxfId="41698" priority="485" stopIfTrue="1" operator="equal">
      <formula>"2 Add"</formula>
    </cfRule>
  </conditionalFormatting>
  <conditionalFormatting sqref="C163">
    <cfRule type="cellIs" dxfId="41697" priority="486" stopIfTrue="1" operator="equal">
      <formula>"3 Delete"</formula>
    </cfRule>
  </conditionalFormatting>
  <conditionalFormatting sqref="C164">
    <cfRule type="cellIs" dxfId="41696" priority="487" stopIfTrue="1" operator="equal">
      <formula>"1 Modify"</formula>
    </cfRule>
  </conditionalFormatting>
  <conditionalFormatting sqref="C164">
    <cfRule type="cellIs" dxfId="41695" priority="488" stopIfTrue="1" operator="equal">
      <formula>"2 Add"</formula>
    </cfRule>
  </conditionalFormatting>
  <conditionalFormatting sqref="C164">
    <cfRule type="cellIs" dxfId="41694" priority="489" stopIfTrue="1" operator="equal">
      <formula>"3 Delete"</formula>
    </cfRule>
  </conditionalFormatting>
  <conditionalFormatting sqref="C165">
    <cfRule type="cellIs" dxfId="41693" priority="490" stopIfTrue="1" operator="equal">
      <formula>"1 Modify"</formula>
    </cfRule>
  </conditionalFormatting>
  <conditionalFormatting sqref="C165">
    <cfRule type="cellIs" dxfId="41692" priority="491" stopIfTrue="1" operator="equal">
      <formula>"2 Add"</formula>
    </cfRule>
  </conditionalFormatting>
  <conditionalFormatting sqref="C165">
    <cfRule type="cellIs" dxfId="41691" priority="492" stopIfTrue="1" operator="equal">
      <formula>"3 Delete"</formula>
    </cfRule>
  </conditionalFormatting>
  <conditionalFormatting sqref="C166">
    <cfRule type="cellIs" dxfId="41690" priority="493" stopIfTrue="1" operator="equal">
      <formula>"1 Modify"</formula>
    </cfRule>
  </conditionalFormatting>
  <conditionalFormatting sqref="C166">
    <cfRule type="cellIs" dxfId="41689" priority="494" stopIfTrue="1" operator="equal">
      <formula>"2 Add"</formula>
    </cfRule>
  </conditionalFormatting>
  <conditionalFormatting sqref="C166">
    <cfRule type="cellIs" dxfId="41688" priority="495" stopIfTrue="1" operator="equal">
      <formula>"3 Delete"</formula>
    </cfRule>
  </conditionalFormatting>
  <conditionalFormatting sqref="C167">
    <cfRule type="cellIs" dxfId="41687" priority="496" stopIfTrue="1" operator="equal">
      <formula>"1 Modify"</formula>
    </cfRule>
  </conditionalFormatting>
  <conditionalFormatting sqref="C167">
    <cfRule type="cellIs" dxfId="41686" priority="497" stopIfTrue="1" operator="equal">
      <formula>"2 Add"</formula>
    </cfRule>
  </conditionalFormatting>
  <conditionalFormatting sqref="C167">
    <cfRule type="cellIs" dxfId="41685" priority="498" stopIfTrue="1" operator="equal">
      <formula>"3 Delete"</formula>
    </cfRule>
  </conditionalFormatting>
  <conditionalFormatting sqref="C168">
    <cfRule type="cellIs" dxfId="41684" priority="499" stopIfTrue="1" operator="equal">
      <formula>"1 Modify"</formula>
    </cfRule>
  </conditionalFormatting>
  <conditionalFormatting sqref="C168">
    <cfRule type="cellIs" dxfId="41683" priority="500" stopIfTrue="1" operator="equal">
      <formula>"2 Add"</formula>
    </cfRule>
  </conditionalFormatting>
  <conditionalFormatting sqref="C168">
    <cfRule type="cellIs" dxfId="41682" priority="501" stopIfTrue="1" operator="equal">
      <formula>"3 Delete"</formula>
    </cfRule>
  </conditionalFormatting>
  <conditionalFormatting sqref="C169">
    <cfRule type="cellIs" dxfId="41681" priority="502" stopIfTrue="1" operator="equal">
      <formula>"1 Modify"</formula>
    </cfRule>
  </conditionalFormatting>
  <conditionalFormatting sqref="C169">
    <cfRule type="cellIs" dxfId="41680" priority="503" stopIfTrue="1" operator="equal">
      <formula>"2 Add"</formula>
    </cfRule>
  </conditionalFormatting>
  <conditionalFormatting sqref="C169">
    <cfRule type="cellIs" dxfId="41679" priority="504" stopIfTrue="1" operator="equal">
      <formula>"3 Delete"</formula>
    </cfRule>
  </conditionalFormatting>
  <conditionalFormatting sqref="C170">
    <cfRule type="cellIs" dxfId="41678" priority="505" stopIfTrue="1" operator="equal">
      <formula>"1 Modify"</formula>
    </cfRule>
  </conditionalFormatting>
  <conditionalFormatting sqref="C170">
    <cfRule type="cellIs" dxfId="41677" priority="506" stopIfTrue="1" operator="equal">
      <formula>"2 Add"</formula>
    </cfRule>
  </conditionalFormatting>
  <conditionalFormatting sqref="C170">
    <cfRule type="cellIs" dxfId="41676" priority="507" stopIfTrue="1" operator="equal">
      <formula>"3 Delete"</formula>
    </cfRule>
  </conditionalFormatting>
  <conditionalFormatting sqref="C171">
    <cfRule type="cellIs" dxfId="41675" priority="508" stopIfTrue="1" operator="equal">
      <formula>"1 Modify"</formula>
    </cfRule>
  </conditionalFormatting>
  <conditionalFormatting sqref="C171">
    <cfRule type="cellIs" dxfId="41674" priority="509" stopIfTrue="1" operator="equal">
      <formula>"2 Add"</formula>
    </cfRule>
  </conditionalFormatting>
  <conditionalFormatting sqref="C171">
    <cfRule type="cellIs" dxfId="41673" priority="510" stopIfTrue="1" operator="equal">
      <formula>"3 Delete"</formula>
    </cfRule>
  </conditionalFormatting>
  <conditionalFormatting sqref="C172">
    <cfRule type="cellIs" dxfId="41672" priority="511" stopIfTrue="1" operator="equal">
      <formula>"1 Modify"</formula>
    </cfRule>
  </conditionalFormatting>
  <conditionalFormatting sqref="C172">
    <cfRule type="cellIs" dxfId="41671" priority="512" stopIfTrue="1" operator="equal">
      <formula>"2 Add"</formula>
    </cfRule>
  </conditionalFormatting>
  <conditionalFormatting sqref="C172">
    <cfRule type="cellIs" dxfId="41670" priority="513" stopIfTrue="1" operator="equal">
      <formula>"3 Delete"</formula>
    </cfRule>
  </conditionalFormatting>
  <conditionalFormatting sqref="C173">
    <cfRule type="cellIs" dxfId="41669" priority="514" stopIfTrue="1" operator="equal">
      <formula>"1 Modify"</formula>
    </cfRule>
  </conditionalFormatting>
  <conditionalFormatting sqref="C173">
    <cfRule type="cellIs" dxfId="41668" priority="515" stopIfTrue="1" operator="equal">
      <formula>"2 Add"</formula>
    </cfRule>
  </conditionalFormatting>
  <conditionalFormatting sqref="C173">
    <cfRule type="cellIs" dxfId="41667" priority="516" stopIfTrue="1" operator="equal">
      <formula>"3 Delete"</formula>
    </cfRule>
  </conditionalFormatting>
  <conditionalFormatting sqref="C174">
    <cfRule type="cellIs" dxfId="41666" priority="517" stopIfTrue="1" operator="equal">
      <formula>"1 Modify"</formula>
    </cfRule>
  </conditionalFormatting>
  <conditionalFormatting sqref="C174">
    <cfRule type="cellIs" dxfId="41665" priority="518" stopIfTrue="1" operator="equal">
      <formula>"2 Add"</formula>
    </cfRule>
  </conditionalFormatting>
  <conditionalFormatting sqref="C174">
    <cfRule type="cellIs" dxfId="41664" priority="519" stopIfTrue="1" operator="equal">
      <formula>"3 Delete"</formula>
    </cfRule>
  </conditionalFormatting>
  <conditionalFormatting sqref="C175">
    <cfRule type="cellIs" dxfId="41663" priority="520" stopIfTrue="1" operator="equal">
      <formula>"1 Modify"</formula>
    </cfRule>
  </conditionalFormatting>
  <conditionalFormatting sqref="C175">
    <cfRule type="cellIs" dxfId="41662" priority="521" stopIfTrue="1" operator="equal">
      <formula>"2 Add"</formula>
    </cfRule>
  </conditionalFormatting>
  <conditionalFormatting sqref="C175">
    <cfRule type="cellIs" dxfId="41661" priority="522" stopIfTrue="1" operator="equal">
      <formula>"3 Delete"</formula>
    </cfRule>
  </conditionalFormatting>
  <conditionalFormatting sqref="C176">
    <cfRule type="cellIs" dxfId="38387" priority="523" stopIfTrue="1" operator="equal">
      <formula>"1 Modify"</formula>
    </cfRule>
  </conditionalFormatting>
  <conditionalFormatting sqref="C176">
    <cfRule type="cellIs" dxfId="38386" priority="524" stopIfTrue="1" operator="equal">
      <formula>"2 Add"</formula>
    </cfRule>
  </conditionalFormatting>
  <conditionalFormatting sqref="C176">
    <cfRule type="cellIs" dxfId="38385" priority="525" stopIfTrue="1" operator="equal">
      <formula>"3 Delete"</formula>
    </cfRule>
  </conditionalFormatting>
  <conditionalFormatting sqref="C176">
    <cfRule type="cellIs" priority="526" stopIfTrue="1" operator="equal">
      <formula>"1 Modify"</formula>
    </cfRule>
  </conditionalFormatting>
  <conditionalFormatting sqref="C176">
    <cfRule type="cellIs" priority="527" stopIfTrue="1" operator="equal">
      <formula>"2 Add"</formula>
    </cfRule>
  </conditionalFormatting>
  <conditionalFormatting sqref="C176">
    <cfRule type="cellIs" priority="528" stopIfTrue="1" operator="equal">
      <formula>"3 Delete"</formula>
    </cfRule>
  </conditionalFormatting>
  <dataValidations count="4">
    <dataValidation type="custom" allowBlank="1" showInputMessage="1" showErrorMessage="1" error="Column is read-only" sqref="C2:E1048576">
      <formula1>FALSE</formula1>
    </dataValidation>
    <dataValidation type="custom" allowBlank="1" showInputMessage="1" showErrorMessage="1" error="Column Headers are read-only" sqref="A1 C1:K1">
      <formula1>FALSE</formula1>
    </dataValidation>
    <dataValidation type="decimal" operator="greaterThan" allowBlank="1" showInputMessage="1" showErrorMessage="1" error="Value must be a Decimal Number" sqref="G2:G1048576">
      <formula1>-999999</formula1>
    </dataValidation>
    <dataValidation type="date" operator="greaterThan" allowBlank="1" showInputMessage="1" showErrorMessage="1" error="Value must be a Date" sqref="K2:K1048576">
      <formula1>1</formula1>
    </dataValidation>
  </dataValidations>
  <hyperlinks>
    <hyperlink ref="A2" tooltip="macro:RefreshSheet" display="Refresh"/>
    <hyperlink ref="A3" tooltip="macro:SaveActiveSheet" display="Save"/>
  </hyperlink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1502"/>
  <sheetViews>
    <sheetView workbookViewId="0">
      <selection activeCell="K2" sqref="K2"/>
    </sheetView>
  </sheetViews>
  <sheetFormatPr baseColWidth="10" defaultRowHeight="15" x14ac:dyDescent="0.25"/>
  <cols>
    <col min="4" max="4" width="11.42578125" style="5"/>
    <col min="5" max="5" width="11.42578125" style="3"/>
    <col min="6" max="6" width="11.42578125" style="13"/>
    <col min="8" max="8" width="11.42578125" style="9"/>
    <col min="9" max="9" width="11.42578125" style="5"/>
    <col min="10" max="10" width="22.28515625" style="15" customWidth="1"/>
    <col min="11" max="11" width="11.85546875" bestFit="1" customWidth="1"/>
  </cols>
  <sheetData>
    <row r="1" spans="1:11" x14ac:dyDescent="0.25">
      <c r="A1" s="1" t="s">
        <v>54</v>
      </c>
      <c r="C1" s="1" t="s">
        <v>5</v>
      </c>
      <c r="D1" s="6" t="s">
        <v>50</v>
      </c>
      <c r="E1" s="4" t="s">
        <v>6</v>
      </c>
      <c r="F1" s="14" t="s">
        <v>48</v>
      </c>
      <c r="G1" s="1" t="s">
        <v>58</v>
      </c>
      <c r="H1" s="10" t="s">
        <v>49</v>
      </c>
      <c r="I1" s="6" t="s">
        <v>9</v>
      </c>
      <c r="J1" s="16" t="s">
        <v>10</v>
      </c>
      <c r="K1" t="s">
        <v>4498</v>
      </c>
    </row>
    <row r="2" spans="1:11" x14ac:dyDescent="0.25">
      <c r="A2" s="2" t="s">
        <v>366</v>
      </c>
      <c r="C2" t="str">
        <f>IF(COUNTBLANK(E2:J2) = 6,"",IF(AND(NOT(ISBLANK(E2)),COUNTBLANK(E2:J2) = 5),"3 Delete",IF(ISBLANK(E2),"2 Add",IF(SHA1Range(E2:J2) = "1c20c63365e3f5e7da34a458083f4d0a94c58aff","0 Original","1 Modify"))))</f>
        <v>0 Original</v>
      </c>
      <c r="D2" s="5" t="s">
        <v>961</v>
      </c>
      <c r="E2" s="3">
        <v>419</v>
      </c>
      <c r="F2" s="13">
        <v>41640</v>
      </c>
      <c r="G2" t="s">
        <v>354</v>
      </c>
      <c r="H2" s="9">
        <v>25.97</v>
      </c>
      <c r="I2" s="5" t="s">
        <v>68</v>
      </c>
      <c r="J2" s="15">
        <v>41640.961770833332</v>
      </c>
      <c r="K2" t="str">
        <f>TEXT(F2,"mm-yyyy")</f>
        <v>01-2014</v>
      </c>
    </row>
    <row r="3" spans="1:11" x14ac:dyDescent="0.25">
      <c r="A3" s="2" t="s">
        <v>55</v>
      </c>
      <c r="C3" t="str">
        <f>IF(COUNTBLANK(E3:J3) = 6,"",IF(AND(NOT(ISBLANK(E3)),COUNTBLANK(E3:J3) = 5),"3 Delete",IF(ISBLANK(E3),"2 Add",IF(SHA1Range(E3:J3) = "a5ecbde2f6a3cb041a6f5351044d586e5abe9266","0 Original","1 Modify"))))</f>
        <v>0 Original</v>
      </c>
      <c r="D3" s="5" t="s">
        <v>962</v>
      </c>
      <c r="E3" s="3">
        <v>383</v>
      </c>
      <c r="F3" s="13">
        <v>41641</v>
      </c>
      <c r="G3" t="s">
        <v>311</v>
      </c>
      <c r="H3" s="9">
        <v>24.97</v>
      </c>
      <c r="I3" s="5" t="s">
        <v>68</v>
      </c>
      <c r="J3" s="15">
        <v>41641.38689814815</v>
      </c>
      <c r="K3" t="str">
        <f t="shared" ref="K3:K66" si="0">TEXT(F3,"mm-yyyy")</f>
        <v>01-2014</v>
      </c>
    </row>
    <row r="4" spans="1:11" x14ac:dyDescent="0.25">
      <c r="C4" t="str">
        <f>IF(COUNTBLANK(E4:J4) = 6,"",IF(AND(NOT(ISBLANK(E4)),COUNTBLANK(E4:J4) = 5),"3 Delete",IF(ISBLANK(E4),"2 Add",IF(SHA1Range(E4:J4) = "de6d338c087663d56d5f8db7b60fca4b1012a1a4","0 Original","1 Modify"))))</f>
        <v>0 Original</v>
      </c>
      <c r="D4" s="5" t="s">
        <v>963</v>
      </c>
      <c r="E4" s="3">
        <v>857</v>
      </c>
      <c r="F4" s="13">
        <v>41643</v>
      </c>
      <c r="G4" t="s">
        <v>98</v>
      </c>
      <c r="H4" s="9">
        <v>41.94</v>
      </c>
      <c r="I4" s="5" t="s">
        <v>68</v>
      </c>
      <c r="J4" s="15">
        <v>41643.210185185184</v>
      </c>
      <c r="K4" t="str">
        <f t="shared" si="0"/>
        <v>01-2014</v>
      </c>
    </row>
    <row r="5" spans="1:11" x14ac:dyDescent="0.25">
      <c r="C5" t="str">
        <f>IF(COUNTBLANK(E5:J5) = 6,"",IF(AND(NOT(ISBLANK(E5)),COUNTBLANK(E5:J5) = 5),"3 Delete",IF(ISBLANK(E5),"2 Add",IF(SHA1Range(E5:J5) = "092a5820e745879256fd1d1280cb6c48fa79bf7d","0 Original","1 Modify"))))</f>
        <v>0 Original</v>
      </c>
      <c r="D5" s="5" t="s">
        <v>964</v>
      </c>
      <c r="E5" s="3">
        <v>693</v>
      </c>
      <c r="F5" s="13">
        <v>41643</v>
      </c>
      <c r="G5" t="s">
        <v>354</v>
      </c>
      <c r="H5" s="9">
        <v>44.95</v>
      </c>
      <c r="I5" s="5" t="s">
        <v>68</v>
      </c>
      <c r="J5" s="15">
        <v>41643.527604166666</v>
      </c>
      <c r="K5" t="str">
        <f t="shared" si="0"/>
        <v>01-2014</v>
      </c>
    </row>
    <row r="6" spans="1:11" x14ac:dyDescent="0.25">
      <c r="C6" t="str">
        <f>IF(COUNTBLANK(E6:J6) = 6,"",IF(AND(NOT(ISBLANK(E6)),COUNTBLANK(E6:J6) = 5),"3 Delete",IF(ISBLANK(E6),"2 Add",IF(SHA1Range(E6:J6) = "ca69a52c3b751f896c76401fcb144136c4992690","0 Original","1 Modify"))))</f>
        <v>0 Original</v>
      </c>
      <c r="D6" s="5" t="s">
        <v>965</v>
      </c>
      <c r="E6" s="3">
        <v>208</v>
      </c>
      <c r="F6" s="13">
        <v>41643</v>
      </c>
      <c r="G6" t="s">
        <v>317</v>
      </c>
      <c r="H6" s="9">
        <v>24.97</v>
      </c>
      <c r="I6" s="5" t="s">
        <v>68</v>
      </c>
      <c r="J6" s="15">
        <v>41643.582002314812</v>
      </c>
      <c r="K6" t="str">
        <f t="shared" si="0"/>
        <v>01-2014</v>
      </c>
    </row>
    <row r="7" spans="1:11" x14ac:dyDescent="0.25">
      <c r="C7" t="str">
        <f>IF(COUNTBLANK(E7:J7) = 6,"",IF(AND(NOT(ISBLANK(E7)),COUNTBLANK(E7:J7) = 5),"3 Delete",IF(ISBLANK(E7),"2 Add",IF(SHA1Range(E7:J7) = "51aff739340c621d973d0b09583de4acf249f249","0 Original","1 Modify"))))</f>
        <v>0 Original</v>
      </c>
      <c r="D7" s="5" t="s">
        <v>966</v>
      </c>
      <c r="E7" s="3">
        <v>505</v>
      </c>
      <c r="F7" s="13">
        <v>41643</v>
      </c>
      <c r="G7" t="s">
        <v>354</v>
      </c>
      <c r="H7" s="9">
        <v>16.98</v>
      </c>
      <c r="I7" s="5" t="s">
        <v>68</v>
      </c>
      <c r="J7" s="15">
        <v>41643.695347222223</v>
      </c>
      <c r="K7" t="str">
        <f t="shared" si="0"/>
        <v>01-2014</v>
      </c>
    </row>
    <row r="8" spans="1:11" x14ac:dyDescent="0.25">
      <c r="C8" t="str">
        <f>IF(COUNTBLANK(E8:J8) = 6,"",IF(AND(NOT(ISBLANK(E8)),COUNTBLANK(E8:J8) = 5),"3 Delete",IF(ISBLANK(E8),"2 Add",IF(SHA1Range(E8:J8) = "9f37c12553379973f9d4c2a1a631705accfcccfd","0 Original","1 Modify"))))</f>
        <v>0 Original</v>
      </c>
      <c r="D8" s="5" t="s">
        <v>967</v>
      </c>
      <c r="E8" s="3">
        <v>107</v>
      </c>
      <c r="F8" s="13">
        <v>41643</v>
      </c>
      <c r="G8" t="s">
        <v>308</v>
      </c>
      <c r="H8" s="9">
        <v>30.96</v>
      </c>
      <c r="I8" s="5" t="s">
        <v>68</v>
      </c>
      <c r="J8" s="15">
        <v>41643.735358796293</v>
      </c>
      <c r="K8" t="str">
        <f t="shared" si="0"/>
        <v>01-2014</v>
      </c>
    </row>
    <row r="9" spans="1:11" x14ac:dyDescent="0.25">
      <c r="C9" t="str">
        <f>IF(COUNTBLANK(E9:J9) = 6,"",IF(AND(NOT(ISBLANK(E9)),COUNTBLANK(E9:J9) = 5),"3 Delete",IF(ISBLANK(E9),"2 Add",IF(SHA1Range(E9:J9) = "e2ef512c68744d2836cfe29cc072e8840c840071","0 Original","1 Modify"))))</f>
        <v>0 Original</v>
      </c>
      <c r="D9" s="5" t="s">
        <v>968</v>
      </c>
      <c r="E9" s="3">
        <v>548</v>
      </c>
      <c r="F9" s="13">
        <v>41643</v>
      </c>
      <c r="G9" t="s">
        <v>149</v>
      </c>
      <c r="H9" s="9">
        <v>27.96</v>
      </c>
      <c r="I9" s="5" t="s">
        <v>68</v>
      </c>
      <c r="J9" s="15">
        <v>41643.756898148145</v>
      </c>
      <c r="K9" t="str">
        <f t="shared" si="0"/>
        <v>01-2014</v>
      </c>
    </row>
    <row r="10" spans="1:11" x14ac:dyDescent="0.25">
      <c r="C10" t="str">
        <f>IF(COUNTBLANK(E10:J10) = 6,"",IF(AND(NOT(ISBLANK(E10)),COUNTBLANK(E10:J10) = 5),"3 Delete",IF(ISBLANK(E10),"2 Add",IF(SHA1Range(E10:J10) = "651592058ad07b58de7e6b884565a42ff681031b","0 Original","1 Modify"))))</f>
        <v>0 Original</v>
      </c>
      <c r="D10" s="5" t="s">
        <v>969</v>
      </c>
      <c r="E10" s="3">
        <v>747</v>
      </c>
      <c r="F10" s="13">
        <v>41643</v>
      </c>
      <c r="G10" t="s">
        <v>98</v>
      </c>
      <c r="H10" s="9">
        <v>13.98</v>
      </c>
      <c r="I10" s="5" t="s">
        <v>68</v>
      </c>
      <c r="J10" s="15">
        <v>41643.964282407411</v>
      </c>
      <c r="K10" t="str">
        <f t="shared" si="0"/>
        <v>01-2014</v>
      </c>
    </row>
    <row r="11" spans="1:11" x14ac:dyDescent="0.25">
      <c r="C11" t="str">
        <f>IF(COUNTBLANK(E11:J11) = 6,"",IF(AND(NOT(ISBLANK(E11)),COUNTBLANK(E11:J11) = 5),"3 Delete",IF(ISBLANK(E11),"2 Add",IF(SHA1Range(E11:J11) = "f3c243e9f07ed92389b887ab31e06af2b9bc7e0a","0 Original","1 Modify"))))</f>
        <v>0 Original</v>
      </c>
      <c r="D11" s="5" t="s">
        <v>970</v>
      </c>
      <c r="E11" s="3">
        <v>300</v>
      </c>
      <c r="F11" s="13">
        <v>41644</v>
      </c>
      <c r="G11" t="s">
        <v>155</v>
      </c>
      <c r="H11" s="9">
        <v>6.99</v>
      </c>
      <c r="I11" s="5" t="s">
        <v>68</v>
      </c>
      <c r="J11" s="15">
        <v>41644.398541666669</v>
      </c>
      <c r="K11" t="str">
        <f t="shared" si="0"/>
        <v>01-2014</v>
      </c>
    </row>
    <row r="12" spans="1:11" x14ac:dyDescent="0.25">
      <c r="C12" t="str">
        <f>IF(COUNTBLANK(E12:J12) = 6,"",IF(AND(NOT(ISBLANK(E12)),COUNTBLANK(E12:J12) = 5),"3 Delete",IF(ISBLANK(E12),"2 Add",IF(SHA1Range(E12:J12) = "832c46a5cbc9138e48c395d6d63f7f902618a0b5","0 Original","1 Modify"))))</f>
        <v>0 Original</v>
      </c>
      <c r="D12" s="5" t="s">
        <v>971</v>
      </c>
      <c r="E12" s="3">
        <v>1003</v>
      </c>
      <c r="F12" s="13">
        <v>41644</v>
      </c>
      <c r="G12" t="s">
        <v>134</v>
      </c>
      <c r="H12" s="9">
        <v>43.94</v>
      </c>
      <c r="I12" s="5" t="s">
        <v>68</v>
      </c>
      <c r="J12" s="15">
        <v>41644.592685185184</v>
      </c>
      <c r="K12" t="str">
        <f t="shared" si="0"/>
        <v>01-2014</v>
      </c>
    </row>
    <row r="13" spans="1:11" x14ac:dyDescent="0.25">
      <c r="C13" t="str">
        <f>IF(COUNTBLANK(E13:J13) = 6,"",IF(AND(NOT(ISBLANK(E13)),COUNTBLANK(E13:J13) = 5),"3 Delete",IF(ISBLANK(E13),"2 Add",IF(SHA1Range(E13:J13) = "5b904581ebf8f7491b5da20636eb6490a9cce8a8","0 Original","1 Modify"))))</f>
        <v>0 Original</v>
      </c>
      <c r="D13" s="5" t="s">
        <v>972</v>
      </c>
      <c r="E13" s="3">
        <v>722</v>
      </c>
      <c r="F13" s="13">
        <v>41644</v>
      </c>
      <c r="G13" t="s">
        <v>170</v>
      </c>
      <c r="H13" s="9">
        <v>7.99</v>
      </c>
      <c r="I13" s="5" t="s">
        <v>68</v>
      </c>
      <c r="J13" s="15">
        <v>41644.667743055557</v>
      </c>
      <c r="K13" t="str">
        <f t="shared" si="0"/>
        <v>01-2014</v>
      </c>
    </row>
    <row r="14" spans="1:11" x14ac:dyDescent="0.25">
      <c r="C14" t="str">
        <f>IF(COUNTBLANK(E14:J14) = 6,"",IF(AND(NOT(ISBLANK(E14)),COUNTBLANK(E14:J14) = 5),"3 Delete",IF(ISBLANK(E14),"2 Add",IF(SHA1Range(E14:J14) = "e5f081385f6a0b509c25b554b6f92057a4c61c18","0 Original","1 Modify"))))</f>
        <v>0 Original</v>
      </c>
      <c r="D14" s="5" t="s">
        <v>973</v>
      </c>
      <c r="E14" s="3">
        <v>784</v>
      </c>
      <c r="F14" s="13">
        <v>41646</v>
      </c>
      <c r="G14" t="s">
        <v>272</v>
      </c>
      <c r="H14" s="9">
        <v>74.92</v>
      </c>
      <c r="I14" s="5" t="s">
        <v>68</v>
      </c>
      <c r="J14" s="15">
        <v>41646.624340277776</v>
      </c>
      <c r="K14" t="str">
        <f t="shared" si="0"/>
        <v>01-2014</v>
      </c>
    </row>
    <row r="15" spans="1:11" x14ac:dyDescent="0.25">
      <c r="C15" t="str">
        <f>IF(COUNTBLANK(E15:J15) = 6,"",IF(AND(NOT(ISBLANK(E15)),COUNTBLANK(E15:J15) = 5),"3 Delete",IF(ISBLANK(E15),"2 Add",IF(SHA1Range(E15:J15) = "e84b95a8c39fba4d98cbd3bccd3659b0961a16b0","0 Original","1 Modify"))))</f>
        <v>0 Original</v>
      </c>
      <c r="D15" s="5" t="s">
        <v>974</v>
      </c>
      <c r="E15" s="3">
        <v>377</v>
      </c>
      <c r="F15" s="13">
        <v>41647</v>
      </c>
      <c r="G15" t="s">
        <v>86</v>
      </c>
      <c r="H15" s="9">
        <v>40.94</v>
      </c>
      <c r="I15" s="5" t="s">
        <v>68</v>
      </c>
      <c r="J15" s="15">
        <v>41647.154131944444</v>
      </c>
      <c r="K15" t="str">
        <f t="shared" si="0"/>
        <v>01-2014</v>
      </c>
    </row>
    <row r="16" spans="1:11" x14ac:dyDescent="0.25">
      <c r="C16" t="str">
        <f>IF(COUNTBLANK(E16:J16) = 6,"",IF(AND(NOT(ISBLANK(E16)),COUNTBLANK(E16:J16) = 5),"3 Delete",IF(ISBLANK(E16),"2 Add",IF(SHA1Range(E16:J16) = "10c25dfef440f08d5086434d1d93be859438a942","0 Original","1 Modify"))))</f>
        <v>0 Original</v>
      </c>
      <c r="D16" s="5" t="s">
        <v>975</v>
      </c>
      <c r="E16" s="3">
        <v>869</v>
      </c>
      <c r="F16" s="13">
        <v>41647</v>
      </c>
      <c r="G16" t="s">
        <v>221</v>
      </c>
      <c r="H16" s="9">
        <v>37.950000000000003</v>
      </c>
      <c r="I16" s="5" t="s">
        <v>68</v>
      </c>
      <c r="J16" s="15">
        <v>41647.63040509259</v>
      </c>
      <c r="K16" t="str">
        <f t="shared" si="0"/>
        <v>01-2014</v>
      </c>
    </row>
    <row r="17" spans="3:11" x14ac:dyDescent="0.25">
      <c r="C17" t="str">
        <f>IF(COUNTBLANK(E17:J17) = 6,"",IF(AND(NOT(ISBLANK(E17)),COUNTBLANK(E17:J17) = 5),"3 Delete",IF(ISBLANK(E17),"2 Add",IF(SHA1Range(E17:J17) = "448c263cc28beef3831023a7cb5ba7db9c8064b1","0 Original","1 Modify"))))</f>
        <v>0 Original</v>
      </c>
      <c r="D17" s="5" t="s">
        <v>976</v>
      </c>
      <c r="E17" s="3">
        <v>326</v>
      </c>
      <c r="F17" s="13">
        <v>41648</v>
      </c>
      <c r="G17" t="s">
        <v>86</v>
      </c>
      <c r="H17" s="9">
        <v>26.97</v>
      </c>
      <c r="I17" s="5" t="s">
        <v>68</v>
      </c>
      <c r="J17" s="15">
        <v>41648.273969907408</v>
      </c>
      <c r="K17" t="str">
        <f t="shared" si="0"/>
        <v>01-2014</v>
      </c>
    </row>
    <row r="18" spans="3:11" x14ac:dyDescent="0.25">
      <c r="C18" t="str">
        <f>IF(COUNTBLANK(E18:J18) = 6,"",IF(AND(NOT(ISBLANK(E18)),COUNTBLANK(E18:J18) = 5),"3 Delete",IF(ISBLANK(E18),"2 Add",IF(SHA1Range(E18:J18) = "9fc5d446c49888d57caf863ec42cf09460afc591","0 Original","1 Modify"))))</f>
        <v>0 Original</v>
      </c>
      <c r="D18" s="5" t="s">
        <v>977</v>
      </c>
      <c r="E18" s="3">
        <v>364</v>
      </c>
      <c r="F18" s="13">
        <v>41649</v>
      </c>
      <c r="G18" t="s">
        <v>347</v>
      </c>
      <c r="H18" s="9">
        <v>32.950000000000003</v>
      </c>
      <c r="I18" s="5" t="s">
        <v>68</v>
      </c>
      <c r="J18" s="15">
        <v>41649.837476851855</v>
      </c>
      <c r="K18" t="str">
        <f t="shared" si="0"/>
        <v>01-2014</v>
      </c>
    </row>
    <row r="19" spans="3:11" x14ac:dyDescent="0.25">
      <c r="C19" t="str">
        <f>IF(COUNTBLANK(E19:J19) = 6,"",IF(AND(NOT(ISBLANK(E19)),COUNTBLANK(E19:J19) = 5),"3 Delete",IF(ISBLANK(E19),"2 Add",IF(SHA1Range(E19:J19) = "9d95dff9c134fc44299053fdb2183ae32c5adf09","0 Original","1 Modify"))))</f>
        <v>0 Original</v>
      </c>
      <c r="D19" s="5" t="s">
        <v>978</v>
      </c>
      <c r="E19" s="3">
        <v>622</v>
      </c>
      <c r="F19" s="13">
        <v>41650</v>
      </c>
      <c r="G19" t="s">
        <v>302</v>
      </c>
      <c r="H19" s="9">
        <v>48.94</v>
      </c>
      <c r="I19" s="5" t="s">
        <v>68</v>
      </c>
      <c r="J19" s="15">
        <v>41650.696828703702</v>
      </c>
      <c r="K19" t="str">
        <f t="shared" si="0"/>
        <v>01-2014</v>
      </c>
    </row>
    <row r="20" spans="3:11" x14ac:dyDescent="0.25">
      <c r="C20" t="str">
        <f>IF(COUNTBLANK(E20:J20) = 6,"",IF(AND(NOT(ISBLANK(E20)),COUNTBLANK(E20:J20) = 5),"3 Delete",IF(ISBLANK(E20),"2 Add",IF(SHA1Range(E20:J20) = "a3dcd23f0204cbd9c0f68d7f6e8177ef9bf66e63","0 Original","1 Modify"))))</f>
        <v>0 Original</v>
      </c>
      <c r="D20" s="5" t="s">
        <v>979</v>
      </c>
      <c r="E20" s="3">
        <v>495</v>
      </c>
      <c r="F20" s="13">
        <v>41650</v>
      </c>
      <c r="G20" t="s">
        <v>203</v>
      </c>
      <c r="H20" s="9">
        <v>13.98</v>
      </c>
      <c r="I20" s="5" t="s">
        <v>68</v>
      </c>
      <c r="J20" s="15">
        <v>41650.752453703702</v>
      </c>
      <c r="K20" t="str">
        <f t="shared" si="0"/>
        <v>01-2014</v>
      </c>
    </row>
    <row r="21" spans="3:11" x14ac:dyDescent="0.25">
      <c r="C21" t="str">
        <f>IF(COUNTBLANK(E21:J21) = 6,"",IF(AND(NOT(ISBLANK(E21)),COUNTBLANK(E21:J21) = 5),"3 Delete",IF(ISBLANK(E21),"2 Add",IF(SHA1Range(E21:J21) = "1043f8e5a8257b53be19ace63a03463b236476c0","0 Original","1 Modify"))))</f>
        <v>0 Original</v>
      </c>
      <c r="D21" s="5" t="s">
        <v>980</v>
      </c>
      <c r="E21" s="3">
        <v>403</v>
      </c>
      <c r="F21" s="13">
        <v>41650</v>
      </c>
      <c r="G21" t="s">
        <v>278</v>
      </c>
      <c r="H21" s="9">
        <v>8.99</v>
      </c>
      <c r="I21" s="5" t="s">
        <v>68</v>
      </c>
      <c r="J21" s="15">
        <v>41650.756828703707</v>
      </c>
      <c r="K21" t="str">
        <f t="shared" si="0"/>
        <v>01-2014</v>
      </c>
    </row>
    <row r="22" spans="3:11" x14ac:dyDescent="0.25">
      <c r="C22" t="str">
        <f>IF(COUNTBLANK(E22:J22) = 6,"",IF(AND(NOT(ISBLANK(E22)),COUNTBLANK(E22:J22) = 5),"3 Delete",IF(ISBLANK(E22),"2 Add",IF(SHA1Range(E22:J22) = "560912e23d2135d9336fc189f063d3921f51f1d0","0 Original","1 Modify"))))</f>
        <v>0 Original</v>
      </c>
      <c r="D22" s="5" t="s">
        <v>981</v>
      </c>
      <c r="E22" s="3">
        <v>80</v>
      </c>
      <c r="F22" s="13">
        <v>41651</v>
      </c>
      <c r="G22" t="s">
        <v>302</v>
      </c>
      <c r="H22" s="9">
        <v>35.950000000000003</v>
      </c>
      <c r="I22" s="5" t="s">
        <v>68</v>
      </c>
      <c r="J22" s="15">
        <v>41651.022847222222</v>
      </c>
      <c r="K22" t="str">
        <f t="shared" si="0"/>
        <v>01-2014</v>
      </c>
    </row>
    <row r="23" spans="3:11" x14ac:dyDescent="0.25">
      <c r="C23" t="str">
        <f>IF(COUNTBLANK(E23:J23) = 6,"",IF(AND(NOT(ISBLANK(E23)),COUNTBLANK(E23:J23) = 5),"3 Delete",IF(ISBLANK(E23),"2 Add",IF(SHA1Range(E23:J23) = "40d9343ef011fcad48e5a32bad48741da243717e","0 Original","1 Modify"))))</f>
        <v>0 Original</v>
      </c>
      <c r="D23" s="5" t="s">
        <v>982</v>
      </c>
      <c r="E23" s="3">
        <v>865</v>
      </c>
      <c r="F23" s="13">
        <v>41651</v>
      </c>
      <c r="G23" t="s">
        <v>326</v>
      </c>
      <c r="H23" s="9">
        <v>31.96</v>
      </c>
      <c r="I23" s="5" t="s">
        <v>68</v>
      </c>
      <c r="J23" s="15">
        <v>41651.236875000002</v>
      </c>
      <c r="K23" t="str">
        <f t="shared" si="0"/>
        <v>01-2014</v>
      </c>
    </row>
    <row r="24" spans="3:11" x14ac:dyDescent="0.25">
      <c r="C24" t="str">
        <f>IF(COUNTBLANK(E24:J24) = 6,"",IF(AND(NOT(ISBLANK(E24)),COUNTBLANK(E24:J24) = 5),"3 Delete",IF(ISBLANK(E24),"2 Add",IF(SHA1Range(E24:J24) = "3bb682ba98450084943402d6eb83c398633cdce2","0 Original","1 Modify"))))</f>
        <v>0 Original</v>
      </c>
      <c r="D24" s="5" t="s">
        <v>983</v>
      </c>
      <c r="E24" s="3">
        <v>1023</v>
      </c>
      <c r="F24" s="13">
        <v>41652</v>
      </c>
      <c r="G24" t="s">
        <v>221</v>
      </c>
      <c r="H24" s="9">
        <v>40.950000000000003</v>
      </c>
      <c r="I24" s="5" t="s">
        <v>68</v>
      </c>
      <c r="J24" s="15">
        <v>41652.287499999999</v>
      </c>
      <c r="K24" t="str">
        <f t="shared" si="0"/>
        <v>01-2014</v>
      </c>
    </row>
    <row r="25" spans="3:11" x14ac:dyDescent="0.25">
      <c r="C25" t="str">
        <f>IF(COUNTBLANK(E25:J25) = 6,"",IF(AND(NOT(ISBLANK(E25)),COUNTBLANK(E25:J25) = 5),"3 Delete",IF(ISBLANK(E25),"2 Add",IF(SHA1Range(E25:J25) = "2be0a8f36d78c93120790d90ef4e532a3dfe43ad","0 Original","1 Modify"))))</f>
        <v>0 Original</v>
      </c>
      <c r="D25" s="5" t="s">
        <v>984</v>
      </c>
      <c r="E25" s="3">
        <v>883</v>
      </c>
      <c r="F25" s="13">
        <v>41652</v>
      </c>
      <c r="G25" t="s">
        <v>170</v>
      </c>
      <c r="H25" s="9">
        <v>59.92</v>
      </c>
      <c r="I25" s="5" t="s">
        <v>68</v>
      </c>
      <c r="J25" s="15">
        <v>41652.355092592596</v>
      </c>
      <c r="K25" t="str">
        <f t="shared" si="0"/>
        <v>01-2014</v>
      </c>
    </row>
    <row r="26" spans="3:11" x14ac:dyDescent="0.25">
      <c r="C26" t="str">
        <f>IF(COUNTBLANK(E26:J26) = 6,"",IF(AND(NOT(ISBLANK(E26)),COUNTBLANK(E26:J26) = 5),"3 Delete",IF(ISBLANK(E26),"2 Add",IF(SHA1Range(E26:J26) = "39b1b3925e809c5d17708a087dec7eadc16d5695","0 Original","1 Modify"))))</f>
        <v>0 Original</v>
      </c>
      <c r="D26" s="5" t="s">
        <v>985</v>
      </c>
      <c r="E26" s="3">
        <v>350</v>
      </c>
      <c r="F26" s="13">
        <v>41653</v>
      </c>
      <c r="G26" t="s">
        <v>212</v>
      </c>
      <c r="H26" s="9">
        <v>36.96</v>
      </c>
      <c r="I26" s="5" t="s">
        <v>68</v>
      </c>
      <c r="J26" s="15">
        <v>41653.031539351854</v>
      </c>
      <c r="K26" t="str">
        <f t="shared" si="0"/>
        <v>01-2014</v>
      </c>
    </row>
    <row r="27" spans="3:11" x14ac:dyDescent="0.25">
      <c r="C27" t="str">
        <f>IF(COUNTBLANK(E27:J27) = 6,"",IF(AND(NOT(ISBLANK(E27)),COUNTBLANK(E27:J27) = 5),"3 Delete",IF(ISBLANK(E27),"2 Add",IF(SHA1Range(E27:J27) = "df599be940e63ddc40cce79d278e084e3be7b6dc","0 Original","1 Modify"))))</f>
        <v>0 Original</v>
      </c>
      <c r="D27" s="5" t="s">
        <v>986</v>
      </c>
      <c r="E27" s="3">
        <v>628</v>
      </c>
      <c r="F27" s="13">
        <v>41653</v>
      </c>
      <c r="G27" t="s">
        <v>329</v>
      </c>
      <c r="H27" s="9">
        <v>46.93</v>
      </c>
      <c r="I27" s="5" t="s">
        <v>68</v>
      </c>
      <c r="J27" s="15">
        <v>41653.80878472222</v>
      </c>
      <c r="K27" t="str">
        <f t="shared" si="0"/>
        <v>01-2014</v>
      </c>
    </row>
    <row r="28" spans="3:11" x14ac:dyDescent="0.25">
      <c r="C28" t="str">
        <f>IF(COUNTBLANK(E28:J28) = 6,"",IF(AND(NOT(ISBLANK(E28)),COUNTBLANK(E28:J28) = 5),"3 Delete",IF(ISBLANK(E28),"2 Add",IF(SHA1Range(E28:J28) = "0a1eaa188fa40d49651631c9d62cd8cdeba9514c","0 Original","1 Modify"))))</f>
        <v>0 Original</v>
      </c>
      <c r="D28" s="5" t="s">
        <v>987</v>
      </c>
      <c r="E28" s="3">
        <v>268</v>
      </c>
      <c r="F28" s="13">
        <v>41653</v>
      </c>
      <c r="G28" t="s">
        <v>329</v>
      </c>
      <c r="H28" s="9">
        <v>4.99</v>
      </c>
      <c r="I28" s="5" t="s">
        <v>68</v>
      </c>
      <c r="J28" s="15">
        <v>41653.876655092594</v>
      </c>
      <c r="K28" t="str">
        <f t="shared" si="0"/>
        <v>01-2014</v>
      </c>
    </row>
    <row r="29" spans="3:11" x14ac:dyDescent="0.25">
      <c r="C29" t="str">
        <f>IF(COUNTBLANK(E29:J29) = 6,"",IF(AND(NOT(ISBLANK(E29)),COUNTBLANK(E29:J29) = 5),"3 Delete",IF(ISBLANK(E29),"2 Add",IF(SHA1Range(E29:J29) = "c95b24e85db77e2ea80e0ede54ebcaec72706a96","0 Original","1 Modify"))))</f>
        <v>0 Original</v>
      </c>
      <c r="D29" s="5" t="s">
        <v>988</v>
      </c>
      <c r="E29" s="3">
        <v>677</v>
      </c>
      <c r="F29" s="13">
        <v>41654</v>
      </c>
      <c r="G29" t="s">
        <v>137</v>
      </c>
      <c r="H29" s="9">
        <v>40.94</v>
      </c>
      <c r="I29" s="5" t="s">
        <v>68</v>
      </c>
      <c r="J29" s="15">
        <v>41654.298807870371</v>
      </c>
      <c r="K29" t="str">
        <f t="shared" si="0"/>
        <v>01-2014</v>
      </c>
    </row>
    <row r="30" spans="3:11" x14ac:dyDescent="0.25">
      <c r="C30" t="str">
        <f>IF(COUNTBLANK(E30:J30) = 6,"",IF(AND(NOT(ISBLANK(E30)),COUNTBLANK(E30:J30) = 5),"3 Delete",IF(ISBLANK(E30),"2 Add",IF(SHA1Range(E30:J30) = "88c8e4dd0accb162ef12c5f16f6550f3ca03658b","0 Original","1 Modify"))))</f>
        <v>0 Original</v>
      </c>
      <c r="D30" s="5" t="s">
        <v>989</v>
      </c>
      <c r="E30" s="3">
        <v>226</v>
      </c>
      <c r="F30" s="13">
        <v>41654</v>
      </c>
      <c r="G30" t="s">
        <v>176</v>
      </c>
      <c r="H30" s="9">
        <v>14.98</v>
      </c>
      <c r="I30" s="5" t="s">
        <v>68</v>
      </c>
      <c r="J30" s="15">
        <v>41654.465555555558</v>
      </c>
      <c r="K30" t="str">
        <f t="shared" si="0"/>
        <v>01-2014</v>
      </c>
    </row>
    <row r="31" spans="3:11" x14ac:dyDescent="0.25">
      <c r="C31" t="str">
        <f>IF(COUNTBLANK(E31:J31) = 6,"",IF(AND(NOT(ISBLANK(E31)),COUNTBLANK(E31:J31) = 5),"3 Delete",IF(ISBLANK(E31),"2 Add",IF(SHA1Range(E31:J31) = "72581fbe3612f576abbbac9f8fe5d745c0b33e1a","0 Original","1 Modify"))))</f>
        <v>0 Original</v>
      </c>
      <c r="D31" s="5" t="s">
        <v>990</v>
      </c>
      <c r="E31" s="3">
        <v>900</v>
      </c>
      <c r="F31" s="13">
        <v>41654</v>
      </c>
      <c r="G31" t="s">
        <v>221</v>
      </c>
      <c r="H31" s="9">
        <v>36.950000000000003</v>
      </c>
      <c r="I31" s="5" t="s">
        <v>68</v>
      </c>
      <c r="J31" s="15">
        <v>41654.686909722222</v>
      </c>
      <c r="K31" t="str">
        <f t="shared" si="0"/>
        <v>01-2014</v>
      </c>
    </row>
    <row r="32" spans="3:11" x14ac:dyDescent="0.25">
      <c r="C32" t="str">
        <f>IF(COUNTBLANK(E32:J32) = 6,"",IF(AND(NOT(ISBLANK(E32)),COUNTBLANK(E32:J32) = 5),"3 Delete",IF(ISBLANK(E32),"2 Add",IF(SHA1Range(E32:J32) = "d08d8dd08216fc6aebacd16e1f71f18c49e8038d","0 Original","1 Modify"))))</f>
        <v>0 Original</v>
      </c>
      <c r="D32" s="5" t="s">
        <v>991</v>
      </c>
      <c r="E32" s="3">
        <v>397</v>
      </c>
      <c r="F32" s="13">
        <v>41655</v>
      </c>
      <c r="G32" t="s">
        <v>221</v>
      </c>
      <c r="H32" s="9">
        <v>18.98</v>
      </c>
      <c r="I32" s="5" t="s">
        <v>68</v>
      </c>
      <c r="J32" s="15">
        <v>41655.268680555557</v>
      </c>
      <c r="K32" t="str">
        <f t="shared" si="0"/>
        <v>01-2014</v>
      </c>
    </row>
    <row r="33" spans="3:11" x14ac:dyDescent="0.25">
      <c r="C33" t="str">
        <f>IF(COUNTBLANK(E33:J33) = 6,"",IF(AND(NOT(ISBLANK(E33)),COUNTBLANK(E33:J33) = 5),"3 Delete",IF(ISBLANK(E33),"2 Add",IF(SHA1Range(E33:J33) = "d6e68dd1cc11e85efeb4cf3e1e7a363e706579d1","0 Original","1 Modify"))))</f>
        <v>0 Original</v>
      </c>
      <c r="D33" s="5" t="s">
        <v>992</v>
      </c>
      <c r="E33" s="3">
        <v>626</v>
      </c>
      <c r="F33" s="13">
        <v>41655</v>
      </c>
      <c r="G33" t="s">
        <v>215</v>
      </c>
      <c r="H33" s="9">
        <v>49.94</v>
      </c>
      <c r="I33" s="5" t="s">
        <v>68</v>
      </c>
      <c r="J33" s="15">
        <v>41655.3359375</v>
      </c>
      <c r="K33" t="str">
        <f t="shared" si="0"/>
        <v>01-2014</v>
      </c>
    </row>
    <row r="34" spans="3:11" x14ac:dyDescent="0.25">
      <c r="C34" t="str">
        <f>IF(COUNTBLANK(E34:J34) = 6,"",IF(AND(NOT(ISBLANK(E34)),COUNTBLANK(E34:J34) = 5),"3 Delete",IF(ISBLANK(E34),"2 Add",IF(SHA1Range(E34:J34) = "e03ff370b126bdd7b1a0b518e4c5738b99f5fd1c","0 Original","1 Modify"))))</f>
        <v>0 Original</v>
      </c>
      <c r="D34" s="5" t="s">
        <v>993</v>
      </c>
      <c r="E34" s="3">
        <v>1155</v>
      </c>
      <c r="F34" s="13">
        <v>41655</v>
      </c>
      <c r="G34" t="s">
        <v>170</v>
      </c>
      <c r="H34" s="9">
        <v>24.97</v>
      </c>
      <c r="I34" s="5" t="s">
        <v>68</v>
      </c>
      <c r="J34" s="15">
        <v>41655.412083333336</v>
      </c>
      <c r="K34" t="str">
        <f t="shared" si="0"/>
        <v>01-2014</v>
      </c>
    </row>
    <row r="35" spans="3:11" x14ac:dyDescent="0.25">
      <c r="C35" t="str">
        <f>IF(COUNTBLANK(E35:J35) = 6,"",IF(AND(NOT(ISBLANK(E35)),COUNTBLANK(E35:J35) = 5),"3 Delete",IF(ISBLANK(E35),"2 Add",IF(SHA1Range(E35:J35) = "c71165f33a8b4790bed62f4fa1545bd9b52f6ab0","0 Original","1 Modify"))))</f>
        <v>0 Original</v>
      </c>
      <c r="D35" s="5" t="s">
        <v>994</v>
      </c>
      <c r="E35" s="3">
        <v>683</v>
      </c>
      <c r="F35" s="13">
        <v>41656</v>
      </c>
      <c r="G35" t="s">
        <v>221</v>
      </c>
      <c r="H35" s="9">
        <v>21.97</v>
      </c>
      <c r="I35" s="5" t="s">
        <v>68</v>
      </c>
      <c r="J35" s="15">
        <v>41656.362766203703</v>
      </c>
      <c r="K35" t="str">
        <f t="shared" si="0"/>
        <v>01-2014</v>
      </c>
    </row>
    <row r="36" spans="3:11" x14ac:dyDescent="0.25">
      <c r="C36" t="str">
        <f>IF(COUNTBLANK(E36:J36) = 6,"",IF(AND(NOT(ISBLANK(E36)),COUNTBLANK(E36:J36) = 5),"3 Delete",IF(ISBLANK(E36),"2 Add",IF(SHA1Range(E36:J36) = "4d96f0c337cae1373552923bfd1f584f998e6814","0 Original","1 Modify"))))</f>
        <v>0 Original</v>
      </c>
      <c r="D36" s="5" t="s">
        <v>995</v>
      </c>
      <c r="E36" s="3">
        <v>320</v>
      </c>
      <c r="F36" s="13">
        <v>41656</v>
      </c>
      <c r="G36" t="s">
        <v>149</v>
      </c>
      <c r="H36" s="9">
        <v>22.97</v>
      </c>
      <c r="I36" s="5" t="s">
        <v>68</v>
      </c>
      <c r="J36" s="15">
        <v>41656.433159722219</v>
      </c>
      <c r="K36" t="str">
        <f t="shared" si="0"/>
        <v>01-2014</v>
      </c>
    </row>
    <row r="37" spans="3:11" x14ac:dyDescent="0.25">
      <c r="C37" t="str">
        <f>IF(COUNTBLANK(E37:J37) = 6,"",IF(AND(NOT(ISBLANK(E37)),COUNTBLANK(E37:J37) = 5),"3 Delete",IF(ISBLANK(E37),"2 Add",IF(SHA1Range(E37:J37) = "cbcb3255ec8689a34df0d870e4cfe00b4d0af5b9","0 Original","1 Modify"))))</f>
        <v>0 Original</v>
      </c>
      <c r="D37" s="5" t="s">
        <v>996</v>
      </c>
      <c r="E37" s="3">
        <v>198</v>
      </c>
      <c r="F37" s="13">
        <v>41657</v>
      </c>
      <c r="G37" t="s">
        <v>314</v>
      </c>
      <c r="H37" s="9">
        <v>57.93</v>
      </c>
      <c r="I37" s="5" t="s">
        <v>68</v>
      </c>
      <c r="J37" s="15">
        <v>41657.370578703703</v>
      </c>
      <c r="K37" t="str">
        <f t="shared" si="0"/>
        <v>01-2014</v>
      </c>
    </row>
    <row r="38" spans="3:11" x14ac:dyDescent="0.25">
      <c r="C38" t="str">
        <f>IF(COUNTBLANK(E38:J38) = 6,"",IF(AND(NOT(ISBLANK(E38)),COUNTBLANK(E38:J38) = 5),"3 Delete",IF(ISBLANK(E38),"2 Add",IF(SHA1Range(E38:J38) = "113407220fe55fb6fb91d93ad8b766365373d1ca","0 Original","1 Modify"))))</f>
        <v>0 Original</v>
      </c>
      <c r="D38" s="5" t="s">
        <v>997</v>
      </c>
      <c r="E38" s="3">
        <v>9</v>
      </c>
      <c r="F38" s="13">
        <v>41657</v>
      </c>
      <c r="G38" t="s">
        <v>347</v>
      </c>
      <c r="H38" s="9">
        <v>11.98</v>
      </c>
      <c r="I38" s="5" t="s">
        <v>68</v>
      </c>
      <c r="J38" s="15">
        <v>41657.483032407406</v>
      </c>
      <c r="K38" t="str">
        <f t="shared" si="0"/>
        <v>01-2014</v>
      </c>
    </row>
    <row r="39" spans="3:11" x14ac:dyDescent="0.25">
      <c r="C39" t="str">
        <f>IF(COUNTBLANK(E39:J39) = 6,"",IF(AND(NOT(ISBLANK(E39)),COUNTBLANK(E39:J39) = 5),"3 Delete",IF(ISBLANK(E39),"2 Add",IF(SHA1Range(E39:J39) = "d4fbf2a133adb267cd7019192eed1a181cbed289","0 Original","1 Modify"))))</f>
        <v>0 Original</v>
      </c>
      <c r="D39" s="5" t="s">
        <v>998</v>
      </c>
      <c r="E39" s="3">
        <v>125</v>
      </c>
      <c r="F39" s="13">
        <v>41658</v>
      </c>
      <c r="G39" t="s">
        <v>131</v>
      </c>
      <c r="H39" s="9">
        <v>33.950000000000003</v>
      </c>
      <c r="I39" s="5" t="s">
        <v>68</v>
      </c>
      <c r="J39" s="15">
        <v>41658.335636574076</v>
      </c>
      <c r="K39" t="str">
        <f t="shared" si="0"/>
        <v>01-2014</v>
      </c>
    </row>
    <row r="40" spans="3:11" x14ac:dyDescent="0.25">
      <c r="C40" t="str">
        <f>IF(COUNTBLANK(E40:J40) = 6,"",IF(AND(NOT(ISBLANK(E40)),COUNTBLANK(E40:J40) = 5),"3 Delete",IF(ISBLANK(E40),"2 Add",IF(SHA1Range(E40:J40) = "772eb29f50f7bad99c07187ef30aea3e7e2e8b39","0 Original","1 Modify"))))</f>
        <v>0 Original</v>
      </c>
      <c r="D40" s="5" t="s">
        <v>999</v>
      </c>
      <c r="E40" s="3">
        <v>648</v>
      </c>
      <c r="F40" s="13">
        <v>41658</v>
      </c>
      <c r="G40" t="s">
        <v>275</v>
      </c>
      <c r="H40" s="9">
        <v>32.96</v>
      </c>
      <c r="I40" s="5" t="s">
        <v>68</v>
      </c>
      <c r="J40" s="15">
        <v>41658.588738425926</v>
      </c>
      <c r="K40" t="str">
        <f t="shared" si="0"/>
        <v>01-2014</v>
      </c>
    </row>
    <row r="41" spans="3:11" x14ac:dyDescent="0.25">
      <c r="C41" t="str">
        <f>IF(COUNTBLANK(E41:J41) = 6,"",IF(AND(NOT(ISBLANK(E41)),COUNTBLANK(E41:J41) = 5),"3 Delete",IF(ISBLANK(E41),"2 Add",IF(SHA1Range(E41:J41) = "5c101db87c7c8e5a487cf6b62481d0804a7d58f8","0 Original","1 Modify"))))</f>
        <v>0 Original</v>
      </c>
      <c r="D41" s="5" t="s">
        <v>1000</v>
      </c>
      <c r="E41" s="3">
        <v>1186</v>
      </c>
      <c r="F41" s="13">
        <v>41658</v>
      </c>
      <c r="G41" t="s">
        <v>260</v>
      </c>
      <c r="H41" s="9">
        <v>47.93</v>
      </c>
      <c r="I41" s="5" t="s">
        <v>68</v>
      </c>
      <c r="J41" s="15">
        <v>41658.72755787037</v>
      </c>
      <c r="K41" t="str">
        <f t="shared" si="0"/>
        <v>01-2014</v>
      </c>
    </row>
    <row r="42" spans="3:11" x14ac:dyDescent="0.25">
      <c r="C42" t="str">
        <f>IF(COUNTBLANK(E42:J42) = 6,"",IF(AND(NOT(ISBLANK(E42)),COUNTBLANK(E42:J42) = 5),"3 Delete",IF(ISBLANK(E42),"2 Add",IF(SHA1Range(E42:J42) = "02785529d5cc4deb34416da1d54c591c515fac64","0 Original","1 Modify"))))</f>
        <v>0 Original</v>
      </c>
      <c r="D42" s="5" t="s">
        <v>1001</v>
      </c>
      <c r="E42" s="3">
        <v>1127</v>
      </c>
      <c r="F42" s="13">
        <v>41658</v>
      </c>
      <c r="G42" t="s">
        <v>260</v>
      </c>
      <c r="H42" s="9">
        <v>53.93</v>
      </c>
      <c r="I42" s="5" t="s">
        <v>68</v>
      </c>
      <c r="J42" s="15">
        <v>41658.807326388887</v>
      </c>
      <c r="K42" t="str">
        <f t="shared" si="0"/>
        <v>01-2014</v>
      </c>
    </row>
    <row r="43" spans="3:11" x14ac:dyDescent="0.25">
      <c r="C43" t="str">
        <f>IF(COUNTBLANK(E43:J43) = 6,"",IF(AND(NOT(ISBLANK(E43)),COUNTBLANK(E43:J43) = 5),"3 Delete",IF(ISBLANK(E43),"2 Add",IF(SHA1Range(E43:J43) = "0cca242cba26009d50c59b6b937c8d2603d09a10","0 Original","1 Modify"))))</f>
        <v>0 Original</v>
      </c>
      <c r="D43" s="5" t="s">
        <v>1002</v>
      </c>
      <c r="E43" s="3">
        <v>259</v>
      </c>
      <c r="F43" s="13">
        <v>41660</v>
      </c>
      <c r="G43" t="s">
        <v>182</v>
      </c>
      <c r="H43" s="9">
        <v>16.97</v>
      </c>
      <c r="I43" s="5" t="s">
        <v>68</v>
      </c>
      <c r="J43" s="15">
        <v>41660.483553240738</v>
      </c>
      <c r="K43" t="str">
        <f t="shared" si="0"/>
        <v>01-2014</v>
      </c>
    </row>
    <row r="44" spans="3:11" x14ac:dyDescent="0.25">
      <c r="C44" t="str">
        <f>IF(COUNTBLANK(E44:J44) = 6,"",IF(AND(NOT(ISBLANK(E44)),COUNTBLANK(E44:J44) = 5),"3 Delete",IF(ISBLANK(E44),"2 Add",IF(SHA1Range(E44:J44) = "6497aa121294f7bc7bd7e4bb220ac44e969a4112","0 Original","1 Modify"))))</f>
        <v>0 Original</v>
      </c>
      <c r="D44" s="5" t="s">
        <v>1003</v>
      </c>
      <c r="E44" s="3">
        <v>730</v>
      </c>
      <c r="F44" s="13">
        <v>41661</v>
      </c>
      <c r="G44" t="s">
        <v>326</v>
      </c>
      <c r="H44" s="9">
        <v>77.900000000000006</v>
      </c>
      <c r="I44" s="5" t="s">
        <v>68</v>
      </c>
      <c r="J44" s="15">
        <v>41661.026319444441</v>
      </c>
      <c r="K44" t="str">
        <f t="shared" si="0"/>
        <v>01-2014</v>
      </c>
    </row>
    <row r="45" spans="3:11" x14ac:dyDescent="0.25">
      <c r="C45" t="str">
        <f>IF(COUNTBLANK(E45:J45) = 6,"",IF(AND(NOT(ISBLANK(E45)),COUNTBLANK(E45:J45) = 5),"3 Delete",IF(ISBLANK(E45),"2 Add",IF(SHA1Range(E45:J45) = "6fa75033c9718f24210f4c4020dffce7655c93a0","0 Original","1 Modify"))))</f>
        <v>0 Original</v>
      </c>
      <c r="D45" s="5" t="s">
        <v>1004</v>
      </c>
      <c r="E45" s="3">
        <v>699</v>
      </c>
      <c r="F45" s="13">
        <v>41661</v>
      </c>
      <c r="G45" t="s">
        <v>221</v>
      </c>
      <c r="H45" s="9">
        <v>13.98</v>
      </c>
      <c r="I45" s="5" t="s">
        <v>68</v>
      </c>
      <c r="J45" s="15">
        <v>41661.175729166665</v>
      </c>
      <c r="K45" t="str">
        <f t="shared" si="0"/>
        <v>01-2014</v>
      </c>
    </row>
    <row r="46" spans="3:11" x14ac:dyDescent="0.25">
      <c r="C46" t="str">
        <f>IF(COUNTBLANK(E46:J46) = 6,"",IF(AND(NOT(ISBLANK(E46)),COUNTBLANK(E46:J46) = 5),"3 Delete",IF(ISBLANK(E46),"2 Add",IF(SHA1Range(E46:J46) = "bc2c47d5ff2da0dc191e4d1241ddb180848f5057","0 Original","1 Modify"))))</f>
        <v>0 Original</v>
      </c>
      <c r="D46" s="5" t="s">
        <v>1005</v>
      </c>
      <c r="E46" s="3">
        <v>1100</v>
      </c>
      <c r="F46" s="13">
        <v>41661</v>
      </c>
      <c r="G46" t="s">
        <v>245</v>
      </c>
      <c r="H46" s="9">
        <v>5.99</v>
      </c>
      <c r="I46" s="5" t="s">
        <v>68</v>
      </c>
      <c r="J46" s="15">
        <v>41661.610960648148</v>
      </c>
      <c r="K46" t="str">
        <f t="shared" si="0"/>
        <v>01-2014</v>
      </c>
    </row>
    <row r="47" spans="3:11" x14ac:dyDescent="0.25">
      <c r="C47" t="str">
        <f>IF(COUNTBLANK(E47:J47) = 6,"",IF(AND(NOT(ISBLANK(E47)),COUNTBLANK(E47:J47) = 5),"3 Delete",IF(ISBLANK(E47),"2 Add",IF(SHA1Range(E47:J47) = "012ef402f826812e345ddcf0c7d5ec0fa4eab1fa","0 Original","1 Modify"))))</f>
        <v>0 Original</v>
      </c>
      <c r="D47" s="5" t="s">
        <v>1006</v>
      </c>
      <c r="E47" s="3">
        <v>962</v>
      </c>
      <c r="F47" s="13">
        <v>41662</v>
      </c>
      <c r="G47" t="s">
        <v>272</v>
      </c>
      <c r="H47" s="9">
        <v>48.94</v>
      </c>
      <c r="I47" s="5" t="s">
        <v>68</v>
      </c>
      <c r="J47" s="15">
        <v>41662.22928240741</v>
      </c>
      <c r="K47" t="str">
        <f t="shared" si="0"/>
        <v>01-2014</v>
      </c>
    </row>
    <row r="48" spans="3:11" x14ac:dyDescent="0.25">
      <c r="C48" t="str">
        <f>IF(COUNTBLANK(E48:J48) = 6,"",IF(AND(NOT(ISBLANK(E48)),COUNTBLANK(E48:J48) = 5),"3 Delete",IF(ISBLANK(E48),"2 Add",IF(SHA1Range(E48:J48) = "0cb1a66a30a10dd842e430d870bd7b9feda8d8a5","0 Original","1 Modify"))))</f>
        <v>0 Original</v>
      </c>
      <c r="D48" s="5" t="s">
        <v>1007</v>
      </c>
      <c r="E48" s="3">
        <v>678</v>
      </c>
      <c r="F48" s="13">
        <v>41663</v>
      </c>
      <c r="G48" t="s">
        <v>152</v>
      </c>
      <c r="H48" s="9">
        <v>23.97</v>
      </c>
      <c r="I48" s="5" t="s">
        <v>68</v>
      </c>
      <c r="J48" s="15">
        <v>41663.065370370372</v>
      </c>
      <c r="K48" t="str">
        <f t="shared" si="0"/>
        <v>01-2014</v>
      </c>
    </row>
    <row r="49" spans="3:11" x14ac:dyDescent="0.25">
      <c r="C49" t="str">
        <f>IF(COUNTBLANK(E49:J49) = 6,"",IF(AND(NOT(ISBLANK(E49)),COUNTBLANK(E49:J49) = 5),"3 Delete",IF(ISBLANK(E49),"2 Add",IF(SHA1Range(E49:J49) = "8aab6c7d0512c17ede7434fd9ee82e2f50162a6f","0 Original","1 Modify"))))</f>
        <v>0 Original</v>
      </c>
      <c r="D49" s="5" t="s">
        <v>1008</v>
      </c>
      <c r="E49" s="3">
        <v>856</v>
      </c>
      <c r="F49" s="13">
        <v>41663</v>
      </c>
      <c r="G49" t="s">
        <v>302</v>
      </c>
      <c r="H49" s="9">
        <v>20.97</v>
      </c>
      <c r="I49" s="5" t="s">
        <v>68</v>
      </c>
      <c r="J49" s="15">
        <v>41663.14638888889</v>
      </c>
      <c r="K49" t="str">
        <f t="shared" si="0"/>
        <v>01-2014</v>
      </c>
    </row>
    <row r="50" spans="3:11" x14ac:dyDescent="0.25">
      <c r="C50" t="str">
        <f>IF(COUNTBLANK(E50:J50) = 6,"",IF(AND(NOT(ISBLANK(E50)),COUNTBLANK(E50:J50) = 5),"3 Delete",IF(ISBLANK(E50),"2 Add",IF(SHA1Range(E50:J50) = "6403e24f742a1d60636768e6a496af47004a778e","0 Original","1 Modify"))))</f>
        <v>0 Original</v>
      </c>
      <c r="D50" s="5" t="s">
        <v>1009</v>
      </c>
      <c r="E50" s="3">
        <v>550</v>
      </c>
      <c r="F50" s="13">
        <v>41663</v>
      </c>
      <c r="G50" t="s">
        <v>239</v>
      </c>
      <c r="H50" s="9">
        <v>8.99</v>
      </c>
      <c r="I50" s="5" t="s">
        <v>68</v>
      </c>
      <c r="J50" s="15">
        <v>41663.341805555552</v>
      </c>
      <c r="K50" t="str">
        <f t="shared" si="0"/>
        <v>01-2014</v>
      </c>
    </row>
    <row r="51" spans="3:11" x14ac:dyDescent="0.25">
      <c r="C51" t="str">
        <f>IF(COUNTBLANK(E51:J51) = 6,"",IF(AND(NOT(ISBLANK(E51)),COUNTBLANK(E51:J51) = 5),"3 Delete",IF(ISBLANK(E51),"2 Add",IF(SHA1Range(E51:J51) = "99afdd7cb0dae11e1ae15f417e67eb326f533a2a","0 Original","1 Modify"))))</f>
        <v>0 Original</v>
      </c>
      <c r="D51" s="5" t="s">
        <v>1010</v>
      </c>
      <c r="E51" s="3">
        <v>305</v>
      </c>
      <c r="F51" s="13">
        <v>41663</v>
      </c>
      <c r="G51" t="s">
        <v>263</v>
      </c>
      <c r="H51" s="9">
        <v>22.97</v>
      </c>
      <c r="I51" s="5" t="s">
        <v>68</v>
      </c>
      <c r="J51" s="15">
        <v>41663.841817129629</v>
      </c>
      <c r="K51" t="str">
        <f t="shared" si="0"/>
        <v>01-2014</v>
      </c>
    </row>
    <row r="52" spans="3:11" x14ac:dyDescent="0.25">
      <c r="C52" t="str">
        <f>IF(COUNTBLANK(E52:J52) = 6,"",IF(AND(NOT(ISBLANK(E52)),COUNTBLANK(E52:J52) = 5),"3 Delete",IF(ISBLANK(E52),"2 Add",IF(SHA1Range(E52:J52) = "0d1a03e733172a54ee52f5d2119b4d179938b886","0 Original","1 Modify"))))</f>
        <v>0 Original</v>
      </c>
      <c r="D52" s="5" t="s">
        <v>1011</v>
      </c>
      <c r="E52" s="3">
        <v>1088</v>
      </c>
      <c r="F52" s="13">
        <v>41666</v>
      </c>
      <c r="G52" t="s">
        <v>260</v>
      </c>
      <c r="H52" s="9">
        <v>19.96</v>
      </c>
      <c r="I52" s="5" t="s">
        <v>68</v>
      </c>
      <c r="J52" s="15">
        <v>41666.439675925925</v>
      </c>
      <c r="K52" t="str">
        <f t="shared" si="0"/>
        <v>01-2014</v>
      </c>
    </row>
    <row r="53" spans="3:11" x14ac:dyDescent="0.25">
      <c r="C53" t="str">
        <f>IF(COUNTBLANK(E53:J53) = 6,"",IF(AND(NOT(ISBLANK(E53)),COUNTBLANK(E53:J53) = 5),"3 Delete",IF(ISBLANK(E53),"2 Add",IF(SHA1Range(E53:J53) = "84615a6a00cccdaa446b03a1d9cbf56292ee0cf3","0 Original","1 Modify"))))</f>
        <v>0 Original</v>
      </c>
      <c r="D53" s="5" t="s">
        <v>1012</v>
      </c>
      <c r="E53" s="3">
        <v>1004</v>
      </c>
      <c r="F53" s="13">
        <v>41666</v>
      </c>
      <c r="G53" t="s">
        <v>326</v>
      </c>
      <c r="H53" s="9">
        <v>31.96</v>
      </c>
      <c r="I53" s="5" t="s">
        <v>68</v>
      </c>
      <c r="J53" s="15">
        <v>41666.818506944444</v>
      </c>
      <c r="K53" t="str">
        <f t="shared" si="0"/>
        <v>01-2014</v>
      </c>
    </row>
    <row r="54" spans="3:11" x14ac:dyDescent="0.25">
      <c r="C54" t="str">
        <f>IF(COUNTBLANK(E54:J54) = 6,"",IF(AND(NOT(ISBLANK(E54)),COUNTBLANK(E54:J54) = 5),"3 Delete",IF(ISBLANK(E54),"2 Add",IF(SHA1Range(E54:J54) = "b85cbb16420f977be1515c4438a03e249f55227c","0 Original","1 Modify"))))</f>
        <v>0 Original</v>
      </c>
      <c r="D54" s="5" t="s">
        <v>1013</v>
      </c>
      <c r="E54" s="3">
        <v>725</v>
      </c>
      <c r="F54" s="13">
        <v>41667</v>
      </c>
      <c r="G54" t="s">
        <v>221</v>
      </c>
      <c r="H54" s="9">
        <v>9.98</v>
      </c>
      <c r="I54" s="5" t="s">
        <v>68</v>
      </c>
      <c r="J54" s="15">
        <v>41667.308668981481</v>
      </c>
      <c r="K54" t="str">
        <f t="shared" si="0"/>
        <v>01-2014</v>
      </c>
    </row>
    <row r="55" spans="3:11" x14ac:dyDescent="0.25">
      <c r="C55" t="str">
        <f>IF(COUNTBLANK(E55:J55) = 6,"",IF(AND(NOT(ISBLANK(E55)),COUNTBLANK(E55:J55) = 5),"3 Delete",IF(ISBLANK(E55),"2 Add",IF(SHA1Range(E55:J55) = "40edf0d391a2a291595eb0dc37c1e616b0c8f675","0 Original","1 Modify"))))</f>
        <v>0 Original</v>
      </c>
      <c r="D55" s="5" t="s">
        <v>1014</v>
      </c>
      <c r="E55" s="3">
        <v>129</v>
      </c>
      <c r="F55" s="13">
        <v>41667</v>
      </c>
      <c r="G55" t="s">
        <v>320</v>
      </c>
      <c r="H55" s="9">
        <v>9.99</v>
      </c>
      <c r="I55" s="5" t="s">
        <v>68</v>
      </c>
      <c r="J55" s="15">
        <v>41667.315069444441</v>
      </c>
      <c r="K55" t="str">
        <f t="shared" si="0"/>
        <v>01-2014</v>
      </c>
    </row>
    <row r="56" spans="3:11" x14ac:dyDescent="0.25">
      <c r="C56" t="str">
        <f>IF(COUNTBLANK(E56:J56) = 6,"",IF(AND(NOT(ISBLANK(E56)),COUNTBLANK(E56:J56) = 5),"3 Delete",IF(ISBLANK(E56),"2 Add",IF(SHA1Range(E56:J56) = "9d9ea86e76f436bfbbedcb1aeaf8d91ad1699a46","0 Original","1 Modify"))))</f>
        <v>0 Original</v>
      </c>
      <c r="D56" s="5" t="s">
        <v>1015</v>
      </c>
      <c r="E56" s="3">
        <v>537</v>
      </c>
      <c r="F56" s="13">
        <v>41667</v>
      </c>
      <c r="G56" t="s">
        <v>233</v>
      </c>
      <c r="H56" s="9">
        <v>25.97</v>
      </c>
      <c r="I56" s="5" t="s">
        <v>68</v>
      </c>
      <c r="J56" s="15">
        <v>41667.477905092594</v>
      </c>
      <c r="K56" t="str">
        <f t="shared" si="0"/>
        <v>01-2014</v>
      </c>
    </row>
    <row r="57" spans="3:11" x14ac:dyDescent="0.25">
      <c r="C57" t="str">
        <f>IF(COUNTBLANK(E57:J57) = 6,"",IF(AND(NOT(ISBLANK(E57)),COUNTBLANK(E57:J57) = 5),"3 Delete",IF(ISBLANK(E57),"2 Add",IF(SHA1Range(E57:J57) = "d6e6febaf857f5c880980420e4090ae9039feac5","0 Original","1 Modify"))))</f>
        <v>0 Original</v>
      </c>
      <c r="D57" s="5" t="s">
        <v>1016</v>
      </c>
      <c r="E57" s="3">
        <v>271</v>
      </c>
      <c r="F57" s="13">
        <v>41667</v>
      </c>
      <c r="G57" t="s">
        <v>305</v>
      </c>
      <c r="H57" s="9">
        <v>31.96</v>
      </c>
      <c r="I57" s="5" t="s">
        <v>68</v>
      </c>
      <c r="J57" s="15">
        <v>41667.844872685186</v>
      </c>
      <c r="K57" t="str">
        <f t="shared" si="0"/>
        <v>01-2014</v>
      </c>
    </row>
    <row r="58" spans="3:11" x14ac:dyDescent="0.25">
      <c r="C58" t="str">
        <f>IF(COUNTBLANK(E58:J58) = 6,"",IF(AND(NOT(ISBLANK(E58)),COUNTBLANK(E58:J58) = 5),"3 Delete",IF(ISBLANK(E58),"2 Add",IF(SHA1Range(E58:J58) = "3fbe9253d7869cff173d759b6ca417b79f230a6c","0 Original","1 Modify"))))</f>
        <v>0 Original</v>
      </c>
      <c r="D58" s="5" t="s">
        <v>1017</v>
      </c>
      <c r="E58" s="3">
        <v>174</v>
      </c>
      <c r="F58" s="13">
        <v>41668</v>
      </c>
      <c r="G58" t="s">
        <v>173</v>
      </c>
      <c r="H58" s="9">
        <v>43.94</v>
      </c>
      <c r="I58" s="5" t="s">
        <v>68</v>
      </c>
      <c r="J58" s="15">
        <v>41668.778055555558</v>
      </c>
      <c r="K58" t="str">
        <f t="shared" si="0"/>
        <v>01-2014</v>
      </c>
    </row>
    <row r="59" spans="3:11" x14ac:dyDescent="0.25">
      <c r="C59" t="str">
        <f>IF(COUNTBLANK(E59:J59) = 6,"",IF(AND(NOT(ISBLANK(E59)),COUNTBLANK(E59:J59) = 5),"3 Delete",IF(ISBLANK(E59),"2 Add",IF(SHA1Range(E59:J59) = "f4600ca73598a07b9336d3689c77d43956306c91","0 Original","1 Modify"))))</f>
        <v>0 Original</v>
      </c>
      <c r="D59" s="5" t="s">
        <v>1018</v>
      </c>
      <c r="E59" s="3">
        <v>302</v>
      </c>
      <c r="F59" s="13">
        <v>41668</v>
      </c>
      <c r="G59" t="s">
        <v>65</v>
      </c>
      <c r="H59" s="9">
        <v>14.97</v>
      </c>
      <c r="I59" s="5" t="s">
        <v>68</v>
      </c>
      <c r="J59" s="15">
        <v>41668.992094907408</v>
      </c>
      <c r="K59" t="str">
        <f t="shared" si="0"/>
        <v>01-2014</v>
      </c>
    </row>
    <row r="60" spans="3:11" x14ac:dyDescent="0.25">
      <c r="C60" t="str">
        <f>IF(COUNTBLANK(E60:J60) = 6,"",IF(AND(NOT(ISBLANK(E60)),COUNTBLANK(E60:J60) = 5),"3 Delete",IF(ISBLANK(E60),"2 Add",IF(SHA1Range(E60:J60) = "4061b22bb6f9d3d4644d29d35c948fc4bbaa702d","0 Original","1 Modify"))))</f>
        <v>0 Original</v>
      </c>
      <c r="D60" s="5" t="s">
        <v>1019</v>
      </c>
      <c r="E60" s="3">
        <v>1073</v>
      </c>
      <c r="F60" s="13">
        <v>41669</v>
      </c>
      <c r="G60" t="s">
        <v>221</v>
      </c>
      <c r="H60" s="9">
        <v>25.97</v>
      </c>
      <c r="I60" s="5" t="s">
        <v>68</v>
      </c>
      <c r="J60" s="15">
        <v>41669.190648148149</v>
      </c>
      <c r="K60" t="str">
        <f t="shared" si="0"/>
        <v>01-2014</v>
      </c>
    </row>
    <row r="61" spans="3:11" x14ac:dyDescent="0.25">
      <c r="C61" t="str">
        <f>IF(COUNTBLANK(E61:J61) = 6,"",IF(AND(NOT(ISBLANK(E61)),COUNTBLANK(E61:J61) = 5),"3 Delete",IF(ISBLANK(E61),"2 Add",IF(SHA1Range(E61:J61) = "b6e2a33b981ae0665e769e5925dbe04dad6fa77e","0 Original","1 Modify"))))</f>
        <v>0 Original</v>
      </c>
      <c r="D61" s="5" t="s">
        <v>1020</v>
      </c>
      <c r="E61" s="3">
        <v>1149</v>
      </c>
      <c r="F61" s="13">
        <v>41669</v>
      </c>
      <c r="G61" t="s">
        <v>260</v>
      </c>
      <c r="H61" s="9">
        <v>37.96</v>
      </c>
      <c r="I61" s="5" t="s">
        <v>68</v>
      </c>
      <c r="J61" s="15">
        <v>41669.720636574071</v>
      </c>
      <c r="K61" t="str">
        <f t="shared" si="0"/>
        <v>01-2014</v>
      </c>
    </row>
    <row r="62" spans="3:11" x14ac:dyDescent="0.25">
      <c r="C62" t="str">
        <f>IF(COUNTBLANK(E62:J62) = 6,"",IF(AND(NOT(ISBLANK(E62)),COUNTBLANK(E62:J62) = 5),"3 Delete",IF(ISBLANK(E62),"2 Add",IF(SHA1Range(E62:J62) = "2bd87ac21bb6a4ec65d4d0241ec52dbc2a17644f","0 Original","1 Modify"))))</f>
        <v>0 Original</v>
      </c>
      <c r="D62" s="5" t="s">
        <v>1021</v>
      </c>
      <c r="E62" s="3">
        <v>348</v>
      </c>
      <c r="F62" s="13">
        <v>41670</v>
      </c>
      <c r="G62" t="s">
        <v>152</v>
      </c>
      <c r="H62" s="9">
        <v>17.98</v>
      </c>
      <c r="I62" s="5" t="s">
        <v>68</v>
      </c>
      <c r="J62" s="15">
        <v>41670.302349537036</v>
      </c>
      <c r="K62" t="str">
        <f t="shared" si="0"/>
        <v>01-2014</v>
      </c>
    </row>
    <row r="63" spans="3:11" x14ac:dyDescent="0.25">
      <c r="C63" t="str">
        <f>IF(COUNTBLANK(E63:J63) = 6,"",IF(AND(NOT(ISBLANK(E63)),COUNTBLANK(E63:J63) = 5),"3 Delete",IF(ISBLANK(E63),"2 Add",IF(SHA1Range(E63:J63) = "7f19e42811f00ef0a76e7145ae00e01063186959","0 Original","1 Modify"))))</f>
        <v>0 Original</v>
      </c>
      <c r="D63" s="5" t="s">
        <v>1022</v>
      </c>
      <c r="E63" s="3">
        <v>369</v>
      </c>
      <c r="F63" s="13">
        <v>41670</v>
      </c>
      <c r="G63" t="s">
        <v>350</v>
      </c>
      <c r="H63" s="9">
        <v>15.98</v>
      </c>
      <c r="I63" s="5" t="s">
        <v>68</v>
      </c>
      <c r="J63" s="15">
        <v>41670.314768518518</v>
      </c>
      <c r="K63" t="str">
        <f t="shared" si="0"/>
        <v>01-2014</v>
      </c>
    </row>
    <row r="64" spans="3:11" x14ac:dyDescent="0.25">
      <c r="C64" t="str">
        <f>IF(COUNTBLANK(E64:J64) = 6,"",IF(AND(NOT(ISBLANK(E64)),COUNTBLANK(E64:J64) = 5),"3 Delete",IF(ISBLANK(E64),"2 Add",IF(SHA1Range(E64:J64) = "345dff8600d31d0f65939f6933abc5873c431b4c","0 Original","1 Modify"))))</f>
        <v>0 Original</v>
      </c>
      <c r="D64" s="5" t="s">
        <v>1023</v>
      </c>
      <c r="E64" s="3">
        <v>1163</v>
      </c>
      <c r="F64" s="13">
        <v>41671</v>
      </c>
      <c r="G64" t="s">
        <v>245</v>
      </c>
      <c r="H64" s="9">
        <v>31.96</v>
      </c>
      <c r="I64" s="5" t="s">
        <v>68</v>
      </c>
      <c r="J64" s="15">
        <v>41671.596782407411</v>
      </c>
      <c r="K64" t="str">
        <f t="shared" si="0"/>
        <v>02-2014</v>
      </c>
    </row>
    <row r="65" spans="3:11" x14ac:dyDescent="0.25">
      <c r="C65" t="str">
        <f>IF(COUNTBLANK(E65:J65) = 6,"",IF(AND(NOT(ISBLANK(E65)),COUNTBLANK(E65:J65) = 5),"3 Delete",IF(ISBLANK(E65),"2 Add",IF(SHA1Range(E65:J65) = "19dee716e094af72f364670924ad8e97c8b80fa7","0 Original","1 Modify"))))</f>
        <v>0 Original</v>
      </c>
      <c r="D65" s="5" t="s">
        <v>1024</v>
      </c>
      <c r="E65" s="3">
        <v>545</v>
      </c>
      <c r="F65" s="13">
        <v>41672</v>
      </c>
      <c r="G65" t="s">
        <v>188</v>
      </c>
      <c r="H65" s="9">
        <v>23.97</v>
      </c>
      <c r="I65" s="5" t="s">
        <v>68</v>
      </c>
      <c r="J65" s="15">
        <v>41672.034120370372</v>
      </c>
      <c r="K65" t="str">
        <f t="shared" si="0"/>
        <v>02-2014</v>
      </c>
    </row>
    <row r="66" spans="3:11" x14ac:dyDescent="0.25">
      <c r="C66" t="str">
        <f>IF(COUNTBLANK(E66:J66) = 6,"",IF(AND(NOT(ISBLANK(E66)),COUNTBLANK(E66:J66) = 5),"3 Delete",IF(ISBLANK(E66),"2 Add",IF(SHA1Range(E66:J66) = "21d8ddfb9731efa14617c1a4e2c3490334a57b67","0 Original","1 Modify"))))</f>
        <v>0 Original</v>
      </c>
      <c r="D66" s="5" t="s">
        <v>1025</v>
      </c>
      <c r="E66" s="3">
        <v>532</v>
      </c>
      <c r="F66" s="13">
        <v>41672</v>
      </c>
      <c r="G66" t="s">
        <v>239</v>
      </c>
      <c r="H66" s="9">
        <v>52.93</v>
      </c>
      <c r="I66" s="5" t="s">
        <v>68</v>
      </c>
      <c r="J66" s="15">
        <v>41672.840462962966</v>
      </c>
      <c r="K66" t="str">
        <f t="shared" si="0"/>
        <v>02-2014</v>
      </c>
    </row>
    <row r="67" spans="3:11" x14ac:dyDescent="0.25">
      <c r="C67" t="str">
        <f>IF(COUNTBLANK(E67:J67) = 6,"",IF(AND(NOT(ISBLANK(E67)),COUNTBLANK(E67:J67) = 5),"3 Delete",IF(ISBLANK(E67),"2 Add",IF(SHA1Range(E67:J67) = "20c969efc903b772d0f6cf5dd96fcccb49e41a2d","0 Original","1 Modify"))))</f>
        <v>0 Original</v>
      </c>
      <c r="D67" s="5" t="s">
        <v>1026</v>
      </c>
      <c r="E67" s="3">
        <v>117</v>
      </c>
      <c r="F67" s="13">
        <v>41673</v>
      </c>
      <c r="G67" t="s">
        <v>338</v>
      </c>
      <c r="H67" s="9">
        <v>44.94</v>
      </c>
      <c r="I67" s="5" t="s">
        <v>68</v>
      </c>
      <c r="J67" s="15">
        <v>41673.101134259261</v>
      </c>
      <c r="K67" t="str">
        <f t="shared" ref="K67:K130" si="1">TEXT(F67,"mm-yyyy")</f>
        <v>02-2014</v>
      </c>
    </row>
    <row r="68" spans="3:11" x14ac:dyDescent="0.25">
      <c r="C68" t="str">
        <f>IF(COUNTBLANK(E68:J68) = 6,"",IF(AND(NOT(ISBLANK(E68)),COUNTBLANK(E68:J68) = 5),"3 Delete",IF(ISBLANK(E68),"2 Add",IF(SHA1Range(E68:J68) = "b67e307eec89a7fb554aa3bc3187c6c1c3c34fc2","0 Original","1 Modify"))))</f>
        <v>0 Original</v>
      </c>
      <c r="D68" s="5" t="s">
        <v>1027</v>
      </c>
      <c r="E68" s="3">
        <v>1182</v>
      </c>
      <c r="F68" s="13">
        <v>41674</v>
      </c>
      <c r="G68" t="s">
        <v>302</v>
      </c>
      <c r="H68" s="9">
        <v>46.93</v>
      </c>
      <c r="I68" s="5" t="s">
        <v>68</v>
      </c>
      <c r="J68" s="15">
        <v>41674.008391203701</v>
      </c>
      <c r="K68" t="str">
        <f t="shared" si="1"/>
        <v>02-2014</v>
      </c>
    </row>
    <row r="69" spans="3:11" x14ac:dyDescent="0.25">
      <c r="C69" t="str">
        <f>IF(COUNTBLANK(E69:J69) = 6,"",IF(AND(NOT(ISBLANK(E69)),COUNTBLANK(E69:J69) = 5),"3 Delete",IF(ISBLANK(E69),"2 Add",IF(SHA1Range(E69:J69) = "29bdfe738580e5cf7707c2afcb8fb517adf85001","0 Original","1 Modify"))))</f>
        <v>0 Original</v>
      </c>
      <c r="D69" s="5" t="s">
        <v>1028</v>
      </c>
      <c r="E69" s="3">
        <v>986</v>
      </c>
      <c r="F69" s="13">
        <v>41674</v>
      </c>
      <c r="G69" t="s">
        <v>260</v>
      </c>
      <c r="H69" s="9">
        <v>25.97</v>
      </c>
      <c r="I69" s="5" t="s">
        <v>68</v>
      </c>
      <c r="J69" s="15">
        <v>41674.878287037034</v>
      </c>
      <c r="K69" t="str">
        <f t="shared" si="1"/>
        <v>02-2014</v>
      </c>
    </row>
    <row r="70" spans="3:11" x14ac:dyDescent="0.25">
      <c r="C70" t="str">
        <f>IF(COUNTBLANK(E70:J70) = 6,"",IF(AND(NOT(ISBLANK(E70)),COUNTBLANK(E70:J70) = 5),"3 Delete",IF(ISBLANK(E70),"2 Add",IF(SHA1Range(E70:J70) = "cebc77cff9a3717865007c165e841c6a6a2686e3","0 Original","1 Modify"))))</f>
        <v>0 Original</v>
      </c>
      <c r="D70" s="5" t="s">
        <v>1029</v>
      </c>
      <c r="E70" s="3">
        <v>22</v>
      </c>
      <c r="F70" s="13">
        <v>41674</v>
      </c>
      <c r="G70" t="s">
        <v>73</v>
      </c>
      <c r="H70" s="9">
        <v>29.97</v>
      </c>
      <c r="I70" s="5" t="s">
        <v>68</v>
      </c>
      <c r="J70" s="15">
        <v>41674.979861111111</v>
      </c>
      <c r="K70" t="str">
        <f t="shared" si="1"/>
        <v>02-2014</v>
      </c>
    </row>
    <row r="71" spans="3:11" x14ac:dyDescent="0.25">
      <c r="C71" t="str">
        <f>IF(COUNTBLANK(E71:J71) = 6,"",IF(AND(NOT(ISBLANK(E71)),COUNTBLANK(E71:J71) = 5),"3 Delete",IF(ISBLANK(E71),"2 Add",IF(SHA1Range(E71:J71) = "6aadf401f0c549a96d134ed6d0d1a41f50a1bf85","0 Original","1 Modify"))))</f>
        <v>0 Original</v>
      </c>
      <c r="D71" s="5" t="s">
        <v>1030</v>
      </c>
      <c r="E71" s="3">
        <v>1160</v>
      </c>
      <c r="F71" s="13">
        <v>41675</v>
      </c>
      <c r="G71" t="s">
        <v>134</v>
      </c>
      <c r="H71" s="9">
        <v>7.99</v>
      </c>
      <c r="I71" s="5" t="s">
        <v>68</v>
      </c>
      <c r="J71" s="15">
        <v>41675.519861111112</v>
      </c>
      <c r="K71" t="str">
        <f t="shared" si="1"/>
        <v>02-2014</v>
      </c>
    </row>
    <row r="72" spans="3:11" x14ac:dyDescent="0.25">
      <c r="C72" t="str">
        <f>IF(COUNTBLANK(E72:J72) = 6,"",IF(AND(NOT(ISBLANK(E72)),COUNTBLANK(E72:J72) = 5),"3 Delete",IF(ISBLANK(E72),"2 Add",IF(SHA1Range(E72:J72) = "b1ab440ae5c26df23dff093fdf6b87590678d7a1","0 Original","1 Modify"))))</f>
        <v>0 Original</v>
      </c>
      <c r="D72" s="5" t="s">
        <v>1031</v>
      </c>
      <c r="E72" s="3">
        <v>570</v>
      </c>
      <c r="F72" s="13">
        <v>41675</v>
      </c>
      <c r="G72" t="s">
        <v>347</v>
      </c>
      <c r="H72" s="9">
        <v>15.98</v>
      </c>
      <c r="I72" s="5" t="s">
        <v>68</v>
      </c>
      <c r="J72" s="15">
        <v>41675.863738425927</v>
      </c>
      <c r="K72" t="str">
        <f t="shared" si="1"/>
        <v>02-2014</v>
      </c>
    </row>
    <row r="73" spans="3:11" x14ac:dyDescent="0.25">
      <c r="C73" t="str">
        <f>IF(COUNTBLANK(E73:J73) = 6,"",IF(AND(NOT(ISBLANK(E73)),COUNTBLANK(E73:J73) = 5),"3 Delete",IF(ISBLANK(E73),"2 Add",IF(SHA1Range(E73:J73) = "83c66dc952cb4170077b8b896d5e2e1503ef5fa6","0 Original","1 Modify"))))</f>
        <v>0 Original</v>
      </c>
      <c r="D73" s="5" t="s">
        <v>1032</v>
      </c>
      <c r="E73" s="3">
        <v>482</v>
      </c>
      <c r="F73" s="13">
        <v>41676</v>
      </c>
      <c r="G73" t="s">
        <v>341</v>
      </c>
      <c r="H73" s="9">
        <v>67.91</v>
      </c>
      <c r="I73" s="5" t="s">
        <v>68</v>
      </c>
      <c r="J73" s="15">
        <v>41676.163321759261</v>
      </c>
      <c r="K73" t="str">
        <f t="shared" si="1"/>
        <v>02-2014</v>
      </c>
    </row>
    <row r="74" spans="3:11" x14ac:dyDescent="0.25">
      <c r="C74" t="str">
        <f>IF(COUNTBLANK(E74:J74) = 6,"",IF(AND(NOT(ISBLANK(E74)),COUNTBLANK(E74:J74) = 5),"3 Delete",IF(ISBLANK(E74),"2 Add",IF(SHA1Range(E74:J74) = "882b61ccd2addcc8ed6572fad658cacf8c6f005b","0 Original","1 Modify"))))</f>
        <v>0 Original</v>
      </c>
      <c r="D74" s="5" t="s">
        <v>1033</v>
      </c>
      <c r="E74" s="3">
        <v>345</v>
      </c>
      <c r="F74" s="13">
        <v>41676</v>
      </c>
      <c r="G74" t="s">
        <v>212</v>
      </c>
      <c r="H74" s="9">
        <v>9.98</v>
      </c>
      <c r="I74" s="5" t="s">
        <v>68</v>
      </c>
      <c r="J74" s="15">
        <v>41676.294675925928</v>
      </c>
      <c r="K74" t="str">
        <f t="shared" si="1"/>
        <v>02-2014</v>
      </c>
    </row>
    <row r="75" spans="3:11" x14ac:dyDescent="0.25">
      <c r="C75" t="str">
        <f>IF(COUNTBLANK(E75:J75) = 6,"",IF(AND(NOT(ISBLANK(E75)),COUNTBLANK(E75:J75) = 5),"3 Delete",IF(ISBLANK(E75),"2 Add",IF(SHA1Range(E75:J75) = "ceebc898448c1d8c55334da9876a8c69c82efe0b","0 Original","1 Modify"))))</f>
        <v>0 Original</v>
      </c>
      <c r="D75" s="5" t="s">
        <v>1034</v>
      </c>
      <c r="E75" s="3">
        <v>475</v>
      </c>
      <c r="F75" s="13">
        <v>41676</v>
      </c>
      <c r="G75" t="s">
        <v>350</v>
      </c>
      <c r="H75" s="9">
        <v>15.98</v>
      </c>
      <c r="I75" s="5" t="s">
        <v>68</v>
      </c>
      <c r="J75" s="15">
        <v>41676.488935185182</v>
      </c>
      <c r="K75" t="str">
        <f t="shared" si="1"/>
        <v>02-2014</v>
      </c>
    </row>
    <row r="76" spans="3:11" x14ac:dyDescent="0.25">
      <c r="C76" t="str">
        <f>IF(COUNTBLANK(E76:J76) = 6,"",IF(AND(NOT(ISBLANK(E76)),COUNTBLANK(E76:J76) = 5),"3 Delete",IF(ISBLANK(E76),"2 Add",IF(SHA1Range(E76:J76) = "99af9e5cfe083fef9409fd281fba196dbbdd489c","0 Original","1 Modify"))))</f>
        <v>0 Original</v>
      </c>
      <c r="D76" s="5" t="s">
        <v>1035</v>
      </c>
      <c r="E76" s="3">
        <v>924</v>
      </c>
      <c r="F76" s="13">
        <v>41677</v>
      </c>
      <c r="G76" t="s">
        <v>98</v>
      </c>
      <c r="H76" s="9">
        <v>21.96</v>
      </c>
      <c r="I76" s="5" t="s">
        <v>68</v>
      </c>
      <c r="J76" s="15">
        <v>41677.939421296294</v>
      </c>
      <c r="K76" t="str">
        <f t="shared" si="1"/>
        <v>02-2014</v>
      </c>
    </row>
    <row r="77" spans="3:11" x14ac:dyDescent="0.25">
      <c r="C77" t="str">
        <f>IF(COUNTBLANK(E77:J77) = 6,"",IF(AND(NOT(ISBLANK(E77)),COUNTBLANK(E77:J77) = 5),"3 Delete",IF(ISBLANK(E77),"2 Add",IF(SHA1Range(E77:J77) = "86c0c90468ce0131e99e2175d54d284afe829dd1","0 Original","1 Modify"))))</f>
        <v>0 Original</v>
      </c>
      <c r="D77" s="5" t="s">
        <v>1036</v>
      </c>
      <c r="E77" s="3">
        <v>1164</v>
      </c>
      <c r="F77" s="13">
        <v>41680</v>
      </c>
      <c r="G77" t="s">
        <v>98</v>
      </c>
      <c r="H77" s="9">
        <v>23.97</v>
      </c>
      <c r="I77" s="5" t="s">
        <v>68</v>
      </c>
      <c r="J77" s="15">
        <v>41680.230613425927</v>
      </c>
      <c r="K77" t="str">
        <f t="shared" si="1"/>
        <v>02-2014</v>
      </c>
    </row>
    <row r="78" spans="3:11" x14ac:dyDescent="0.25">
      <c r="C78" t="str">
        <f>IF(COUNTBLANK(E78:J78) = 6,"",IF(AND(NOT(ISBLANK(E78)),COUNTBLANK(E78:J78) = 5),"3 Delete",IF(ISBLANK(E78),"2 Add",IF(SHA1Range(E78:J78) = "f60019768925e455d4f478777a062138711a5d1c","0 Original","1 Modify"))))</f>
        <v>0 Original</v>
      </c>
      <c r="D78" s="5" t="s">
        <v>1037</v>
      </c>
      <c r="E78" s="3">
        <v>670</v>
      </c>
      <c r="F78" s="13">
        <v>41680</v>
      </c>
      <c r="G78" t="s">
        <v>248</v>
      </c>
      <c r="H78" s="9">
        <v>13.98</v>
      </c>
      <c r="I78" s="5" t="s">
        <v>68</v>
      </c>
      <c r="J78" s="15">
        <v>41680.661782407406</v>
      </c>
      <c r="K78" t="str">
        <f t="shared" si="1"/>
        <v>02-2014</v>
      </c>
    </row>
    <row r="79" spans="3:11" x14ac:dyDescent="0.25">
      <c r="C79" t="str">
        <f>IF(COUNTBLANK(E79:J79) = 6,"",IF(AND(NOT(ISBLANK(E79)),COUNTBLANK(E79:J79) = 5),"3 Delete",IF(ISBLANK(E79),"2 Add",IF(SHA1Range(E79:J79) = "c5fcd299b5bc5f0522577b61353b7b9c795aec2c","0 Original","1 Modify"))))</f>
        <v>0 Original</v>
      </c>
      <c r="D79" s="5" t="s">
        <v>1038</v>
      </c>
      <c r="E79" s="3">
        <v>634</v>
      </c>
      <c r="F79" s="13">
        <v>41680</v>
      </c>
      <c r="G79" t="s">
        <v>224</v>
      </c>
      <c r="H79" s="9">
        <v>49.93</v>
      </c>
      <c r="I79" s="5" t="s">
        <v>68</v>
      </c>
      <c r="J79" s="15">
        <v>41680.90079861111</v>
      </c>
      <c r="K79" t="str">
        <f t="shared" si="1"/>
        <v>02-2014</v>
      </c>
    </row>
    <row r="80" spans="3:11" x14ac:dyDescent="0.25">
      <c r="C80" t="str">
        <f>IF(COUNTBLANK(E80:J80) = 6,"",IF(AND(NOT(ISBLANK(E80)),COUNTBLANK(E80:J80) = 5),"3 Delete",IF(ISBLANK(E80),"2 Add",IF(SHA1Range(E80:J80) = "abb4f6840d61f9bab2b15fa11197986fa77df47e","0 Original","1 Modify"))))</f>
        <v>0 Original</v>
      </c>
      <c r="D80" s="5" t="s">
        <v>1039</v>
      </c>
      <c r="E80" s="3">
        <v>1130</v>
      </c>
      <c r="F80" s="13">
        <v>41681</v>
      </c>
      <c r="G80" t="s">
        <v>260</v>
      </c>
      <c r="H80" s="9">
        <v>37.950000000000003</v>
      </c>
      <c r="I80" s="5" t="s">
        <v>68</v>
      </c>
      <c r="J80" s="15">
        <v>41681.641250000001</v>
      </c>
      <c r="K80" t="str">
        <f t="shared" si="1"/>
        <v>02-2014</v>
      </c>
    </row>
    <row r="81" spans="3:11" x14ac:dyDescent="0.25">
      <c r="C81" t="str">
        <f>IF(COUNTBLANK(E81:J81) = 6,"",IF(AND(NOT(ISBLANK(E81)),COUNTBLANK(E81:J81) = 5),"3 Delete",IF(ISBLANK(E81),"2 Add",IF(SHA1Range(E81:J81) = "9a31cce7bd145b0dd044bb75c03c97fe867a1288","0 Original","1 Modify"))))</f>
        <v>0 Original</v>
      </c>
      <c r="D81" s="5" t="s">
        <v>1040</v>
      </c>
      <c r="E81" s="3">
        <v>902</v>
      </c>
      <c r="F81" s="13">
        <v>41682</v>
      </c>
      <c r="G81" t="s">
        <v>242</v>
      </c>
      <c r="H81" s="9">
        <v>34.950000000000003</v>
      </c>
      <c r="I81" s="5" t="s">
        <v>68</v>
      </c>
      <c r="J81" s="15">
        <v>41682.150914351849</v>
      </c>
      <c r="K81" t="str">
        <f t="shared" si="1"/>
        <v>02-2014</v>
      </c>
    </row>
    <row r="82" spans="3:11" x14ac:dyDescent="0.25">
      <c r="C82" t="str">
        <f>IF(COUNTBLANK(E82:J82) = 6,"",IF(AND(NOT(ISBLANK(E82)),COUNTBLANK(E82:J82) = 5),"3 Delete",IF(ISBLANK(E82),"2 Add",IF(SHA1Range(E82:J82) = "738f28caf66e0de41ad4053a795d66a713624185","0 Original","1 Modify"))))</f>
        <v>0 Original</v>
      </c>
      <c r="D82" s="5" t="s">
        <v>1041</v>
      </c>
      <c r="E82" s="3">
        <v>4</v>
      </c>
      <c r="F82" s="13">
        <v>41682</v>
      </c>
      <c r="G82" t="s">
        <v>113</v>
      </c>
      <c r="H82" s="9">
        <v>29.97</v>
      </c>
      <c r="I82" s="5" t="s">
        <v>68</v>
      </c>
      <c r="J82" s="15">
        <v>41682.520208333335</v>
      </c>
      <c r="K82" t="str">
        <f t="shared" si="1"/>
        <v>02-2014</v>
      </c>
    </row>
    <row r="83" spans="3:11" x14ac:dyDescent="0.25">
      <c r="C83" t="str">
        <f>IF(COUNTBLANK(E83:J83) = 6,"",IF(AND(NOT(ISBLANK(E83)),COUNTBLANK(E83:J83) = 5),"3 Delete",IF(ISBLANK(E83),"2 Add",IF(SHA1Range(E83:J83) = "2480147975a5c808d868ff770accbd90c0fb8784","0 Original","1 Modify"))))</f>
        <v>0 Original</v>
      </c>
      <c r="D83" s="5" t="s">
        <v>1042</v>
      </c>
      <c r="E83" s="3">
        <v>161</v>
      </c>
      <c r="F83" s="13">
        <v>41682</v>
      </c>
      <c r="G83" t="s">
        <v>305</v>
      </c>
      <c r="H83" s="9">
        <v>21.97</v>
      </c>
      <c r="I83" s="5" t="s">
        <v>68</v>
      </c>
      <c r="J83" s="15">
        <v>41682.855011574073</v>
      </c>
      <c r="K83" t="str">
        <f t="shared" si="1"/>
        <v>02-2014</v>
      </c>
    </row>
    <row r="84" spans="3:11" x14ac:dyDescent="0.25">
      <c r="C84" t="str">
        <f>IF(COUNTBLANK(E84:J84) = 6,"",IF(AND(NOT(ISBLANK(E84)),COUNTBLANK(E84:J84) = 5),"3 Delete",IF(ISBLANK(E84),"2 Add",IF(SHA1Range(E84:J84) = "9fc8a8cd193d7da8651441301196e6d116c95199","0 Original","1 Modify"))))</f>
        <v>0 Original</v>
      </c>
      <c r="D84" s="5" t="s">
        <v>1043</v>
      </c>
      <c r="E84" s="3">
        <v>762</v>
      </c>
      <c r="F84" s="13">
        <v>41683</v>
      </c>
      <c r="G84" t="s">
        <v>260</v>
      </c>
      <c r="H84" s="9">
        <v>26.97</v>
      </c>
      <c r="I84" s="5" t="s">
        <v>68</v>
      </c>
      <c r="J84" s="15">
        <v>41683.466331018521</v>
      </c>
      <c r="K84" t="str">
        <f t="shared" si="1"/>
        <v>02-2014</v>
      </c>
    </row>
    <row r="85" spans="3:11" x14ac:dyDescent="0.25">
      <c r="C85" t="str">
        <f>IF(COUNTBLANK(E85:J85) = 6,"",IF(AND(NOT(ISBLANK(E85)),COUNTBLANK(E85:J85) = 5),"3 Delete",IF(ISBLANK(E85),"2 Add",IF(SHA1Range(E85:J85) = "32c9000075443384fdded01f48735e0c8b709e23","0 Original","1 Modify"))))</f>
        <v>0 Original</v>
      </c>
      <c r="D85" s="5" t="s">
        <v>1044</v>
      </c>
      <c r="E85" s="3">
        <v>65</v>
      </c>
      <c r="F85" s="13">
        <v>41684</v>
      </c>
      <c r="G85" t="s">
        <v>197</v>
      </c>
      <c r="H85" s="9">
        <v>33.950000000000003</v>
      </c>
      <c r="I85" s="5" t="s">
        <v>68</v>
      </c>
      <c r="J85" s="15">
        <v>41684.557118055556</v>
      </c>
      <c r="K85" t="str">
        <f t="shared" si="1"/>
        <v>02-2014</v>
      </c>
    </row>
    <row r="86" spans="3:11" x14ac:dyDescent="0.25">
      <c r="C86" t="str">
        <f>IF(COUNTBLANK(E86:J86) = 6,"",IF(AND(NOT(ISBLANK(E86)),COUNTBLANK(E86:J86) = 5),"3 Delete",IF(ISBLANK(E86),"2 Add",IF(SHA1Range(E86:J86) = "f96db4145a30bdeb41293114c8de6ae1be75d5d3","0 Original","1 Modify"))))</f>
        <v>0 Original</v>
      </c>
      <c r="D86" s="5" t="s">
        <v>1045</v>
      </c>
      <c r="E86" s="3">
        <v>607</v>
      </c>
      <c r="F86" s="13">
        <v>41685</v>
      </c>
      <c r="G86" t="s">
        <v>137</v>
      </c>
      <c r="H86" s="9">
        <v>59.93</v>
      </c>
      <c r="I86" s="5" t="s">
        <v>68</v>
      </c>
      <c r="J86" s="15">
        <v>41685.461724537039</v>
      </c>
      <c r="K86" t="str">
        <f t="shared" si="1"/>
        <v>02-2014</v>
      </c>
    </row>
    <row r="87" spans="3:11" x14ac:dyDescent="0.25">
      <c r="C87" t="str">
        <f>IF(COUNTBLANK(E87:J87) = 6,"",IF(AND(NOT(ISBLANK(E87)),COUNTBLANK(E87:J87) = 5),"3 Delete",IF(ISBLANK(E87),"2 Add",IF(SHA1Range(E87:J87) = "d61ea767fb09249de8fd11b80973623c052585ca","0 Original","1 Modify"))))</f>
        <v>0 Original</v>
      </c>
      <c r="D87" s="5" t="s">
        <v>1046</v>
      </c>
      <c r="E87" s="3">
        <v>324</v>
      </c>
      <c r="F87" s="13">
        <v>41685</v>
      </c>
      <c r="G87" t="s">
        <v>203</v>
      </c>
      <c r="H87" s="9">
        <v>60.92</v>
      </c>
      <c r="I87" s="5" t="s">
        <v>68</v>
      </c>
      <c r="J87" s="15">
        <v>41685.493819444448</v>
      </c>
      <c r="K87" t="str">
        <f t="shared" si="1"/>
        <v>02-2014</v>
      </c>
    </row>
    <row r="88" spans="3:11" x14ac:dyDescent="0.25">
      <c r="C88" t="str">
        <f>IF(COUNTBLANK(E88:J88) = 6,"",IF(AND(NOT(ISBLANK(E88)),COUNTBLANK(E88:J88) = 5),"3 Delete",IF(ISBLANK(E88),"2 Add",IF(SHA1Range(E88:J88) = "8ea90e40c27410290029cbfc5656824a9456d7e1","0 Original","1 Modify"))))</f>
        <v>0 Original</v>
      </c>
      <c r="D88" s="5" t="s">
        <v>1047</v>
      </c>
      <c r="E88" s="3">
        <v>385</v>
      </c>
      <c r="F88" s="13">
        <v>41686</v>
      </c>
      <c r="G88" t="s">
        <v>212</v>
      </c>
      <c r="H88" s="9">
        <v>46.95</v>
      </c>
      <c r="I88" s="5" t="s">
        <v>68</v>
      </c>
      <c r="J88" s="15">
        <v>41686.089826388888</v>
      </c>
      <c r="K88" t="str">
        <f t="shared" si="1"/>
        <v>02-2014</v>
      </c>
    </row>
    <row r="89" spans="3:11" x14ac:dyDescent="0.25">
      <c r="C89" t="str">
        <f>IF(COUNTBLANK(E89:J89) = 6,"",IF(AND(NOT(ISBLANK(E89)),COUNTBLANK(E89:J89) = 5),"3 Delete",IF(ISBLANK(E89),"2 Add",IF(SHA1Range(E89:J89) = "3b0fab5d3704c4ce563bb2757ccf752062f2f148","0 Original","1 Modify"))))</f>
        <v>0 Original</v>
      </c>
      <c r="D89" s="5" t="s">
        <v>1048</v>
      </c>
      <c r="E89" s="3">
        <v>138</v>
      </c>
      <c r="F89" s="13">
        <v>41687</v>
      </c>
      <c r="G89" t="s">
        <v>363</v>
      </c>
      <c r="H89" s="9">
        <v>38.950000000000003</v>
      </c>
      <c r="I89" s="5" t="s">
        <v>68</v>
      </c>
      <c r="J89" s="15">
        <v>41687.117337962962</v>
      </c>
      <c r="K89" t="str">
        <f t="shared" si="1"/>
        <v>02-2014</v>
      </c>
    </row>
    <row r="90" spans="3:11" x14ac:dyDescent="0.25">
      <c r="C90" t="str">
        <f>IF(COUNTBLANK(E90:J90) = 6,"",IF(AND(NOT(ISBLANK(E90)),COUNTBLANK(E90:J90) = 5),"3 Delete",IF(ISBLANK(E90),"2 Add",IF(SHA1Range(E90:J90) = "f40e9f42653b94d3c2b0a1baae2fc9da13503a83","0 Original","1 Modify"))))</f>
        <v>0 Original</v>
      </c>
      <c r="D90" s="5" t="s">
        <v>1049</v>
      </c>
      <c r="E90" s="3">
        <v>1087</v>
      </c>
      <c r="F90" s="13">
        <v>41687</v>
      </c>
      <c r="G90" t="s">
        <v>302</v>
      </c>
      <c r="H90" s="9">
        <v>9.99</v>
      </c>
      <c r="I90" s="5" t="s">
        <v>68</v>
      </c>
      <c r="J90" s="15">
        <v>41687.977430555555</v>
      </c>
      <c r="K90" t="str">
        <f t="shared" si="1"/>
        <v>02-2014</v>
      </c>
    </row>
    <row r="91" spans="3:11" x14ac:dyDescent="0.25">
      <c r="C91" t="str">
        <f>IF(COUNTBLANK(E91:J91) = 6,"",IF(AND(NOT(ISBLANK(E91)),COUNTBLANK(E91:J91) = 5),"3 Delete",IF(ISBLANK(E91),"2 Add",IF(SHA1Range(E91:J91) = "08badeb98b0bda9fd8200a4ffdda767fcac6a17f","0 Original","1 Modify"))))</f>
        <v>0 Original</v>
      </c>
      <c r="D91" s="5" t="s">
        <v>1050</v>
      </c>
      <c r="E91" s="3">
        <v>200</v>
      </c>
      <c r="F91" s="13">
        <v>41689</v>
      </c>
      <c r="G91" t="s">
        <v>320</v>
      </c>
      <c r="H91" s="9">
        <v>61.91</v>
      </c>
      <c r="I91" s="5" t="s">
        <v>68</v>
      </c>
      <c r="J91" s="15">
        <v>41689.370532407411</v>
      </c>
      <c r="K91" t="str">
        <f t="shared" si="1"/>
        <v>02-2014</v>
      </c>
    </row>
    <row r="92" spans="3:11" x14ac:dyDescent="0.25">
      <c r="C92" t="str">
        <f>IF(COUNTBLANK(E92:J92) = 6,"",IF(AND(NOT(ISBLANK(E92)),COUNTBLANK(E92:J92) = 5),"3 Delete",IF(ISBLANK(E92),"2 Add",IF(SHA1Range(E92:J92) = "1fe9bfec279843a27b51d0213bb953e5d24e1f99","0 Original","1 Modify"))))</f>
        <v>0 Original</v>
      </c>
      <c r="D92" s="5" t="s">
        <v>1051</v>
      </c>
      <c r="E92" s="3">
        <v>181</v>
      </c>
      <c r="F92" s="13">
        <v>41689</v>
      </c>
      <c r="G92" t="s">
        <v>122</v>
      </c>
      <c r="H92" s="9">
        <v>49.94</v>
      </c>
      <c r="I92" s="5" t="s">
        <v>68</v>
      </c>
      <c r="J92" s="15">
        <v>41689.836284722223</v>
      </c>
      <c r="K92" t="str">
        <f t="shared" si="1"/>
        <v>02-2014</v>
      </c>
    </row>
    <row r="93" spans="3:11" x14ac:dyDescent="0.25">
      <c r="C93" t="str">
        <f>IF(COUNTBLANK(E93:J93) = 6,"",IF(AND(NOT(ISBLANK(E93)),COUNTBLANK(E93:J93) = 5),"3 Delete",IF(ISBLANK(E93),"2 Add",IF(SHA1Range(E93:J93) = "cc7efd59dd545dab60a92a6d64621cdc95a79149","0 Original","1 Modify"))))</f>
        <v>0 Original</v>
      </c>
      <c r="D93" s="5" t="s">
        <v>1052</v>
      </c>
      <c r="E93" s="3">
        <v>849</v>
      </c>
      <c r="F93" s="13">
        <v>41691</v>
      </c>
      <c r="G93" t="s">
        <v>221</v>
      </c>
      <c r="H93" s="9">
        <v>14.98</v>
      </c>
      <c r="I93" s="5" t="s">
        <v>68</v>
      </c>
      <c r="J93" s="15">
        <v>41691.16982638889</v>
      </c>
      <c r="K93" t="str">
        <f t="shared" si="1"/>
        <v>02-2014</v>
      </c>
    </row>
    <row r="94" spans="3:11" x14ac:dyDescent="0.25">
      <c r="C94" t="str">
        <f>IF(COUNTBLANK(E94:J94) = 6,"",IF(AND(NOT(ISBLANK(E94)),COUNTBLANK(E94:J94) = 5),"3 Delete",IF(ISBLANK(E94),"2 Add",IF(SHA1Range(E94:J94) = "06deb3dc98396030c353b87dcafcf7ad03ea08d8","0 Original","1 Modify"))))</f>
        <v>0 Original</v>
      </c>
      <c r="D94" s="5" t="s">
        <v>1053</v>
      </c>
      <c r="E94" s="3">
        <v>1052</v>
      </c>
      <c r="F94" s="13">
        <v>41691</v>
      </c>
      <c r="G94" t="s">
        <v>245</v>
      </c>
      <c r="H94" s="9">
        <v>31.96</v>
      </c>
      <c r="I94" s="5" t="s">
        <v>68</v>
      </c>
      <c r="J94" s="15">
        <v>41691.615254629629</v>
      </c>
      <c r="K94" t="str">
        <f t="shared" si="1"/>
        <v>02-2014</v>
      </c>
    </row>
    <row r="95" spans="3:11" x14ac:dyDescent="0.25">
      <c r="C95" t="str">
        <f>IF(COUNTBLANK(E95:J95) = 6,"",IF(AND(NOT(ISBLANK(E95)),COUNTBLANK(E95:J95) = 5),"3 Delete",IF(ISBLANK(E95),"2 Add",IF(SHA1Range(E95:J95) = "37309fbdd6d9061d7ff5f382fee207a07eca5a90","0 Original","1 Modify"))))</f>
        <v>0 Original</v>
      </c>
      <c r="D95" s="5" t="s">
        <v>1054</v>
      </c>
      <c r="E95" s="3">
        <v>292</v>
      </c>
      <c r="F95" s="13">
        <v>41692</v>
      </c>
      <c r="G95" t="s">
        <v>329</v>
      </c>
      <c r="H95" s="9">
        <v>69.92</v>
      </c>
      <c r="I95" s="5" t="s">
        <v>68</v>
      </c>
      <c r="J95" s="15">
        <v>41692.487824074073</v>
      </c>
      <c r="K95" t="str">
        <f t="shared" si="1"/>
        <v>02-2014</v>
      </c>
    </row>
    <row r="96" spans="3:11" x14ac:dyDescent="0.25">
      <c r="C96" t="str">
        <f>IF(COUNTBLANK(E96:J96) = 6,"",IF(AND(NOT(ISBLANK(E96)),COUNTBLANK(E96:J96) = 5),"3 Delete",IF(ISBLANK(E96),"2 Add",IF(SHA1Range(E96:J96) = "5327e485298e84a570f2786b853992d737ec05db","0 Original","1 Modify"))))</f>
        <v>0 Original</v>
      </c>
      <c r="D96" s="5" t="s">
        <v>1055</v>
      </c>
      <c r="E96" s="3">
        <v>832</v>
      </c>
      <c r="F96" s="13">
        <v>41693</v>
      </c>
      <c r="G96" t="s">
        <v>245</v>
      </c>
      <c r="H96" s="9">
        <v>17.97</v>
      </c>
      <c r="I96" s="5" t="s">
        <v>68</v>
      </c>
      <c r="J96" s="15">
        <v>41693.2421875</v>
      </c>
      <c r="K96" t="str">
        <f t="shared" si="1"/>
        <v>02-2014</v>
      </c>
    </row>
    <row r="97" spans="3:11" x14ac:dyDescent="0.25">
      <c r="C97" t="str">
        <f>IF(COUNTBLANK(E97:J97) = 6,"",IF(AND(NOT(ISBLANK(E97)),COUNTBLANK(E97:J97) = 5),"3 Delete",IF(ISBLANK(E97),"2 Add",IF(SHA1Range(E97:J97) = "fcbc8df9d3c81220526d940aa4c58aedd8efe19b","0 Original","1 Modify"))))</f>
        <v>0 Original</v>
      </c>
      <c r="D97" s="5" t="s">
        <v>1056</v>
      </c>
      <c r="E97" s="3">
        <v>756</v>
      </c>
      <c r="F97" s="13">
        <v>41693</v>
      </c>
      <c r="G97" t="s">
        <v>134</v>
      </c>
      <c r="H97" s="9">
        <v>14.98</v>
      </c>
      <c r="I97" s="5" t="s">
        <v>68</v>
      </c>
      <c r="J97" s="15">
        <v>41693.332152777781</v>
      </c>
      <c r="K97" t="str">
        <f t="shared" si="1"/>
        <v>02-2014</v>
      </c>
    </row>
    <row r="98" spans="3:11" x14ac:dyDescent="0.25">
      <c r="C98" t="str">
        <f>IF(COUNTBLANK(E98:J98) = 6,"",IF(AND(NOT(ISBLANK(E98)),COUNTBLANK(E98:J98) = 5),"3 Delete",IF(ISBLANK(E98),"2 Add",IF(SHA1Range(E98:J98) = "b762524667bb899fa71b85d5b3ed437d7c29afe4","0 Original","1 Modify"))))</f>
        <v>0 Original</v>
      </c>
      <c r="D98" s="5" t="s">
        <v>1057</v>
      </c>
      <c r="E98" s="3">
        <v>230</v>
      </c>
      <c r="F98" s="13">
        <v>41693</v>
      </c>
      <c r="G98" t="s">
        <v>188</v>
      </c>
      <c r="H98" s="9">
        <v>57.93</v>
      </c>
      <c r="I98" s="5" t="s">
        <v>68</v>
      </c>
      <c r="J98" s="15">
        <v>41693.71371527778</v>
      </c>
      <c r="K98" t="str">
        <f t="shared" si="1"/>
        <v>02-2014</v>
      </c>
    </row>
    <row r="99" spans="3:11" x14ac:dyDescent="0.25">
      <c r="C99" t="str">
        <f>IF(COUNTBLANK(E99:J99) = 6,"",IF(AND(NOT(ISBLANK(E99)),COUNTBLANK(E99:J99) = 5),"3 Delete",IF(ISBLANK(E99),"2 Add",IF(SHA1Range(E99:J99) = "9a79543055c54e6eed1dfdcc376c4672e7b81211","0 Original","1 Modify"))))</f>
        <v>0 Original</v>
      </c>
      <c r="D99" s="5" t="s">
        <v>1058</v>
      </c>
      <c r="E99" s="3">
        <v>687</v>
      </c>
      <c r="F99" s="13">
        <v>41693</v>
      </c>
      <c r="G99" t="s">
        <v>233</v>
      </c>
      <c r="H99" s="9">
        <v>69.92</v>
      </c>
      <c r="I99" s="5" t="s">
        <v>68</v>
      </c>
      <c r="J99" s="15">
        <v>41693.89130787037</v>
      </c>
      <c r="K99" t="str">
        <f t="shared" si="1"/>
        <v>02-2014</v>
      </c>
    </row>
    <row r="100" spans="3:11" x14ac:dyDescent="0.25">
      <c r="C100" t="str">
        <f>IF(COUNTBLANK(E100:J100) = 6,"",IF(AND(NOT(ISBLANK(E100)),COUNTBLANK(E100:J100) = 5),"3 Delete",IF(ISBLANK(E100),"2 Add",IF(SHA1Range(E100:J100) = "c186678e3561571c31669ffb96344ba4c486d830","0 Original","1 Modify"))))</f>
        <v>0 Original</v>
      </c>
      <c r="D100" s="5" t="s">
        <v>1059</v>
      </c>
      <c r="E100" s="3">
        <v>298</v>
      </c>
      <c r="F100" s="13">
        <v>41694</v>
      </c>
      <c r="G100" t="s">
        <v>305</v>
      </c>
      <c r="H100" s="9">
        <v>8.99</v>
      </c>
      <c r="I100" s="5" t="s">
        <v>68</v>
      </c>
      <c r="J100" s="15">
        <v>41694.320289351854</v>
      </c>
      <c r="K100" t="str">
        <f t="shared" si="1"/>
        <v>02-2014</v>
      </c>
    </row>
    <row r="101" spans="3:11" x14ac:dyDescent="0.25">
      <c r="C101" t="str">
        <f>IF(COUNTBLANK(E101:J101) = 6,"",IF(AND(NOT(ISBLANK(E101)),COUNTBLANK(E101:J101) = 5),"3 Delete",IF(ISBLANK(E101),"2 Add",IF(SHA1Range(E101:J101) = "59dff955e671423d370ea61050e79965947ecf8b","0 Original","1 Modify"))))</f>
        <v>0 Original</v>
      </c>
      <c r="D101" s="5" t="s">
        <v>1060</v>
      </c>
      <c r="E101" s="3">
        <v>144</v>
      </c>
      <c r="F101" s="13">
        <v>41695</v>
      </c>
      <c r="G101" t="s">
        <v>77</v>
      </c>
      <c r="H101" s="9">
        <v>7.99</v>
      </c>
      <c r="I101" s="5" t="s">
        <v>68</v>
      </c>
      <c r="J101" s="15">
        <v>41695.579224537039</v>
      </c>
      <c r="K101" t="str">
        <f t="shared" si="1"/>
        <v>02-2014</v>
      </c>
    </row>
    <row r="102" spans="3:11" x14ac:dyDescent="0.25">
      <c r="C102" t="str">
        <f>IF(COUNTBLANK(E102:J102) = 6,"",IF(AND(NOT(ISBLANK(E102)),COUNTBLANK(E102:J102) = 5),"3 Delete",IF(ISBLANK(E102),"2 Add",IF(SHA1Range(E102:J102) = "01dc998b2525cb52bdf5536e1da0b57cea051539","0 Original","1 Modify"))))</f>
        <v>0 Original</v>
      </c>
      <c r="D102" s="5" t="s">
        <v>1061</v>
      </c>
      <c r="E102" s="3">
        <v>855</v>
      </c>
      <c r="F102" s="13">
        <v>41696</v>
      </c>
      <c r="G102" t="s">
        <v>134</v>
      </c>
      <c r="H102" s="9">
        <v>24.97</v>
      </c>
      <c r="I102" s="5" t="s">
        <v>68</v>
      </c>
      <c r="J102" s="15">
        <v>41696.178564814814</v>
      </c>
      <c r="K102" t="str">
        <f t="shared" si="1"/>
        <v>02-2014</v>
      </c>
    </row>
    <row r="103" spans="3:11" x14ac:dyDescent="0.25">
      <c r="C103" t="str">
        <f>IF(COUNTBLANK(E103:J103) = 6,"",IF(AND(NOT(ISBLANK(E103)),COUNTBLANK(E103:J103) = 5),"3 Delete",IF(ISBLANK(E103),"2 Add",IF(SHA1Range(E103:J103) = "1cd76ecc49acd4f306134cc912c88cd9b69bd740","0 Original","1 Modify"))))</f>
        <v>0 Original</v>
      </c>
      <c r="D103" s="5" t="s">
        <v>1062</v>
      </c>
      <c r="E103" s="3">
        <v>1117</v>
      </c>
      <c r="F103" s="13">
        <v>41698</v>
      </c>
      <c r="G103" t="s">
        <v>170</v>
      </c>
      <c r="H103" s="9">
        <v>51.94</v>
      </c>
      <c r="I103" s="5" t="s">
        <v>68</v>
      </c>
      <c r="J103" s="15">
        <v>41698.079861111109</v>
      </c>
      <c r="K103" t="str">
        <f t="shared" si="1"/>
        <v>02-2014</v>
      </c>
    </row>
    <row r="104" spans="3:11" x14ac:dyDescent="0.25">
      <c r="C104" t="str">
        <f>IF(COUNTBLANK(E104:J104) = 6,"",IF(AND(NOT(ISBLANK(E104)),COUNTBLANK(E104:J104) = 5),"3 Delete",IF(ISBLANK(E104),"2 Add",IF(SHA1Range(E104:J104) = "df9b2c6951032c2680c99b639c5e37fd925a65d1","0 Original","1 Modify"))))</f>
        <v>0 Original</v>
      </c>
      <c r="D104" s="5" t="s">
        <v>1063</v>
      </c>
      <c r="E104" s="3">
        <v>641</v>
      </c>
      <c r="F104" s="13">
        <v>41698</v>
      </c>
      <c r="G104" t="s">
        <v>354</v>
      </c>
      <c r="H104" s="9">
        <v>45.94</v>
      </c>
      <c r="I104" s="5" t="s">
        <v>68</v>
      </c>
      <c r="J104" s="15">
        <v>41698.301041666666</v>
      </c>
      <c r="K104" t="str">
        <f t="shared" si="1"/>
        <v>02-2014</v>
      </c>
    </row>
    <row r="105" spans="3:11" x14ac:dyDescent="0.25">
      <c r="C105" t="str">
        <f>IF(COUNTBLANK(E105:J105) = 6,"",IF(AND(NOT(ISBLANK(E105)),COUNTBLANK(E105:J105) = 5),"3 Delete",IF(ISBLANK(E105),"2 Add",IF(SHA1Range(E105:J105) = "9bc5cc31bde2abd6b8ae9d09aa285a88fced0e1c","0 Original","1 Modify"))))</f>
        <v>0 Original</v>
      </c>
      <c r="D105" s="5" t="s">
        <v>1064</v>
      </c>
      <c r="E105" s="3">
        <v>158</v>
      </c>
      <c r="F105" s="13">
        <v>41698</v>
      </c>
      <c r="G105" t="s">
        <v>287</v>
      </c>
      <c r="H105" s="9">
        <v>26.95</v>
      </c>
      <c r="I105" s="5" t="s">
        <v>68</v>
      </c>
      <c r="J105" s="15">
        <v>41698.485173611109</v>
      </c>
      <c r="K105" t="str">
        <f t="shared" si="1"/>
        <v>02-2014</v>
      </c>
    </row>
    <row r="106" spans="3:11" x14ac:dyDescent="0.25">
      <c r="C106" t="str">
        <f>IF(COUNTBLANK(E106:J106) = 6,"",IF(AND(NOT(ISBLANK(E106)),COUNTBLANK(E106:J106) = 5),"3 Delete",IF(ISBLANK(E106),"2 Add",IF(SHA1Range(E106:J106) = "5de5d33eca693ea25b221e37a370a8dbd194d728","0 Original","1 Modify"))))</f>
        <v>0 Original</v>
      </c>
      <c r="D106" s="5" t="s">
        <v>1065</v>
      </c>
      <c r="E106" s="3">
        <v>666</v>
      </c>
      <c r="F106" s="13">
        <v>41698</v>
      </c>
      <c r="G106" t="s">
        <v>320</v>
      </c>
      <c r="H106" s="9">
        <v>11.98</v>
      </c>
      <c r="I106" s="5" t="s">
        <v>68</v>
      </c>
      <c r="J106" s="15">
        <v>41698.528020833335</v>
      </c>
      <c r="K106" t="str">
        <f t="shared" si="1"/>
        <v>02-2014</v>
      </c>
    </row>
    <row r="107" spans="3:11" x14ac:dyDescent="0.25">
      <c r="C107" t="str">
        <f>IF(COUNTBLANK(E107:J107) = 6,"",IF(AND(NOT(ISBLANK(E107)),COUNTBLANK(E107:J107) = 5),"3 Delete",IF(ISBLANK(E107),"2 Add",IF(SHA1Range(E107:J107) = "783f54c92eef4ebb867617b9c92a04ea1a966870","0 Original","1 Modify"))))</f>
        <v>0 Original</v>
      </c>
      <c r="D107" s="5" t="s">
        <v>1066</v>
      </c>
      <c r="E107" s="3">
        <v>523</v>
      </c>
      <c r="F107" s="13">
        <v>41698</v>
      </c>
      <c r="G107" t="s">
        <v>329</v>
      </c>
      <c r="H107" s="9">
        <v>62.92</v>
      </c>
      <c r="I107" s="5" t="s">
        <v>68</v>
      </c>
      <c r="J107" s="15">
        <v>41698.574155092596</v>
      </c>
      <c r="K107" t="str">
        <f t="shared" si="1"/>
        <v>02-2014</v>
      </c>
    </row>
    <row r="108" spans="3:11" x14ac:dyDescent="0.25">
      <c r="C108" t="str">
        <f>IF(COUNTBLANK(E108:J108) = 6,"",IF(AND(NOT(ISBLANK(E108)),COUNTBLANK(E108:J108) = 5),"3 Delete",IF(ISBLANK(E108),"2 Add",IF(SHA1Range(E108:J108) = "93fae165673f01b0246ad41831ebaec55c70b2a2","0 Original","1 Modify"))))</f>
        <v>0 Original</v>
      </c>
      <c r="D108" s="5" t="s">
        <v>1067</v>
      </c>
      <c r="E108" s="3">
        <v>353</v>
      </c>
      <c r="F108" s="13">
        <v>41698</v>
      </c>
      <c r="G108" t="s">
        <v>224</v>
      </c>
      <c r="H108" s="9">
        <v>21.97</v>
      </c>
      <c r="I108" s="5" t="s">
        <v>68</v>
      </c>
      <c r="J108" s="15">
        <v>41698.672129629631</v>
      </c>
      <c r="K108" t="str">
        <f t="shared" si="1"/>
        <v>02-2014</v>
      </c>
    </row>
    <row r="109" spans="3:11" x14ac:dyDescent="0.25">
      <c r="C109" t="str">
        <f>IF(COUNTBLANK(E109:J109) = 6,"",IF(AND(NOT(ISBLANK(E109)),COUNTBLANK(E109:J109) = 5),"3 Delete",IF(ISBLANK(E109),"2 Add",IF(SHA1Range(E109:J109) = "20fa3da7e0e2855cdd7a0c7694b6474bad620674","0 Original","1 Modify"))))</f>
        <v>0 Original</v>
      </c>
      <c r="D109" s="5" t="s">
        <v>1068</v>
      </c>
      <c r="E109" s="3">
        <v>907</v>
      </c>
      <c r="F109" s="13">
        <v>41699</v>
      </c>
      <c r="G109" t="s">
        <v>134</v>
      </c>
      <c r="H109" s="9">
        <v>39.94</v>
      </c>
      <c r="I109" s="5" t="s">
        <v>68</v>
      </c>
      <c r="J109" s="15">
        <v>41699.33803240741</v>
      </c>
      <c r="K109" t="str">
        <f t="shared" si="1"/>
        <v>03-2014</v>
      </c>
    </row>
    <row r="110" spans="3:11" x14ac:dyDescent="0.25">
      <c r="C110" t="str">
        <f>IF(COUNTBLANK(E110:J110) = 6,"",IF(AND(NOT(ISBLANK(E110)),COUNTBLANK(E110:J110) = 5),"3 Delete",IF(ISBLANK(E110),"2 Add",IF(SHA1Range(E110:J110) = "f08b27f0077ce37f049ce8defc6ef2a45d5bd0dc","0 Original","1 Modify"))))</f>
        <v>0 Original</v>
      </c>
      <c r="D110" s="5" t="s">
        <v>1069</v>
      </c>
      <c r="E110" s="3">
        <v>66</v>
      </c>
      <c r="F110" s="13">
        <v>41702</v>
      </c>
      <c r="G110" t="s">
        <v>257</v>
      </c>
      <c r="H110" s="9">
        <v>41.95</v>
      </c>
      <c r="I110" s="5" t="s">
        <v>68</v>
      </c>
      <c r="J110" s="15">
        <v>41702.374247685184</v>
      </c>
      <c r="K110" t="str">
        <f t="shared" si="1"/>
        <v>03-2014</v>
      </c>
    </row>
    <row r="111" spans="3:11" x14ac:dyDescent="0.25">
      <c r="C111" t="str">
        <f>IF(COUNTBLANK(E111:J111) = 6,"",IF(AND(NOT(ISBLANK(E111)),COUNTBLANK(E111:J111) = 5),"3 Delete",IF(ISBLANK(E111),"2 Add",IF(SHA1Range(E111:J111) = "46c82f3dc9cf8c4a6d170b7b34b45a781f77388c","0 Original","1 Modify"))))</f>
        <v>0 Original</v>
      </c>
      <c r="D111" s="5" t="s">
        <v>1070</v>
      </c>
      <c r="E111" s="3">
        <v>1195</v>
      </c>
      <c r="F111" s="13">
        <v>41703</v>
      </c>
      <c r="G111" t="s">
        <v>242</v>
      </c>
      <c r="H111" s="9">
        <v>9.98</v>
      </c>
      <c r="I111" s="5" t="s">
        <v>68</v>
      </c>
      <c r="J111" s="15">
        <v>41703.113067129627</v>
      </c>
      <c r="K111" t="str">
        <f t="shared" si="1"/>
        <v>03-2014</v>
      </c>
    </row>
    <row r="112" spans="3:11" x14ac:dyDescent="0.25">
      <c r="C112" t="str">
        <f>IF(COUNTBLANK(E112:J112) = 6,"",IF(AND(NOT(ISBLANK(E112)),COUNTBLANK(E112:J112) = 5),"3 Delete",IF(ISBLANK(E112),"2 Add",IF(SHA1Range(E112:J112) = "6ee2b9c5ded9e55846b4e4f306d1b3bd8a780d33","0 Original","1 Modify"))))</f>
        <v>0 Original</v>
      </c>
      <c r="D112" s="5" t="s">
        <v>1071</v>
      </c>
      <c r="E112" s="3">
        <v>40</v>
      </c>
      <c r="F112" s="13">
        <v>41703</v>
      </c>
      <c r="G112" t="s">
        <v>320</v>
      </c>
      <c r="H112" s="9">
        <v>53.93</v>
      </c>
      <c r="I112" s="5" t="s">
        <v>68</v>
      </c>
      <c r="J112" s="15">
        <v>41703.663472222222</v>
      </c>
      <c r="K112" t="str">
        <f t="shared" si="1"/>
        <v>03-2014</v>
      </c>
    </row>
    <row r="113" spans="3:11" x14ac:dyDescent="0.25">
      <c r="C113" t="str">
        <f>IF(COUNTBLANK(E113:J113) = 6,"",IF(AND(NOT(ISBLANK(E113)),COUNTBLANK(E113:J113) = 5),"3 Delete",IF(ISBLANK(E113),"2 Add",IF(SHA1Range(E113:J113) = "023fceb4825af7cab919e47f2387369e6614f9af","0 Original","1 Modify"))))</f>
        <v>0 Original</v>
      </c>
      <c r="D113" s="5" t="s">
        <v>1072</v>
      </c>
      <c r="E113" s="3">
        <v>913</v>
      </c>
      <c r="F113" s="13">
        <v>41707</v>
      </c>
      <c r="G113" t="s">
        <v>326</v>
      </c>
      <c r="H113" s="9">
        <v>16.98</v>
      </c>
      <c r="I113" s="5" t="s">
        <v>68</v>
      </c>
      <c r="J113" s="15">
        <v>41707.917546296296</v>
      </c>
      <c r="K113" t="str">
        <f t="shared" si="1"/>
        <v>03-2014</v>
      </c>
    </row>
    <row r="114" spans="3:11" x14ac:dyDescent="0.25">
      <c r="C114" t="str">
        <f>IF(COUNTBLANK(E114:J114) = 6,"",IF(AND(NOT(ISBLANK(E114)),COUNTBLANK(E114:J114) = 5),"3 Delete",IF(ISBLANK(E114),"2 Add",IF(SHA1Range(E114:J114) = "68a836da889eb89b0344bd47c52acab062158668","0 Original","1 Modify"))))</f>
        <v>0 Original</v>
      </c>
      <c r="D114" s="5" t="s">
        <v>1073</v>
      </c>
      <c r="E114" s="3">
        <v>870</v>
      </c>
      <c r="F114" s="13">
        <v>41707</v>
      </c>
      <c r="G114" t="s">
        <v>221</v>
      </c>
      <c r="H114" s="9">
        <v>33.950000000000003</v>
      </c>
      <c r="I114" s="5" t="s">
        <v>68</v>
      </c>
      <c r="J114" s="15">
        <v>41707.938715277778</v>
      </c>
      <c r="K114" t="str">
        <f t="shared" si="1"/>
        <v>03-2014</v>
      </c>
    </row>
    <row r="115" spans="3:11" x14ac:dyDescent="0.25">
      <c r="C115" t="str">
        <f>IF(COUNTBLANK(E115:J115) = 6,"",IF(AND(NOT(ISBLANK(E115)),COUNTBLANK(E115:J115) = 5),"3 Delete",IF(ISBLANK(E115),"2 Add",IF(SHA1Range(E115:J115) = "99d2cbe5f0911b0861c7e75918912a9ffa116a39","0 Original","1 Modify"))))</f>
        <v>0 Original</v>
      </c>
      <c r="D115" s="5" t="s">
        <v>1074</v>
      </c>
      <c r="E115" s="3">
        <v>529</v>
      </c>
      <c r="F115" s="13">
        <v>41709</v>
      </c>
      <c r="G115" t="s">
        <v>245</v>
      </c>
      <c r="H115" s="9">
        <v>22.97</v>
      </c>
      <c r="I115" s="5" t="s">
        <v>68</v>
      </c>
      <c r="J115" s="15">
        <v>41709.208703703705</v>
      </c>
      <c r="K115" t="str">
        <f t="shared" si="1"/>
        <v>03-2014</v>
      </c>
    </row>
    <row r="116" spans="3:11" x14ac:dyDescent="0.25">
      <c r="C116" t="str">
        <f>IF(COUNTBLANK(E116:J116) = 6,"",IF(AND(NOT(ISBLANK(E116)),COUNTBLANK(E116:J116) = 5),"3 Delete",IF(ISBLANK(E116),"2 Add",IF(SHA1Range(E116:J116) = "e5c9e9b3f6258cdc4ef50119d539c3716c203d33","0 Original","1 Modify"))))</f>
        <v>0 Original</v>
      </c>
      <c r="D116" s="5" t="s">
        <v>1075</v>
      </c>
      <c r="E116" s="3">
        <v>970</v>
      </c>
      <c r="F116" s="13">
        <v>41709</v>
      </c>
      <c r="G116" t="s">
        <v>170</v>
      </c>
      <c r="H116" s="9">
        <v>46.94</v>
      </c>
      <c r="I116" s="5" t="s">
        <v>68</v>
      </c>
      <c r="J116" s="15">
        <v>41709.576377314814</v>
      </c>
      <c r="K116" t="str">
        <f t="shared" si="1"/>
        <v>03-2014</v>
      </c>
    </row>
    <row r="117" spans="3:11" x14ac:dyDescent="0.25">
      <c r="C117" t="str">
        <f>IF(COUNTBLANK(E117:J117) = 6,"",IF(AND(NOT(ISBLANK(E117)),COUNTBLANK(E117:J117) = 5),"3 Delete",IF(ISBLANK(E117),"2 Add",IF(SHA1Range(E117:J117) = "ec6c22975e91b9b8a9f6cb486b00c45d69750578","0 Original","1 Modify"))))</f>
        <v>0 Original</v>
      </c>
      <c r="D117" s="5" t="s">
        <v>1076</v>
      </c>
      <c r="E117" s="3">
        <v>386</v>
      </c>
      <c r="F117" s="13">
        <v>41711</v>
      </c>
      <c r="G117" t="s">
        <v>215</v>
      </c>
      <c r="H117" s="9">
        <v>54.93</v>
      </c>
      <c r="I117" s="5" t="s">
        <v>68</v>
      </c>
      <c r="J117" s="15">
        <v>41711.109282407408</v>
      </c>
      <c r="K117" t="str">
        <f t="shared" si="1"/>
        <v>03-2014</v>
      </c>
    </row>
    <row r="118" spans="3:11" x14ac:dyDescent="0.25">
      <c r="C118" t="str">
        <f>IF(COUNTBLANK(E118:J118) = 6,"",IF(AND(NOT(ISBLANK(E118)),COUNTBLANK(E118:J118) = 5),"3 Delete",IF(ISBLANK(E118),"2 Add",IF(SHA1Range(E118:J118) = "dac16bd9f9c3ae6a1deefaabdb71adfb307c2e11","0 Original","1 Modify"))))</f>
        <v>0 Original</v>
      </c>
      <c r="D118" s="5" t="s">
        <v>1077</v>
      </c>
      <c r="E118" s="3">
        <v>88</v>
      </c>
      <c r="F118" s="13">
        <v>41711</v>
      </c>
      <c r="G118" t="s">
        <v>353</v>
      </c>
      <c r="H118" s="9">
        <v>14.97</v>
      </c>
      <c r="I118" s="5" t="s">
        <v>68</v>
      </c>
      <c r="J118" s="15">
        <v>41711.893645833334</v>
      </c>
      <c r="K118" t="str">
        <f t="shared" si="1"/>
        <v>03-2014</v>
      </c>
    </row>
    <row r="119" spans="3:11" x14ac:dyDescent="0.25">
      <c r="C119" t="str">
        <f>IF(COUNTBLANK(E119:J119) = 6,"",IF(AND(NOT(ISBLANK(E119)),COUNTBLANK(E119:J119) = 5),"3 Delete",IF(ISBLANK(E119),"2 Add",IF(SHA1Range(E119:J119) = "81281caa451ac9dc68f8fd9d29ece05c7306f647","0 Original","1 Modify"))))</f>
        <v>0 Original</v>
      </c>
      <c r="D119" s="5" t="s">
        <v>1078</v>
      </c>
      <c r="E119" s="3">
        <v>927</v>
      </c>
      <c r="F119" s="13">
        <v>41712</v>
      </c>
      <c r="G119" t="s">
        <v>134</v>
      </c>
      <c r="H119" s="9">
        <v>73.91</v>
      </c>
      <c r="I119" s="5" t="s">
        <v>68</v>
      </c>
      <c r="J119" s="15">
        <v>41712.240081018521</v>
      </c>
      <c r="K119" t="str">
        <f t="shared" si="1"/>
        <v>03-2014</v>
      </c>
    </row>
    <row r="120" spans="3:11" x14ac:dyDescent="0.25">
      <c r="C120" t="str">
        <f>IF(COUNTBLANK(E120:J120) = 6,"",IF(AND(NOT(ISBLANK(E120)),COUNTBLANK(E120:J120) = 5),"3 Delete",IF(ISBLANK(E120),"2 Add",IF(SHA1Range(E120:J120) = "8a272d16541df03065a17867b3a0c0cee9671fc7","0 Original","1 Modify"))))</f>
        <v>0 Original</v>
      </c>
      <c r="D120" s="5" t="s">
        <v>1079</v>
      </c>
      <c r="E120" s="3">
        <v>77</v>
      </c>
      <c r="F120" s="13">
        <v>41713</v>
      </c>
      <c r="G120" t="s">
        <v>347</v>
      </c>
      <c r="H120" s="9">
        <v>20.96</v>
      </c>
      <c r="I120" s="5" t="s">
        <v>68</v>
      </c>
      <c r="J120" s="15">
        <v>41713.349050925928</v>
      </c>
      <c r="K120" t="str">
        <f t="shared" si="1"/>
        <v>03-2014</v>
      </c>
    </row>
    <row r="121" spans="3:11" x14ac:dyDescent="0.25">
      <c r="C121" t="str">
        <f>IF(COUNTBLANK(E121:J121) = 6,"",IF(AND(NOT(ISBLANK(E121)),COUNTBLANK(E121:J121) = 5),"3 Delete",IF(ISBLANK(E121),"2 Add",IF(SHA1Range(E121:J121) = "8dd447354fbe9c7f0dba5c20297c904ece62a583","0 Original","1 Modify"))))</f>
        <v>0 Original</v>
      </c>
      <c r="D121" s="5" t="s">
        <v>1080</v>
      </c>
      <c r="E121" s="3">
        <v>957</v>
      </c>
      <c r="F121" s="13">
        <v>41713</v>
      </c>
      <c r="G121" t="s">
        <v>302</v>
      </c>
      <c r="H121" s="9">
        <v>53.93</v>
      </c>
      <c r="I121" s="5" t="s">
        <v>68</v>
      </c>
      <c r="J121" s="15">
        <v>41713.628668981481</v>
      </c>
      <c r="K121" t="str">
        <f t="shared" si="1"/>
        <v>03-2014</v>
      </c>
    </row>
    <row r="122" spans="3:11" x14ac:dyDescent="0.25">
      <c r="C122" t="str">
        <f>IF(COUNTBLANK(E122:J122) = 6,"",IF(AND(NOT(ISBLANK(E122)),COUNTBLANK(E122:J122) = 5),"3 Delete",IF(ISBLANK(E122),"2 Add",IF(SHA1Range(E122:J122) = "ff747ef6128810cf6200ad3f1719acdd57d8b71d","0 Original","1 Modify"))))</f>
        <v>0 Original</v>
      </c>
      <c r="D122" s="5" t="s">
        <v>1081</v>
      </c>
      <c r="E122" s="3">
        <v>540</v>
      </c>
      <c r="F122" s="13">
        <v>41714</v>
      </c>
      <c r="G122" t="s">
        <v>89</v>
      </c>
      <c r="H122" s="9">
        <v>70.91</v>
      </c>
      <c r="I122" s="5" t="s">
        <v>68</v>
      </c>
      <c r="J122" s="15">
        <v>41714.717326388891</v>
      </c>
      <c r="K122" t="str">
        <f t="shared" si="1"/>
        <v>03-2014</v>
      </c>
    </row>
    <row r="123" spans="3:11" x14ac:dyDescent="0.25">
      <c r="C123" t="str">
        <f>IF(COUNTBLANK(E123:J123) = 6,"",IF(AND(NOT(ISBLANK(E123)),COUNTBLANK(E123:J123) = 5),"3 Delete",IF(ISBLANK(E123),"2 Add",IF(SHA1Range(E123:J123) = "14f54933076cd0260d8e67e813549659789f30d0","0 Original","1 Modify"))))</f>
        <v>0 Original</v>
      </c>
      <c r="D123" s="5" t="s">
        <v>1082</v>
      </c>
      <c r="E123" s="3">
        <v>141</v>
      </c>
      <c r="F123" s="13">
        <v>41714</v>
      </c>
      <c r="G123" t="s">
        <v>113</v>
      </c>
      <c r="H123" s="9">
        <v>53.92</v>
      </c>
      <c r="I123" s="5" t="s">
        <v>68</v>
      </c>
      <c r="J123" s="15">
        <v>41714.723761574074</v>
      </c>
      <c r="K123" t="str">
        <f t="shared" si="1"/>
        <v>03-2014</v>
      </c>
    </row>
    <row r="124" spans="3:11" x14ac:dyDescent="0.25">
      <c r="C124" t="str">
        <f>IF(COUNTBLANK(E124:J124) = 6,"",IF(AND(NOT(ISBLANK(E124)),COUNTBLANK(E124:J124) = 5),"3 Delete",IF(ISBLANK(E124),"2 Add",IF(SHA1Range(E124:J124) = "e3a1b203d9e9edca7f797e1018c23dff856b2dc1","0 Original","1 Modify"))))</f>
        <v>0 Original</v>
      </c>
      <c r="D124" s="5" t="s">
        <v>1083</v>
      </c>
      <c r="E124" s="3">
        <v>782</v>
      </c>
      <c r="F124" s="13">
        <v>41716</v>
      </c>
      <c r="G124" t="s">
        <v>242</v>
      </c>
      <c r="H124" s="9">
        <v>9.98</v>
      </c>
      <c r="I124" s="5" t="s">
        <v>68</v>
      </c>
      <c r="J124" s="15">
        <v>41716.579965277779</v>
      </c>
      <c r="K124" t="str">
        <f t="shared" si="1"/>
        <v>03-2014</v>
      </c>
    </row>
    <row r="125" spans="3:11" x14ac:dyDescent="0.25">
      <c r="C125" t="str">
        <f>IF(COUNTBLANK(E125:J125) = 6,"",IF(AND(NOT(ISBLANK(E125)),COUNTBLANK(E125:J125) = 5),"3 Delete",IF(ISBLANK(E125),"2 Add",IF(SHA1Range(E125:J125) = "56f01dc621750fd5ea0ad43ff8514e0f60f539da","0 Original","1 Modify"))))</f>
        <v>0 Original</v>
      </c>
      <c r="D125" s="5" t="s">
        <v>1084</v>
      </c>
      <c r="E125" s="3">
        <v>783</v>
      </c>
      <c r="F125" s="13">
        <v>41716</v>
      </c>
      <c r="G125" t="s">
        <v>98</v>
      </c>
      <c r="H125" s="9">
        <v>12.98</v>
      </c>
      <c r="I125" s="5" t="s">
        <v>68</v>
      </c>
      <c r="J125" s="15">
        <v>41716.642812500002</v>
      </c>
      <c r="K125" t="str">
        <f t="shared" si="1"/>
        <v>03-2014</v>
      </c>
    </row>
    <row r="126" spans="3:11" x14ac:dyDescent="0.25">
      <c r="C126" t="str">
        <f>IF(COUNTBLANK(E126:J126) = 6,"",IF(AND(NOT(ISBLANK(E126)),COUNTBLANK(E126:J126) = 5),"3 Delete",IF(ISBLANK(E126),"2 Add",IF(SHA1Range(E126:J126) = "51d5031db74fe914d1cbced088ae60b33dc1edd2","0 Original","1 Modify"))))</f>
        <v>0 Original</v>
      </c>
      <c r="D126" s="5" t="s">
        <v>1085</v>
      </c>
      <c r="E126" s="3">
        <v>709</v>
      </c>
      <c r="F126" s="13">
        <v>41716</v>
      </c>
      <c r="G126" t="s">
        <v>326</v>
      </c>
      <c r="H126" s="9">
        <v>32.96</v>
      </c>
      <c r="I126" s="5" t="s">
        <v>68</v>
      </c>
      <c r="J126" s="15">
        <v>41716.793969907405</v>
      </c>
      <c r="K126" t="str">
        <f t="shared" si="1"/>
        <v>03-2014</v>
      </c>
    </row>
    <row r="127" spans="3:11" x14ac:dyDescent="0.25">
      <c r="C127" t="str">
        <f>IF(COUNTBLANK(E127:J127) = 6,"",IF(AND(NOT(ISBLANK(E127)),COUNTBLANK(E127:J127) = 5),"3 Delete",IF(ISBLANK(E127),"2 Add",IF(SHA1Range(E127:J127) = "9526fc79ba11be599a0746c67bac8752ddff9436","0 Original","1 Modify"))))</f>
        <v>0 Original</v>
      </c>
      <c r="D127" s="5" t="s">
        <v>1086</v>
      </c>
      <c r="E127" s="3">
        <v>27</v>
      </c>
      <c r="F127" s="13">
        <v>41716</v>
      </c>
      <c r="G127" t="s">
        <v>293</v>
      </c>
      <c r="H127" s="9">
        <v>73.900000000000006</v>
      </c>
      <c r="I127" s="5" t="s">
        <v>68</v>
      </c>
      <c r="J127" s="15">
        <v>41716.963495370372</v>
      </c>
      <c r="K127" t="str">
        <f t="shared" si="1"/>
        <v>03-2014</v>
      </c>
    </row>
    <row r="128" spans="3:11" x14ac:dyDescent="0.25">
      <c r="C128" t="str">
        <f>IF(COUNTBLANK(E128:J128) = 6,"",IF(AND(NOT(ISBLANK(E128)),COUNTBLANK(E128:J128) = 5),"3 Delete",IF(ISBLANK(E128),"2 Add",IF(SHA1Range(E128:J128) = "fc7babf7dba46e2a461381daca41b59ef8d87192","0 Original","1 Modify"))))</f>
        <v>0 Original</v>
      </c>
      <c r="D128" s="5" t="s">
        <v>1087</v>
      </c>
      <c r="E128" s="3">
        <v>221</v>
      </c>
      <c r="F128" s="13">
        <v>41717</v>
      </c>
      <c r="G128" t="s">
        <v>275</v>
      </c>
      <c r="H128" s="9">
        <v>84.9</v>
      </c>
      <c r="I128" s="5" t="s">
        <v>68</v>
      </c>
      <c r="J128" s="15">
        <v>41717.796979166669</v>
      </c>
      <c r="K128" t="str">
        <f t="shared" si="1"/>
        <v>03-2014</v>
      </c>
    </row>
    <row r="129" spans="3:11" x14ac:dyDescent="0.25">
      <c r="C129" t="str">
        <f>IF(COUNTBLANK(E129:J129) = 6,"",IF(AND(NOT(ISBLANK(E129)),COUNTBLANK(E129:J129) = 5),"3 Delete",IF(ISBLANK(E129),"2 Add",IF(SHA1Range(E129:J129) = "313280c409ad4c2adf5397226e34af528bf77e4e","0 Original","1 Modify"))))</f>
        <v>0 Original</v>
      </c>
      <c r="D129" s="5" t="s">
        <v>1088</v>
      </c>
      <c r="E129" s="3">
        <v>664</v>
      </c>
      <c r="F129" s="13">
        <v>41717</v>
      </c>
      <c r="G129" t="s">
        <v>308</v>
      </c>
      <c r="H129" s="9">
        <v>53.94</v>
      </c>
      <c r="I129" s="5" t="s">
        <v>68</v>
      </c>
      <c r="J129" s="15">
        <v>41717.899317129632</v>
      </c>
      <c r="K129" t="str">
        <f t="shared" si="1"/>
        <v>03-2014</v>
      </c>
    </row>
    <row r="130" spans="3:11" x14ac:dyDescent="0.25">
      <c r="C130" t="str">
        <f>IF(COUNTBLANK(E130:J130) = 6,"",IF(AND(NOT(ISBLANK(E130)),COUNTBLANK(E130:J130) = 5),"3 Delete",IF(ISBLANK(E130),"2 Add",IF(SHA1Range(E130:J130) = "0f781362e0de351cb445edda2d6c4525d8970703","0 Original","1 Modify"))))</f>
        <v>0 Original</v>
      </c>
      <c r="D130" s="5" t="s">
        <v>1089</v>
      </c>
      <c r="E130" s="3">
        <v>1162</v>
      </c>
      <c r="F130" s="13">
        <v>41718</v>
      </c>
      <c r="G130" t="s">
        <v>242</v>
      </c>
      <c r="H130" s="9">
        <v>21.97</v>
      </c>
      <c r="I130" s="5" t="s">
        <v>68</v>
      </c>
      <c r="J130" s="15">
        <v>41718.761087962965</v>
      </c>
      <c r="K130" t="str">
        <f t="shared" si="1"/>
        <v>03-2014</v>
      </c>
    </row>
    <row r="131" spans="3:11" x14ac:dyDescent="0.25">
      <c r="C131" t="str">
        <f>IF(COUNTBLANK(E131:J131) = 6,"",IF(AND(NOT(ISBLANK(E131)),COUNTBLANK(E131:J131) = 5),"3 Delete",IF(ISBLANK(E131),"2 Add",IF(SHA1Range(E131:J131) = "ecbb6897d47a8117eb7964946723f19b8ea5de29","0 Original","1 Modify"))))</f>
        <v>0 Original</v>
      </c>
      <c r="D131" s="5" t="s">
        <v>1090</v>
      </c>
      <c r="E131" s="3">
        <v>414</v>
      </c>
      <c r="F131" s="13">
        <v>41718</v>
      </c>
      <c r="G131" t="s">
        <v>281</v>
      </c>
      <c r="H131" s="9">
        <v>60.92</v>
      </c>
      <c r="I131" s="5" t="s">
        <v>68</v>
      </c>
      <c r="J131" s="15">
        <v>41718.840798611112</v>
      </c>
      <c r="K131" t="str">
        <f t="shared" ref="K131:K194" si="2">TEXT(F131,"mm-yyyy")</f>
        <v>03-2014</v>
      </c>
    </row>
    <row r="132" spans="3:11" x14ac:dyDescent="0.25">
      <c r="C132" t="str">
        <f>IF(COUNTBLANK(E132:J132) = 6,"",IF(AND(NOT(ISBLANK(E132)),COUNTBLANK(E132:J132) = 5),"3 Delete",IF(ISBLANK(E132),"2 Add",IF(SHA1Range(E132:J132) = "d9e8f45aace76c8456f784b9e60eb3795023d83b","0 Original","1 Modify"))))</f>
        <v>0 Original</v>
      </c>
      <c r="D132" s="5" t="s">
        <v>1091</v>
      </c>
      <c r="E132" s="3">
        <v>451</v>
      </c>
      <c r="F132" s="13">
        <v>41719</v>
      </c>
      <c r="G132" t="s">
        <v>317</v>
      </c>
      <c r="H132" s="9">
        <v>36.96</v>
      </c>
      <c r="I132" s="5" t="s">
        <v>68</v>
      </c>
      <c r="J132" s="15">
        <v>41719.213738425926</v>
      </c>
      <c r="K132" t="str">
        <f t="shared" si="2"/>
        <v>03-2014</v>
      </c>
    </row>
    <row r="133" spans="3:11" x14ac:dyDescent="0.25">
      <c r="C133" t="str">
        <f>IF(COUNTBLANK(E133:J133) = 6,"",IF(AND(NOT(ISBLANK(E133)),COUNTBLANK(E133:J133) = 5),"3 Delete",IF(ISBLANK(E133),"2 Add",IF(SHA1Range(E133:J133) = "97109ed0d2e5fec10f7b5ac2ff149554404a9c29","0 Original","1 Modify"))))</f>
        <v>0 Original</v>
      </c>
      <c r="D133" s="5" t="s">
        <v>1092</v>
      </c>
      <c r="E133" s="3">
        <v>199</v>
      </c>
      <c r="F133" s="13">
        <v>41719</v>
      </c>
      <c r="G133" t="s">
        <v>131</v>
      </c>
      <c r="H133" s="9">
        <v>20.97</v>
      </c>
      <c r="I133" s="5" t="s">
        <v>68</v>
      </c>
      <c r="J133" s="15">
        <v>41719.289270833331</v>
      </c>
      <c r="K133" t="str">
        <f t="shared" si="2"/>
        <v>03-2014</v>
      </c>
    </row>
    <row r="134" spans="3:11" x14ac:dyDescent="0.25">
      <c r="C134" t="str">
        <f>IF(COUNTBLANK(E134:J134) = 6,"",IF(AND(NOT(ISBLANK(E134)),COUNTBLANK(E134:J134) = 5),"3 Delete",IF(ISBLANK(E134),"2 Add",IF(SHA1Range(E134:J134) = "07395dabb9729776be90ffbfaceed986d964d355","0 Original","1 Modify"))))</f>
        <v>0 Original</v>
      </c>
      <c r="D134" s="5" t="s">
        <v>1093</v>
      </c>
      <c r="E134" s="3">
        <v>201</v>
      </c>
      <c r="F134" s="13">
        <v>41721</v>
      </c>
      <c r="G134" t="s">
        <v>224</v>
      </c>
      <c r="H134" s="9">
        <v>19.98</v>
      </c>
      <c r="I134" s="5" t="s">
        <v>68</v>
      </c>
      <c r="J134" s="15">
        <v>41721.081458333334</v>
      </c>
      <c r="K134" t="str">
        <f t="shared" si="2"/>
        <v>03-2014</v>
      </c>
    </row>
    <row r="135" spans="3:11" x14ac:dyDescent="0.25">
      <c r="C135" t="str">
        <f>IF(COUNTBLANK(E135:J135) = 6,"",IF(AND(NOT(ISBLANK(E135)),COUNTBLANK(E135:J135) = 5),"3 Delete",IF(ISBLANK(E135),"2 Add",IF(SHA1Range(E135:J135) = "f6b6502aa726bef55fc75697f83488a4e3b03ce4","0 Original","1 Modify"))))</f>
        <v>0 Original</v>
      </c>
      <c r="D135" s="5" t="s">
        <v>1094</v>
      </c>
      <c r="E135" s="3">
        <v>306</v>
      </c>
      <c r="F135" s="13">
        <v>41721</v>
      </c>
      <c r="G135" t="s">
        <v>65</v>
      </c>
      <c r="H135" s="9">
        <v>33.96</v>
      </c>
      <c r="I135" s="5" t="s">
        <v>68</v>
      </c>
      <c r="J135" s="15">
        <v>41721.493148148147</v>
      </c>
      <c r="K135" t="str">
        <f t="shared" si="2"/>
        <v>03-2014</v>
      </c>
    </row>
    <row r="136" spans="3:11" x14ac:dyDescent="0.25">
      <c r="C136" t="str">
        <f>IF(COUNTBLANK(E136:J136) = 6,"",IF(AND(NOT(ISBLANK(E136)),COUNTBLANK(E136:J136) = 5),"3 Delete",IF(ISBLANK(E136),"2 Add",IF(SHA1Range(E136:J136) = "e3521c23c9a17e7f3921d686307d2ff6b48625d0","0 Original","1 Modify"))))</f>
        <v>0 Original</v>
      </c>
      <c r="D136" s="5" t="s">
        <v>1095</v>
      </c>
      <c r="E136" s="3">
        <v>833</v>
      </c>
      <c r="F136" s="13">
        <v>41721</v>
      </c>
      <c r="G136" t="s">
        <v>170</v>
      </c>
      <c r="H136" s="9">
        <v>58.92</v>
      </c>
      <c r="I136" s="5" t="s">
        <v>68</v>
      </c>
      <c r="J136" s="15">
        <v>41721.610613425924</v>
      </c>
      <c r="K136" t="str">
        <f t="shared" si="2"/>
        <v>03-2014</v>
      </c>
    </row>
    <row r="137" spans="3:11" x14ac:dyDescent="0.25">
      <c r="C137" t="str">
        <f>IF(COUNTBLANK(E137:J137) = 6,"",IF(AND(NOT(ISBLANK(E137)),COUNTBLANK(E137:J137) = 5),"3 Delete",IF(ISBLANK(E137),"2 Add",IF(SHA1Range(E137:J137) = "f760a2d8406ef889e33173b021532d027c6ed991","0 Original","1 Modify"))))</f>
        <v>0 Original</v>
      </c>
      <c r="D137" s="5" t="s">
        <v>1096</v>
      </c>
      <c r="E137" s="3">
        <v>749</v>
      </c>
      <c r="F137" s="13">
        <v>41722</v>
      </c>
      <c r="G137" t="s">
        <v>260</v>
      </c>
      <c r="H137" s="9">
        <v>49.95</v>
      </c>
      <c r="I137" s="5" t="s">
        <v>68</v>
      </c>
      <c r="J137" s="15">
        <v>41722.604594907411</v>
      </c>
      <c r="K137" t="str">
        <f t="shared" si="2"/>
        <v>03-2014</v>
      </c>
    </row>
    <row r="138" spans="3:11" x14ac:dyDescent="0.25">
      <c r="C138" t="str">
        <f>IF(COUNTBLANK(E138:J138) = 6,"",IF(AND(NOT(ISBLANK(E138)),COUNTBLANK(E138:J138) = 5),"3 Delete",IF(ISBLANK(E138),"2 Add",IF(SHA1Range(E138:J138) = "d3a6c9a79a54052e13d0c40bb298604dd05f36ee","0 Original","1 Modify"))))</f>
        <v>0 Original</v>
      </c>
      <c r="D138" s="5" t="s">
        <v>1097</v>
      </c>
      <c r="E138" s="3">
        <v>420</v>
      </c>
      <c r="F138" s="13">
        <v>41722</v>
      </c>
      <c r="G138" t="s">
        <v>137</v>
      </c>
      <c r="H138" s="9">
        <v>40.94</v>
      </c>
      <c r="I138" s="5" t="s">
        <v>68</v>
      </c>
      <c r="J138" s="15">
        <v>41722.708437499998</v>
      </c>
      <c r="K138" t="str">
        <f t="shared" si="2"/>
        <v>03-2014</v>
      </c>
    </row>
    <row r="139" spans="3:11" x14ac:dyDescent="0.25">
      <c r="C139" t="str">
        <f>IF(COUNTBLANK(E139:J139) = 6,"",IF(AND(NOT(ISBLANK(E139)),COUNTBLANK(E139:J139) = 5),"3 Delete",IF(ISBLANK(E139),"2 Add",IF(SHA1Range(E139:J139) = "b848ca022ee7f41c72758db6ddedb71fd7f2ac84","0 Original","1 Modify"))))</f>
        <v>0 Original</v>
      </c>
      <c r="D139" s="5" t="s">
        <v>1098</v>
      </c>
      <c r="E139" s="3">
        <v>412</v>
      </c>
      <c r="F139" s="13">
        <v>41722</v>
      </c>
      <c r="G139" t="s">
        <v>354</v>
      </c>
      <c r="H139" s="9">
        <v>55.92</v>
      </c>
      <c r="I139" s="5" t="s">
        <v>68</v>
      </c>
      <c r="J139" s="15">
        <v>41722.910428240742</v>
      </c>
      <c r="K139" t="str">
        <f t="shared" si="2"/>
        <v>03-2014</v>
      </c>
    </row>
    <row r="140" spans="3:11" x14ac:dyDescent="0.25">
      <c r="C140" t="str">
        <f>IF(COUNTBLANK(E140:J140) = 6,"",IF(AND(NOT(ISBLANK(E140)),COUNTBLANK(E140:J140) = 5),"3 Delete",IF(ISBLANK(E140),"2 Add",IF(SHA1Range(E140:J140) = "efdbb0960711f882d08509e5e834bd8addbdeda8","0 Original","1 Modify"))))</f>
        <v>0 Original</v>
      </c>
      <c r="D140" s="5" t="s">
        <v>1099</v>
      </c>
      <c r="E140" s="3">
        <v>987</v>
      </c>
      <c r="F140" s="13">
        <v>41722</v>
      </c>
      <c r="G140" t="s">
        <v>326</v>
      </c>
      <c r="H140" s="9">
        <v>19.98</v>
      </c>
      <c r="I140" s="5" t="s">
        <v>68</v>
      </c>
      <c r="J140" s="15">
        <v>41722.938530092593</v>
      </c>
      <c r="K140" t="str">
        <f t="shared" si="2"/>
        <v>03-2014</v>
      </c>
    </row>
    <row r="141" spans="3:11" x14ac:dyDescent="0.25">
      <c r="C141" t="str">
        <f>IF(COUNTBLANK(E141:J141) = 6,"",IF(AND(NOT(ISBLANK(E141)),COUNTBLANK(E141:J141) = 5),"3 Delete",IF(ISBLANK(E141),"2 Add",IF(SHA1Range(E141:J141) = "f7aed639cce991fe5dad20097605c5c70053fee3","0 Original","1 Modify"))))</f>
        <v>0 Original</v>
      </c>
      <c r="D141" s="5" t="s">
        <v>1100</v>
      </c>
      <c r="E141" s="3">
        <v>1006</v>
      </c>
      <c r="F141" s="13">
        <v>41723</v>
      </c>
      <c r="G141" t="s">
        <v>242</v>
      </c>
      <c r="H141" s="9">
        <v>61.92</v>
      </c>
      <c r="I141" s="5" t="s">
        <v>68</v>
      </c>
      <c r="J141" s="15">
        <v>41723.558888888889</v>
      </c>
      <c r="K141" t="str">
        <f t="shared" si="2"/>
        <v>03-2014</v>
      </c>
    </row>
    <row r="142" spans="3:11" x14ac:dyDescent="0.25">
      <c r="C142" t="str">
        <f>IF(COUNTBLANK(E142:J142) = 6,"",IF(AND(NOT(ISBLANK(E142)),COUNTBLANK(E142:J142) = 5),"3 Delete",IF(ISBLANK(E142),"2 Add",IF(SHA1Range(E142:J142) = "07c0c7d1dd71fd85c3543d696efaed34b22ba797","0 Original","1 Modify"))))</f>
        <v>0 Original</v>
      </c>
      <c r="D142" s="5" t="s">
        <v>1101</v>
      </c>
      <c r="E142" s="3">
        <v>365</v>
      </c>
      <c r="F142" s="13">
        <v>41724</v>
      </c>
      <c r="G142" t="s">
        <v>125</v>
      </c>
      <c r="H142" s="9">
        <v>11.98</v>
      </c>
      <c r="I142" s="5" t="s">
        <v>68</v>
      </c>
      <c r="J142" s="15">
        <v>41724.641111111108</v>
      </c>
      <c r="K142" t="str">
        <f t="shared" si="2"/>
        <v>03-2014</v>
      </c>
    </row>
    <row r="143" spans="3:11" x14ac:dyDescent="0.25">
      <c r="C143" t="str">
        <f>IF(COUNTBLANK(E143:J143) = 6,"",IF(AND(NOT(ISBLANK(E143)),COUNTBLANK(E143:J143) = 5),"3 Delete",IF(ISBLANK(E143),"2 Add",IF(SHA1Range(E143:J143) = "f33ae6668a64e87c10b37f47e4caea3f98098712","0 Original","1 Modify"))))</f>
        <v>0 Original</v>
      </c>
      <c r="D143" s="5" t="s">
        <v>1102</v>
      </c>
      <c r="E143" s="3">
        <v>413</v>
      </c>
      <c r="F143" s="13">
        <v>41724</v>
      </c>
      <c r="G143" t="s">
        <v>317</v>
      </c>
      <c r="H143" s="9">
        <v>36.950000000000003</v>
      </c>
      <c r="I143" s="5" t="s">
        <v>68</v>
      </c>
      <c r="J143" s="15">
        <v>41724.647187499999</v>
      </c>
      <c r="K143" t="str">
        <f t="shared" si="2"/>
        <v>03-2014</v>
      </c>
    </row>
    <row r="144" spans="3:11" x14ac:dyDescent="0.25">
      <c r="C144" t="str">
        <f>IF(COUNTBLANK(E144:J144) = 6,"",IF(AND(NOT(ISBLANK(E144)),COUNTBLANK(E144:J144) = 5),"3 Delete",IF(ISBLANK(E144),"2 Add",IF(SHA1Range(E144:J144) = "bfed7afe949285fcc0857034c7f9dd6a08770a10","0 Original","1 Modify"))))</f>
        <v>0 Original</v>
      </c>
      <c r="D144" s="5" t="s">
        <v>1103</v>
      </c>
      <c r="E144" s="3">
        <v>815</v>
      </c>
      <c r="F144" s="13">
        <v>41724</v>
      </c>
      <c r="G144" t="s">
        <v>302</v>
      </c>
      <c r="H144" s="9">
        <v>82.9</v>
      </c>
      <c r="I144" s="5" t="s">
        <v>68</v>
      </c>
      <c r="J144" s="15">
        <v>41724.775324074071</v>
      </c>
      <c r="K144" t="str">
        <f t="shared" si="2"/>
        <v>03-2014</v>
      </c>
    </row>
    <row r="145" spans="3:11" x14ac:dyDescent="0.25">
      <c r="C145" t="str">
        <f>IF(COUNTBLANK(E145:J145) = 6,"",IF(AND(NOT(ISBLANK(E145)),COUNTBLANK(E145:J145) = 5),"3 Delete",IF(ISBLANK(E145),"2 Add",IF(SHA1Range(E145:J145) = "4d35394b07b9a60f8930f78f86175bdd02b7999d","0 Original","1 Modify"))))</f>
        <v>0 Original</v>
      </c>
      <c r="D145" s="5" t="s">
        <v>1104</v>
      </c>
      <c r="E145" s="3">
        <v>595</v>
      </c>
      <c r="F145" s="13">
        <v>41725</v>
      </c>
      <c r="G145" t="s">
        <v>224</v>
      </c>
      <c r="H145" s="9">
        <v>16.98</v>
      </c>
      <c r="I145" s="5" t="s">
        <v>68</v>
      </c>
      <c r="J145" s="15">
        <v>41725.06585648148</v>
      </c>
      <c r="K145" t="str">
        <f t="shared" si="2"/>
        <v>03-2014</v>
      </c>
    </row>
    <row r="146" spans="3:11" x14ac:dyDescent="0.25">
      <c r="C146" t="str">
        <f>IF(COUNTBLANK(E146:J146) = 6,"",IF(AND(NOT(ISBLANK(E146)),COUNTBLANK(E146:J146) = 5),"3 Delete",IF(ISBLANK(E146),"2 Add",IF(SHA1Range(E146:J146) = "aef26754c1e68ec2ca468975c0191bf0bcd310b3","0 Original","1 Modify"))))</f>
        <v>0 Original</v>
      </c>
      <c r="D146" s="5" t="s">
        <v>1105</v>
      </c>
      <c r="E146" s="3">
        <v>476</v>
      </c>
      <c r="F146" s="13">
        <v>41726</v>
      </c>
      <c r="G146" t="s">
        <v>350</v>
      </c>
      <c r="H146" s="9">
        <v>17.98</v>
      </c>
      <c r="I146" s="5" t="s">
        <v>68</v>
      </c>
      <c r="J146" s="15">
        <v>41726.376122685186</v>
      </c>
      <c r="K146" t="str">
        <f t="shared" si="2"/>
        <v>03-2014</v>
      </c>
    </row>
    <row r="147" spans="3:11" x14ac:dyDescent="0.25">
      <c r="C147" t="str">
        <f>IF(COUNTBLANK(E147:J147) = 6,"",IF(AND(NOT(ISBLANK(E147)),COUNTBLANK(E147:J147) = 5),"3 Delete",IF(ISBLANK(E147),"2 Add",IF(SHA1Range(E147:J147) = "b4e29f1ba5cc1d2edf906cbff21734c244a66d1a","0 Original","1 Modify"))))</f>
        <v>0 Original</v>
      </c>
      <c r="D147" s="5" t="s">
        <v>1106</v>
      </c>
      <c r="E147" s="3">
        <v>269</v>
      </c>
      <c r="F147" s="13">
        <v>41726</v>
      </c>
      <c r="G147" t="s">
        <v>308</v>
      </c>
      <c r="H147" s="9">
        <v>27.95</v>
      </c>
      <c r="I147" s="5" t="s">
        <v>68</v>
      </c>
      <c r="J147" s="15">
        <v>41726.522638888891</v>
      </c>
      <c r="K147" t="str">
        <f t="shared" si="2"/>
        <v>03-2014</v>
      </c>
    </row>
    <row r="148" spans="3:11" x14ac:dyDescent="0.25">
      <c r="C148" t="str">
        <f>IF(COUNTBLANK(E148:J148) = 6,"",IF(AND(NOT(ISBLANK(E148)),COUNTBLANK(E148:J148) = 5),"3 Delete",IF(ISBLANK(E148),"2 Add",IF(SHA1Range(E148:J148) = "619001187066b96ae5b38b1a14e97cc900b89321","0 Original","1 Modify"))))</f>
        <v>0 Original</v>
      </c>
      <c r="D148" s="5" t="s">
        <v>1107</v>
      </c>
      <c r="E148" s="3">
        <v>1064</v>
      </c>
      <c r="F148" s="13">
        <v>41729</v>
      </c>
      <c r="G148" t="s">
        <v>221</v>
      </c>
      <c r="H148" s="9">
        <v>22.97</v>
      </c>
      <c r="I148" s="5" t="s">
        <v>68</v>
      </c>
      <c r="J148" s="15">
        <v>41729.711180555554</v>
      </c>
      <c r="K148" t="str">
        <f t="shared" si="2"/>
        <v>03-2014</v>
      </c>
    </row>
    <row r="149" spans="3:11" x14ac:dyDescent="0.25">
      <c r="C149" t="str">
        <f>IF(COUNTBLANK(E149:J149) = 6,"",IF(AND(NOT(ISBLANK(E149)),COUNTBLANK(E149:J149) = 5),"3 Delete",IF(ISBLANK(E149),"2 Add",IF(SHA1Range(E149:J149) = "48305c8066ae052b76f50fb298686bf1d56fcb50","0 Original","1 Modify"))))</f>
        <v>0 Original</v>
      </c>
      <c r="D149" s="5" t="s">
        <v>1108</v>
      </c>
      <c r="E149" s="3">
        <v>36</v>
      </c>
      <c r="F149" s="13">
        <v>41730</v>
      </c>
      <c r="G149" t="s">
        <v>143</v>
      </c>
      <c r="H149" s="9">
        <v>40.950000000000003</v>
      </c>
      <c r="I149" s="5" t="s">
        <v>68</v>
      </c>
      <c r="J149" s="15">
        <v>41730.027071759258</v>
      </c>
      <c r="K149" t="str">
        <f t="shared" si="2"/>
        <v>04-2014</v>
      </c>
    </row>
    <row r="150" spans="3:11" x14ac:dyDescent="0.25">
      <c r="C150" t="str">
        <f>IF(COUNTBLANK(E150:J150) = 6,"",IF(AND(NOT(ISBLANK(E150)),COUNTBLANK(E150:J150) = 5),"3 Delete",IF(ISBLANK(E150),"2 Add",IF(SHA1Range(E150:J150) = "ab2203cc987eae4c758e1a4a63f634ad9e1c53a1","0 Original","1 Modify"))))</f>
        <v>0 Original</v>
      </c>
      <c r="D150" s="5" t="s">
        <v>1109</v>
      </c>
      <c r="E150" s="3">
        <v>284</v>
      </c>
      <c r="F150" s="13">
        <v>41730</v>
      </c>
      <c r="G150" t="s">
        <v>239</v>
      </c>
      <c r="H150" s="9">
        <v>35.950000000000003</v>
      </c>
      <c r="I150" s="5" t="s">
        <v>68</v>
      </c>
      <c r="J150" s="15">
        <v>41730.428761574076</v>
      </c>
      <c r="K150" t="str">
        <f t="shared" si="2"/>
        <v>04-2014</v>
      </c>
    </row>
    <row r="151" spans="3:11" x14ac:dyDescent="0.25">
      <c r="C151" t="str">
        <f>IF(COUNTBLANK(E151:J151) = 6,"",IF(AND(NOT(ISBLANK(E151)),COUNTBLANK(E151:J151) = 5),"3 Delete",IF(ISBLANK(E151),"2 Add",IF(SHA1Range(E151:J151) = "01ebe23ff51f85c282e14a933455cb849175f24b","0 Original","1 Modify"))))</f>
        <v>0 Original</v>
      </c>
      <c r="D151" s="5" t="s">
        <v>1110</v>
      </c>
      <c r="E151" s="3">
        <v>917</v>
      </c>
      <c r="F151" s="13">
        <v>41730</v>
      </c>
      <c r="G151" t="s">
        <v>221</v>
      </c>
      <c r="H151" s="9">
        <v>4.99</v>
      </c>
      <c r="I151" s="5" t="s">
        <v>68</v>
      </c>
      <c r="J151" s="15">
        <v>41730.604108796295</v>
      </c>
      <c r="K151" t="str">
        <f t="shared" si="2"/>
        <v>04-2014</v>
      </c>
    </row>
    <row r="152" spans="3:11" x14ac:dyDescent="0.25">
      <c r="C152" t="str">
        <f>IF(COUNTBLANK(E152:J152) = 6,"",IF(AND(NOT(ISBLANK(E152)),COUNTBLANK(E152:J152) = 5),"3 Delete",IF(ISBLANK(E152),"2 Add",IF(SHA1Range(E152:J152) = "439a4c648d69311e12b66a3ef020151e03df1bac","0 Original","1 Modify"))))</f>
        <v>0 Original</v>
      </c>
      <c r="D152" s="5" t="s">
        <v>1111</v>
      </c>
      <c r="E152" s="3">
        <v>1045</v>
      </c>
      <c r="F152" s="13">
        <v>41730</v>
      </c>
      <c r="G152" t="s">
        <v>134</v>
      </c>
      <c r="H152" s="9">
        <v>6.99</v>
      </c>
      <c r="I152" s="5" t="s">
        <v>68</v>
      </c>
      <c r="J152" s="15">
        <v>41730.771527777775</v>
      </c>
      <c r="K152" t="str">
        <f t="shared" si="2"/>
        <v>04-2014</v>
      </c>
    </row>
    <row r="153" spans="3:11" x14ac:dyDescent="0.25">
      <c r="C153" t="str">
        <f>IF(COUNTBLANK(E153:J153) = 6,"",IF(AND(NOT(ISBLANK(E153)),COUNTBLANK(E153:J153) = 5),"3 Delete",IF(ISBLANK(E153),"2 Add",IF(SHA1Range(E153:J153) = "8d269ef17199b86fc00c3dd4cf8c11d6f6555d21","0 Original","1 Modify"))))</f>
        <v>0 Original</v>
      </c>
      <c r="D153" s="5" t="s">
        <v>1112</v>
      </c>
      <c r="E153" s="3">
        <v>213</v>
      </c>
      <c r="F153" s="13">
        <v>41730</v>
      </c>
      <c r="G153" t="s">
        <v>224</v>
      </c>
      <c r="H153" s="9">
        <v>61.91</v>
      </c>
      <c r="I153" s="5" t="s">
        <v>68</v>
      </c>
      <c r="J153" s="15">
        <v>41730.803240740737</v>
      </c>
      <c r="K153" t="str">
        <f t="shared" si="2"/>
        <v>04-2014</v>
      </c>
    </row>
    <row r="154" spans="3:11" x14ac:dyDescent="0.25">
      <c r="C154" t="str">
        <f>IF(COUNTBLANK(E154:J154) = 6,"",IF(AND(NOT(ISBLANK(E154)),COUNTBLANK(E154:J154) = 5),"3 Delete",IF(ISBLANK(E154),"2 Add",IF(SHA1Range(E154:J154) = "82d4c4973a1af53708cf393165869ce925a71fd6","0 Original","1 Modify"))))</f>
        <v>0 Original</v>
      </c>
      <c r="D154" s="5" t="s">
        <v>1113</v>
      </c>
      <c r="E154" s="3">
        <v>866</v>
      </c>
      <c r="F154" s="13">
        <v>41731</v>
      </c>
      <c r="G154" t="s">
        <v>326</v>
      </c>
      <c r="H154" s="9">
        <v>15.98</v>
      </c>
      <c r="I154" s="5" t="s">
        <v>68</v>
      </c>
      <c r="J154" s="15">
        <v>41731.566168981481</v>
      </c>
      <c r="K154" t="str">
        <f t="shared" si="2"/>
        <v>04-2014</v>
      </c>
    </row>
    <row r="155" spans="3:11" x14ac:dyDescent="0.25">
      <c r="C155" t="str">
        <f>IF(COUNTBLANK(E155:J155) = 6,"",IF(AND(NOT(ISBLANK(E155)),COUNTBLANK(E155:J155) = 5),"3 Delete",IF(ISBLANK(E155),"2 Add",IF(SHA1Range(E155:J155) = "5121862c7883f41a5f3538beada2906d03af3f14","0 Original","1 Modify"))))</f>
        <v>0 Original</v>
      </c>
      <c r="D155" s="5" t="s">
        <v>1114</v>
      </c>
      <c r="E155" s="3">
        <v>894</v>
      </c>
      <c r="F155" s="13">
        <v>41731</v>
      </c>
      <c r="G155" t="s">
        <v>98</v>
      </c>
      <c r="H155" s="9">
        <v>29.97</v>
      </c>
      <c r="I155" s="5" t="s">
        <v>68</v>
      </c>
      <c r="J155" s="15">
        <v>41731.774664351855</v>
      </c>
      <c r="K155" t="str">
        <f t="shared" si="2"/>
        <v>04-2014</v>
      </c>
    </row>
    <row r="156" spans="3:11" x14ac:dyDescent="0.25">
      <c r="C156" t="str">
        <f>IF(COUNTBLANK(E156:J156) = 6,"",IF(AND(NOT(ISBLANK(E156)),COUNTBLANK(E156:J156) = 5),"3 Delete",IF(ISBLANK(E156),"2 Add",IF(SHA1Range(E156:J156) = "843d65adc27ca51d5fd3a8b91c7983778dbb4b51","0 Original","1 Modify"))))</f>
        <v>0 Original</v>
      </c>
      <c r="D156" s="5" t="s">
        <v>1115</v>
      </c>
      <c r="E156" s="3">
        <v>1169</v>
      </c>
      <c r="F156" s="13">
        <v>41732</v>
      </c>
      <c r="G156" t="s">
        <v>170</v>
      </c>
      <c r="H156" s="9">
        <v>71.900000000000006</v>
      </c>
      <c r="I156" s="5" t="s">
        <v>68</v>
      </c>
      <c r="J156" s="15">
        <v>41732.392141203702</v>
      </c>
      <c r="K156" t="str">
        <f t="shared" si="2"/>
        <v>04-2014</v>
      </c>
    </row>
    <row r="157" spans="3:11" x14ac:dyDescent="0.25">
      <c r="C157" t="str">
        <f>IF(COUNTBLANK(E157:J157) = 6,"",IF(AND(NOT(ISBLANK(E157)),COUNTBLANK(E157:J157) = 5),"3 Delete",IF(ISBLANK(E157),"2 Add",IF(SHA1Range(E157:J157) = "894df7df372bf0fe903019ecb177492a831c6361","0 Original","1 Modify"))))</f>
        <v>0 Original</v>
      </c>
      <c r="D157" s="5" t="s">
        <v>1116</v>
      </c>
      <c r="E157" s="3">
        <v>609</v>
      </c>
      <c r="F157" s="13">
        <v>41732</v>
      </c>
      <c r="G157" t="s">
        <v>86</v>
      </c>
      <c r="H157" s="9">
        <v>9.99</v>
      </c>
      <c r="I157" s="5" t="s">
        <v>68</v>
      </c>
      <c r="J157" s="15">
        <v>41732.904456018521</v>
      </c>
      <c r="K157" t="str">
        <f t="shared" si="2"/>
        <v>04-2014</v>
      </c>
    </row>
    <row r="158" spans="3:11" x14ac:dyDescent="0.25">
      <c r="C158" t="str">
        <f>IF(COUNTBLANK(E158:J158) = 6,"",IF(AND(NOT(ISBLANK(E158)),COUNTBLANK(E158:J158) = 5),"3 Delete",IF(ISBLANK(E158),"2 Add",IF(SHA1Range(E158:J158) = "2edf8cfdbcd30219a4c08339e6e8baee10e6446a","0 Original","1 Modify"))))</f>
        <v>0 Original</v>
      </c>
      <c r="D158" s="5" t="s">
        <v>1117</v>
      </c>
      <c r="E158" s="3">
        <v>663</v>
      </c>
      <c r="F158" s="13">
        <v>41733</v>
      </c>
      <c r="G158" t="s">
        <v>233</v>
      </c>
      <c r="H158" s="9">
        <v>10.98</v>
      </c>
      <c r="I158" s="5" t="s">
        <v>68</v>
      </c>
      <c r="J158" s="15">
        <v>41733.280439814815</v>
      </c>
      <c r="K158" t="str">
        <f t="shared" si="2"/>
        <v>04-2014</v>
      </c>
    </row>
    <row r="159" spans="3:11" x14ac:dyDescent="0.25">
      <c r="C159" t="str">
        <f>IF(COUNTBLANK(E159:J159) = 6,"",IF(AND(NOT(ISBLANK(E159)),COUNTBLANK(E159:J159) = 5),"3 Delete",IF(ISBLANK(E159),"2 Add",IF(SHA1Range(E159:J159) = "3e710a3131d0e01da6641c8c276e2603f2baa2b8","0 Original","1 Modify"))))</f>
        <v>0 Original</v>
      </c>
      <c r="D159" s="5" t="s">
        <v>1118</v>
      </c>
      <c r="E159" s="3">
        <v>13</v>
      </c>
      <c r="F159" s="13">
        <v>41733</v>
      </c>
      <c r="G159" t="s">
        <v>245</v>
      </c>
      <c r="H159" s="9">
        <v>41.94</v>
      </c>
      <c r="I159" s="5" t="s">
        <v>68</v>
      </c>
      <c r="J159" s="15">
        <v>41733.822824074072</v>
      </c>
      <c r="K159" t="str">
        <f t="shared" si="2"/>
        <v>04-2014</v>
      </c>
    </row>
    <row r="160" spans="3:11" x14ac:dyDescent="0.25">
      <c r="C160" t="str">
        <f>IF(COUNTBLANK(E160:J160) = 6,"",IF(AND(NOT(ISBLANK(E160)),COUNTBLANK(E160:J160) = 5),"3 Delete",IF(ISBLANK(E160),"2 Add",IF(SHA1Range(E160:J160) = "041f1c1bc49e4e8ef3d533fda5bd15c77ef62566","0 Original","1 Modify"))))</f>
        <v>0 Original</v>
      </c>
      <c r="D160" s="5" t="s">
        <v>1119</v>
      </c>
      <c r="E160" s="3">
        <v>1194</v>
      </c>
      <c r="F160" s="13">
        <v>41734</v>
      </c>
      <c r="G160" t="s">
        <v>170</v>
      </c>
      <c r="H160" s="9">
        <v>21.96</v>
      </c>
      <c r="I160" s="5" t="s">
        <v>68</v>
      </c>
      <c r="J160" s="15">
        <v>41734.471099537041</v>
      </c>
      <c r="K160" t="str">
        <f t="shared" si="2"/>
        <v>04-2014</v>
      </c>
    </row>
    <row r="161" spans="3:11" x14ac:dyDescent="0.25">
      <c r="C161" t="str">
        <f>IF(COUNTBLANK(E161:J161) = 6,"",IF(AND(NOT(ISBLANK(E161)),COUNTBLANK(E161:J161) = 5),"3 Delete",IF(ISBLANK(E161),"2 Add",IF(SHA1Range(E161:J161) = "82927cd6a722d0b9c08740ee6b02d7e8304befff","0 Original","1 Modify"))))</f>
        <v>0 Original</v>
      </c>
      <c r="D161" s="5" t="s">
        <v>1120</v>
      </c>
      <c r="E161" s="3">
        <v>308</v>
      </c>
      <c r="F161" s="13">
        <v>41735</v>
      </c>
      <c r="G161" t="s">
        <v>149</v>
      </c>
      <c r="H161" s="9">
        <v>52.93</v>
      </c>
      <c r="I161" s="5" t="s">
        <v>68</v>
      </c>
      <c r="J161" s="15">
        <v>41735.232407407406</v>
      </c>
      <c r="K161" t="str">
        <f t="shared" si="2"/>
        <v>04-2014</v>
      </c>
    </row>
    <row r="162" spans="3:11" x14ac:dyDescent="0.25">
      <c r="C162" t="str">
        <f>IF(COUNTBLANK(E162:J162) = 6,"",IF(AND(NOT(ISBLANK(E162)),COUNTBLANK(E162:J162) = 5),"3 Delete",IF(ISBLANK(E162),"2 Add",IF(SHA1Range(E162:J162) = "23906c380b417ce10b6b4ec96db8118c43259b45","0 Original","1 Modify"))))</f>
        <v>0 Original</v>
      </c>
      <c r="D162" s="5" t="s">
        <v>1121</v>
      </c>
      <c r="E162" s="3">
        <v>623</v>
      </c>
      <c r="F162" s="13">
        <v>41735</v>
      </c>
      <c r="G162" t="s">
        <v>212</v>
      </c>
      <c r="H162" s="9">
        <v>40.950000000000003</v>
      </c>
      <c r="I162" s="5" t="s">
        <v>68</v>
      </c>
      <c r="J162" s="15">
        <v>41735.248530092591</v>
      </c>
      <c r="K162" t="str">
        <f t="shared" si="2"/>
        <v>04-2014</v>
      </c>
    </row>
    <row r="163" spans="3:11" x14ac:dyDescent="0.25">
      <c r="C163" t="str">
        <f>IF(COUNTBLANK(E163:J163) = 6,"",IF(AND(NOT(ISBLANK(E163)),COUNTBLANK(E163:J163) = 5),"3 Delete",IF(ISBLANK(E163),"2 Add",IF(SHA1Range(E163:J163) = "3fed832105fd52a8a39d22b8a7405a744e2d7b4b","0 Original","1 Modify"))))</f>
        <v>0 Original</v>
      </c>
      <c r="D163" s="5" t="s">
        <v>1122</v>
      </c>
      <c r="E163" s="3">
        <v>711</v>
      </c>
      <c r="F163" s="13">
        <v>41735</v>
      </c>
      <c r="G163" t="s">
        <v>170</v>
      </c>
      <c r="H163" s="9">
        <v>45.94</v>
      </c>
      <c r="I163" s="5" t="s">
        <v>68</v>
      </c>
      <c r="J163" s="15">
        <v>41735.543877314813</v>
      </c>
      <c r="K163" t="str">
        <f t="shared" si="2"/>
        <v>04-2014</v>
      </c>
    </row>
    <row r="164" spans="3:11" x14ac:dyDescent="0.25">
      <c r="C164" t="str">
        <f>IF(COUNTBLANK(E164:J164) = 6,"",IF(AND(NOT(ISBLANK(E164)),COUNTBLANK(E164:J164) = 5),"3 Delete",IF(ISBLANK(E164),"2 Add",IF(SHA1Range(E164:J164) = "28f9125eb43565cf419cfb488e2a3b8eca1d6ed0","0 Original","1 Modify"))))</f>
        <v>0 Original</v>
      </c>
      <c r="D164" s="5" t="s">
        <v>1123</v>
      </c>
      <c r="E164" s="3">
        <v>25</v>
      </c>
      <c r="F164" s="13">
        <v>41736</v>
      </c>
      <c r="G164" t="s">
        <v>239</v>
      </c>
      <c r="H164" s="9">
        <v>55.92</v>
      </c>
      <c r="I164" s="5" t="s">
        <v>68</v>
      </c>
      <c r="J164" s="15">
        <v>41736.022187499999</v>
      </c>
      <c r="K164" t="str">
        <f t="shared" si="2"/>
        <v>04-2014</v>
      </c>
    </row>
    <row r="165" spans="3:11" x14ac:dyDescent="0.25">
      <c r="C165" t="str">
        <f>IF(COUNTBLANK(E165:J165) = 6,"",IF(AND(NOT(ISBLANK(E165)),COUNTBLANK(E165:J165) = 5),"3 Delete",IF(ISBLANK(E165),"2 Add",IF(SHA1Range(E165:J165) = "ec19e08646e1aa5171130b2995de1e5accd4358a","0 Original","1 Modify"))))</f>
        <v>0 Original</v>
      </c>
      <c r="D165" s="5" t="s">
        <v>1124</v>
      </c>
      <c r="E165" s="3">
        <v>278</v>
      </c>
      <c r="F165" s="13">
        <v>41737</v>
      </c>
      <c r="G165" t="s">
        <v>311</v>
      </c>
      <c r="H165" s="9">
        <v>19.97</v>
      </c>
      <c r="I165" s="5" t="s">
        <v>68</v>
      </c>
      <c r="J165" s="15">
        <v>41737.083680555559</v>
      </c>
      <c r="K165" t="str">
        <f t="shared" si="2"/>
        <v>04-2014</v>
      </c>
    </row>
    <row r="166" spans="3:11" x14ac:dyDescent="0.25">
      <c r="C166" t="str">
        <f>IF(COUNTBLANK(E166:J166) = 6,"",IF(AND(NOT(ISBLANK(E166)),COUNTBLANK(E166:J166) = 5),"3 Delete",IF(ISBLANK(E166),"2 Add",IF(SHA1Range(E166:J166) = "598cd7c60b9b98954bbc6f48bbdbda59c6288497","0 Original","1 Modify"))))</f>
        <v>0 Original</v>
      </c>
      <c r="D166" s="5" t="s">
        <v>1125</v>
      </c>
      <c r="E166" s="3">
        <v>294</v>
      </c>
      <c r="F166" s="13">
        <v>41737</v>
      </c>
      <c r="G166" t="s">
        <v>215</v>
      </c>
      <c r="H166" s="9">
        <v>37.950000000000003</v>
      </c>
      <c r="I166" s="5" t="s">
        <v>68</v>
      </c>
      <c r="J166" s="15">
        <v>41737.829155092593</v>
      </c>
      <c r="K166" t="str">
        <f t="shared" si="2"/>
        <v>04-2014</v>
      </c>
    </row>
    <row r="167" spans="3:11" x14ac:dyDescent="0.25">
      <c r="C167" t="str">
        <f>IF(COUNTBLANK(E167:J167) = 6,"",IF(AND(NOT(ISBLANK(E167)),COUNTBLANK(E167:J167) = 5),"3 Delete",IF(ISBLANK(E167),"2 Add",IF(SHA1Range(E167:J167) = "8f97e790d25399f74ff6b848e20a533f91d87143","0 Original","1 Modify"))))</f>
        <v>0 Original</v>
      </c>
      <c r="D167" s="5" t="s">
        <v>1126</v>
      </c>
      <c r="E167" s="3">
        <v>502</v>
      </c>
      <c r="F167" s="13">
        <v>41740</v>
      </c>
      <c r="G167" t="s">
        <v>137</v>
      </c>
      <c r="H167" s="9">
        <v>31.95</v>
      </c>
      <c r="I167" s="5" t="s">
        <v>68</v>
      </c>
      <c r="J167" s="15">
        <v>41740.915335648147</v>
      </c>
      <c r="K167" t="str">
        <f t="shared" si="2"/>
        <v>04-2014</v>
      </c>
    </row>
    <row r="168" spans="3:11" x14ac:dyDescent="0.25">
      <c r="C168" t="str">
        <f>IF(COUNTBLANK(E168:J168) = 6,"",IF(AND(NOT(ISBLANK(E168)),COUNTBLANK(E168:J168) = 5),"3 Delete",IF(ISBLANK(E168),"2 Add",IF(SHA1Range(E168:J168) = "d80d19b7015add929a7760cf11635e274de795d3","0 Original","1 Modify"))))</f>
        <v>0 Original</v>
      </c>
      <c r="D168" s="5" t="s">
        <v>1127</v>
      </c>
      <c r="E168" s="3">
        <v>616</v>
      </c>
      <c r="F168" s="13">
        <v>41741</v>
      </c>
      <c r="G168" t="s">
        <v>338</v>
      </c>
      <c r="H168" s="9">
        <v>46.93</v>
      </c>
      <c r="I168" s="5" t="s">
        <v>68</v>
      </c>
      <c r="J168" s="15">
        <v>41741.171238425923</v>
      </c>
      <c r="K168" t="str">
        <f t="shared" si="2"/>
        <v>04-2014</v>
      </c>
    </row>
    <row r="169" spans="3:11" x14ac:dyDescent="0.25">
      <c r="C169" t="str">
        <f>IF(COUNTBLANK(E169:J169) = 6,"",IF(AND(NOT(ISBLANK(E169)),COUNTBLANK(E169:J169) = 5),"3 Delete",IF(ISBLANK(E169),"2 Add",IF(SHA1Range(E169:J169) = "357faf8a2b86501dab46f8bdbd6a5ea7b245e81a","0 Original","1 Modify"))))</f>
        <v>0 Original</v>
      </c>
      <c r="D169" s="5" t="s">
        <v>1128</v>
      </c>
      <c r="E169" s="3">
        <v>608</v>
      </c>
      <c r="F169" s="13">
        <v>41741</v>
      </c>
      <c r="G169" t="s">
        <v>155</v>
      </c>
      <c r="H169" s="9">
        <v>79.91</v>
      </c>
      <c r="I169" s="5" t="s">
        <v>68</v>
      </c>
      <c r="J169" s="15">
        <v>41741.330300925925</v>
      </c>
      <c r="K169" t="str">
        <f t="shared" si="2"/>
        <v>04-2014</v>
      </c>
    </row>
    <row r="170" spans="3:11" x14ac:dyDescent="0.25">
      <c r="C170" t="str">
        <f>IF(COUNTBLANK(E170:J170) = 6,"",IF(AND(NOT(ISBLANK(E170)),COUNTBLANK(E170:J170) = 5),"3 Delete",IF(ISBLANK(E170),"2 Add",IF(SHA1Range(E170:J170) = "7d9067004ab0e9daddab0532b9576f2f9324ad3b","0 Original","1 Modify"))))</f>
        <v>0 Original</v>
      </c>
      <c r="D170" s="5" t="s">
        <v>1129</v>
      </c>
      <c r="E170" s="3">
        <v>356</v>
      </c>
      <c r="F170" s="13">
        <v>41741</v>
      </c>
      <c r="G170" t="s">
        <v>146</v>
      </c>
      <c r="H170" s="9">
        <v>53.93</v>
      </c>
      <c r="I170" s="5" t="s">
        <v>68</v>
      </c>
      <c r="J170" s="15">
        <v>41741.471643518518</v>
      </c>
      <c r="K170" t="str">
        <f t="shared" si="2"/>
        <v>04-2014</v>
      </c>
    </row>
    <row r="171" spans="3:11" x14ac:dyDescent="0.25">
      <c r="C171" t="str">
        <f>IF(COUNTBLANK(E171:J171) = 6,"",IF(AND(NOT(ISBLANK(E171)),COUNTBLANK(E171:J171) = 5),"3 Delete",IF(ISBLANK(E171),"2 Add",IF(SHA1Range(E171:J171) = "a0ef67021b6832fa03353b8095632e03429c0804","0 Original","1 Modify"))))</f>
        <v>0 Original</v>
      </c>
      <c r="D171" s="5" t="s">
        <v>1130</v>
      </c>
      <c r="E171" s="3">
        <v>255</v>
      </c>
      <c r="F171" s="13">
        <v>41742</v>
      </c>
      <c r="G171" t="s">
        <v>311</v>
      </c>
      <c r="H171" s="9">
        <v>19.98</v>
      </c>
      <c r="I171" s="5" t="s">
        <v>68</v>
      </c>
      <c r="J171" s="15">
        <v>41742.382152777776</v>
      </c>
      <c r="K171" t="str">
        <f t="shared" si="2"/>
        <v>04-2014</v>
      </c>
    </row>
    <row r="172" spans="3:11" x14ac:dyDescent="0.25">
      <c r="C172" t="str">
        <f>IF(COUNTBLANK(E172:J172) = 6,"",IF(AND(NOT(ISBLANK(E172)),COUNTBLANK(E172:J172) = 5),"3 Delete",IF(ISBLANK(E172),"2 Add",IF(SHA1Range(E172:J172) = "7d20564cf250fce3399c2ae61381d8c64633d7d2","0 Original","1 Modify"))))</f>
        <v>0 Original</v>
      </c>
      <c r="D172" s="5" t="s">
        <v>1131</v>
      </c>
      <c r="E172" s="3">
        <v>30</v>
      </c>
      <c r="F172" s="13">
        <v>41743</v>
      </c>
      <c r="G172" t="s">
        <v>257</v>
      </c>
      <c r="H172" s="9">
        <v>24.97</v>
      </c>
      <c r="I172" s="5" t="s">
        <v>68</v>
      </c>
      <c r="J172" s="15">
        <v>41743.070949074077</v>
      </c>
      <c r="K172" t="str">
        <f t="shared" si="2"/>
        <v>04-2014</v>
      </c>
    </row>
    <row r="173" spans="3:11" x14ac:dyDescent="0.25">
      <c r="C173" t="str">
        <f>IF(COUNTBLANK(E173:J173) = 6,"",IF(AND(NOT(ISBLANK(E173)),COUNTBLANK(E173:J173) = 5),"3 Delete",IF(ISBLANK(E173),"2 Add",IF(SHA1Range(E173:J173) = "fd99b487cb6d1fee0aa0e4f832f9d8fade72a218","0 Original","1 Modify"))))</f>
        <v>0 Original</v>
      </c>
      <c r="D173" s="5" t="s">
        <v>1132</v>
      </c>
      <c r="E173" s="3">
        <v>821</v>
      </c>
      <c r="F173" s="13">
        <v>41743</v>
      </c>
      <c r="G173" t="s">
        <v>242</v>
      </c>
      <c r="H173" s="9">
        <v>38.950000000000003</v>
      </c>
      <c r="I173" s="5" t="s">
        <v>68</v>
      </c>
      <c r="J173" s="15">
        <v>41743.937384259261</v>
      </c>
      <c r="K173" t="str">
        <f t="shared" si="2"/>
        <v>04-2014</v>
      </c>
    </row>
    <row r="174" spans="3:11" x14ac:dyDescent="0.25">
      <c r="C174" t="str">
        <f>IF(COUNTBLANK(E174:J174) = 6,"",IF(AND(NOT(ISBLANK(E174)),COUNTBLANK(E174:J174) = 5),"3 Delete",IF(ISBLANK(E174),"2 Add",IF(SHA1Range(E174:J174) = "96f6c12615c180a253835675877813acdba2e38d","0 Original","1 Modify"))))</f>
        <v>0 Original</v>
      </c>
      <c r="D174" s="5" t="s">
        <v>1133</v>
      </c>
      <c r="E174" s="3">
        <v>20</v>
      </c>
      <c r="F174" s="13">
        <v>41744</v>
      </c>
      <c r="G174" t="s">
        <v>125</v>
      </c>
      <c r="H174" s="9">
        <v>83.9</v>
      </c>
      <c r="I174" s="5" t="s">
        <v>68</v>
      </c>
      <c r="J174" s="15">
        <v>41744.066099537034</v>
      </c>
      <c r="K174" t="str">
        <f t="shared" si="2"/>
        <v>04-2014</v>
      </c>
    </row>
    <row r="175" spans="3:11" x14ac:dyDescent="0.25">
      <c r="C175" t="str">
        <f>IF(COUNTBLANK(E175:J175) = 6,"",IF(AND(NOT(ISBLANK(E175)),COUNTBLANK(E175:J175) = 5),"3 Delete",IF(ISBLANK(E175),"2 Add",IF(SHA1Range(E175:J175) = "986cc41f53011c1d84830ba27e69d477ff4fe047","0 Original","1 Modify"))))</f>
        <v>0 Original</v>
      </c>
      <c r="D175" s="5" t="s">
        <v>1134</v>
      </c>
      <c r="E175" s="3">
        <v>170</v>
      </c>
      <c r="F175" s="13">
        <v>41744</v>
      </c>
      <c r="G175" t="s">
        <v>269</v>
      </c>
      <c r="H175" s="9">
        <v>35.94</v>
      </c>
      <c r="I175" s="5" t="s">
        <v>68</v>
      </c>
      <c r="J175" s="15">
        <v>41744.142222222225</v>
      </c>
      <c r="K175" t="str">
        <f t="shared" si="2"/>
        <v>04-2014</v>
      </c>
    </row>
    <row r="176" spans="3:11" x14ac:dyDescent="0.25">
      <c r="C176" t="str">
        <f>IF(COUNTBLANK(E176:J176) = 6,"",IF(AND(NOT(ISBLANK(E176)),COUNTBLANK(E176:J176) = 5),"3 Delete",IF(ISBLANK(E176),"2 Add",IF(SHA1Range(E176:J176) = "916e2c16c3c62119db86993fcb8187ca7de66866","0 Original","1 Modify"))))</f>
        <v>0 Original</v>
      </c>
      <c r="D176" s="5" t="s">
        <v>1135</v>
      </c>
      <c r="E176" s="3">
        <v>946</v>
      </c>
      <c r="F176" s="13">
        <v>41745</v>
      </c>
      <c r="G176" t="s">
        <v>245</v>
      </c>
      <c r="H176" s="9">
        <v>27.97</v>
      </c>
      <c r="I176" s="5" t="s">
        <v>68</v>
      </c>
      <c r="J176" s="15">
        <v>41745.498194444444</v>
      </c>
      <c r="K176" t="str">
        <f t="shared" si="2"/>
        <v>04-2014</v>
      </c>
    </row>
    <row r="177" spans="3:11" x14ac:dyDescent="0.25">
      <c r="C177" t="str">
        <f>IF(COUNTBLANK(E177:J177) = 6,"",IF(AND(NOT(ISBLANK(E177)),COUNTBLANK(E177:J177) = 5),"3 Delete",IF(ISBLANK(E177),"2 Add",IF(SHA1Range(E177:J177) = "5e428b06b88f6e10d6373791d566bab3a7fb35c6","0 Original","1 Modify"))))</f>
        <v>0 Original</v>
      </c>
      <c r="D177" s="5" t="s">
        <v>1136</v>
      </c>
      <c r="E177" s="3">
        <v>811</v>
      </c>
      <c r="F177" s="13">
        <v>41745</v>
      </c>
      <c r="G177" t="s">
        <v>134</v>
      </c>
      <c r="H177" s="9">
        <v>17.97</v>
      </c>
      <c r="I177" s="5" t="s">
        <v>68</v>
      </c>
      <c r="J177" s="15">
        <v>41745.590671296297</v>
      </c>
      <c r="K177" t="str">
        <f t="shared" si="2"/>
        <v>04-2014</v>
      </c>
    </row>
    <row r="178" spans="3:11" x14ac:dyDescent="0.25">
      <c r="C178" t="str">
        <f>IF(COUNTBLANK(E178:J178) = 6,"",IF(AND(NOT(ISBLANK(E178)),COUNTBLANK(E178:J178) = 5),"3 Delete",IF(ISBLANK(E178),"2 Add",IF(SHA1Range(E178:J178) = "f817ccf5d8ff15a44b119fb009f5cc3ce79ff753","0 Original","1 Modify"))))</f>
        <v>0 Original</v>
      </c>
      <c r="D178" s="5" t="s">
        <v>1137</v>
      </c>
      <c r="E178" s="3">
        <v>897</v>
      </c>
      <c r="F178" s="13">
        <v>41746</v>
      </c>
      <c r="G178" t="s">
        <v>272</v>
      </c>
      <c r="H178" s="9">
        <v>11.98</v>
      </c>
      <c r="I178" s="5" t="s">
        <v>68</v>
      </c>
      <c r="J178" s="15">
        <v>41746.250254629631</v>
      </c>
      <c r="K178" t="str">
        <f t="shared" si="2"/>
        <v>04-2014</v>
      </c>
    </row>
    <row r="179" spans="3:11" x14ac:dyDescent="0.25">
      <c r="C179" t="str">
        <f>IF(COUNTBLANK(E179:J179) = 6,"",IF(AND(NOT(ISBLANK(E179)),COUNTBLANK(E179:J179) = 5),"3 Delete",IF(ISBLANK(E179),"2 Add",IF(SHA1Range(E179:J179) = "287b72137623afc565de1a345e986d1e85151226","0 Original","1 Modify"))))</f>
        <v>0 Original</v>
      </c>
      <c r="D179" s="5" t="s">
        <v>1138</v>
      </c>
      <c r="E179" s="3">
        <v>779</v>
      </c>
      <c r="F179" s="13">
        <v>41746</v>
      </c>
      <c r="G179" t="s">
        <v>245</v>
      </c>
      <c r="H179" s="9">
        <v>16.98</v>
      </c>
      <c r="I179" s="5" t="s">
        <v>68</v>
      </c>
      <c r="J179" s="15">
        <v>41746.349016203705</v>
      </c>
      <c r="K179" t="str">
        <f t="shared" si="2"/>
        <v>04-2014</v>
      </c>
    </row>
    <row r="180" spans="3:11" x14ac:dyDescent="0.25">
      <c r="C180" t="str">
        <f>IF(COUNTBLANK(E180:J180) = 6,"",IF(AND(NOT(ISBLANK(E180)),COUNTBLANK(E180:J180) = 5),"3 Delete",IF(ISBLANK(E180),"2 Add",IF(SHA1Range(E180:J180) = "2e60899e57653bfa51618b0757071bac4c8c0c9e","0 Original","1 Modify"))))</f>
        <v>0 Original</v>
      </c>
      <c r="D180" s="5" t="s">
        <v>1139</v>
      </c>
      <c r="E180" s="3">
        <v>101</v>
      </c>
      <c r="F180" s="13">
        <v>41746</v>
      </c>
      <c r="G180" t="s">
        <v>311</v>
      </c>
      <c r="H180" s="9">
        <v>17.98</v>
      </c>
      <c r="I180" s="5" t="s">
        <v>68</v>
      </c>
      <c r="J180" s="15">
        <v>41746.520312499997</v>
      </c>
      <c r="K180" t="str">
        <f t="shared" si="2"/>
        <v>04-2014</v>
      </c>
    </row>
    <row r="181" spans="3:11" x14ac:dyDescent="0.25">
      <c r="C181" t="str">
        <f>IF(COUNTBLANK(E181:J181) = 6,"",IF(AND(NOT(ISBLANK(E181)),COUNTBLANK(E181:J181) = 5),"3 Delete",IF(ISBLANK(E181),"2 Add",IF(SHA1Range(E181:J181) = "e213bc62486bb68193009b955a3367d45c648939","0 Original","1 Modify"))))</f>
        <v>0 Original</v>
      </c>
      <c r="D181" s="5" t="s">
        <v>1140</v>
      </c>
      <c r="E181" s="3">
        <v>95</v>
      </c>
      <c r="F181" s="13">
        <v>41747</v>
      </c>
      <c r="G181" t="s">
        <v>107</v>
      </c>
      <c r="H181" s="9">
        <v>22.97</v>
      </c>
      <c r="I181" s="5" t="s">
        <v>68</v>
      </c>
      <c r="J181" s="15">
        <v>41747.473229166666</v>
      </c>
      <c r="K181" t="str">
        <f t="shared" si="2"/>
        <v>04-2014</v>
      </c>
    </row>
    <row r="182" spans="3:11" x14ac:dyDescent="0.25">
      <c r="C182" t="str">
        <f>IF(COUNTBLANK(E182:J182) = 6,"",IF(AND(NOT(ISBLANK(E182)),COUNTBLANK(E182:J182) = 5),"3 Delete",IF(ISBLANK(E182),"2 Add",IF(SHA1Range(E182:J182) = "9f3dbe639bd63e4469e87891731b4e35b7f8ab62","0 Original","1 Modify"))))</f>
        <v>0 Original</v>
      </c>
      <c r="D182" s="5" t="s">
        <v>1141</v>
      </c>
      <c r="E182" s="3">
        <v>183</v>
      </c>
      <c r="F182" s="13">
        <v>41747</v>
      </c>
      <c r="G182" t="s">
        <v>317</v>
      </c>
      <c r="H182" s="9">
        <v>30.95</v>
      </c>
      <c r="I182" s="5" t="s">
        <v>68</v>
      </c>
      <c r="J182" s="15">
        <v>41747.547407407408</v>
      </c>
      <c r="K182" t="str">
        <f t="shared" si="2"/>
        <v>04-2014</v>
      </c>
    </row>
    <row r="183" spans="3:11" x14ac:dyDescent="0.25">
      <c r="C183" t="str">
        <f>IF(COUNTBLANK(E183:J183) = 6,"",IF(AND(NOT(ISBLANK(E183)),COUNTBLANK(E183:J183) = 5),"3 Delete",IF(ISBLANK(E183),"2 Add",IF(SHA1Range(E183:J183) = "9a4a01c006d72acd6bf39390e4a501c0260c9216","0 Original","1 Modify"))))</f>
        <v>0 Original</v>
      </c>
      <c r="D183" s="5" t="s">
        <v>1142</v>
      </c>
      <c r="E183" s="3">
        <v>538</v>
      </c>
      <c r="F183" s="13">
        <v>41747</v>
      </c>
      <c r="G183" t="s">
        <v>293</v>
      </c>
      <c r="H183" s="9">
        <v>60.91</v>
      </c>
      <c r="I183" s="5" t="s">
        <v>68</v>
      </c>
      <c r="J183" s="15">
        <v>41747.850706018522</v>
      </c>
      <c r="K183" t="str">
        <f t="shared" si="2"/>
        <v>04-2014</v>
      </c>
    </row>
    <row r="184" spans="3:11" x14ac:dyDescent="0.25">
      <c r="C184" t="str">
        <f>IF(COUNTBLANK(E184:J184) = 6,"",IF(AND(NOT(ISBLANK(E184)),COUNTBLANK(E184:J184) = 5),"3 Delete",IF(ISBLANK(E184),"2 Add",IF(SHA1Range(E184:J184) = "0a0dc6b6782e3a6fdfe1e0f2d0686b6a14d5db99","0 Original","1 Modify"))))</f>
        <v>0 Original</v>
      </c>
      <c r="D184" s="5" t="s">
        <v>1143</v>
      </c>
      <c r="E184" s="3">
        <v>669</v>
      </c>
      <c r="F184" s="13">
        <v>41748</v>
      </c>
      <c r="G184" t="s">
        <v>320</v>
      </c>
      <c r="H184" s="9">
        <v>8.99</v>
      </c>
      <c r="I184" s="5" t="s">
        <v>68</v>
      </c>
      <c r="J184" s="15">
        <v>41748.316400462965</v>
      </c>
      <c r="K184" t="str">
        <f t="shared" si="2"/>
        <v>04-2014</v>
      </c>
    </row>
    <row r="185" spans="3:11" x14ac:dyDescent="0.25">
      <c r="C185" t="str">
        <f>IF(COUNTBLANK(E185:J185) = 6,"",IF(AND(NOT(ISBLANK(E185)),COUNTBLANK(E185:J185) = 5),"3 Delete",IF(ISBLANK(E185),"2 Add",IF(SHA1Range(E185:J185) = "dfa78425b8d53cc3f3ca3c66449c98c02fe77e7d","0 Original","1 Modify"))))</f>
        <v>0 Original</v>
      </c>
      <c r="D185" s="5" t="s">
        <v>1144</v>
      </c>
      <c r="E185" s="3">
        <v>1082</v>
      </c>
      <c r="F185" s="13">
        <v>41750</v>
      </c>
      <c r="G185" t="s">
        <v>98</v>
      </c>
      <c r="H185" s="9">
        <v>14.98</v>
      </c>
      <c r="I185" s="5" t="s">
        <v>68</v>
      </c>
      <c r="J185" s="15">
        <v>41750.882118055553</v>
      </c>
      <c r="K185" t="str">
        <f t="shared" si="2"/>
        <v>04-2014</v>
      </c>
    </row>
    <row r="186" spans="3:11" x14ac:dyDescent="0.25">
      <c r="C186" t="str">
        <f>IF(COUNTBLANK(E186:J186) = 6,"",IF(AND(NOT(ISBLANK(E186)),COUNTBLANK(E186:J186) = 5),"3 Delete",IF(ISBLANK(E186),"2 Add",IF(SHA1Range(E186:J186) = "e899f8e8972f49655f486231cc154a2cf246c024","0 Original","1 Modify"))))</f>
        <v>0 Original</v>
      </c>
      <c r="D186" s="5" t="s">
        <v>1145</v>
      </c>
      <c r="E186" s="3">
        <v>875</v>
      </c>
      <c r="F186" s="13">
        <v>41751</v>
      </c>
      <c r="G186" t="s">
        <v>134</v>
      </c>
      <c r="H186" s="9">
        <v>11.98</v>
      </c>
      <c r="I186" s="5" t="s">
        <v>68</v>
      </c>
      <c r="J186" s="15">
        <v>41751.05641203704</v>
      </c>
      <c r="K186" t="str">
        <f t="shared" si="2"/>
        <v>04-2014</v>
      </c>
    </row>
    <row r="187" spans="3:11" x14ac:dyDescent="0.25">
      <c r="C187" t="str">
        <f>IF(COUNTBLANK(E187:J187) = 6,"",IF(AND(NOT(ISBLANK(E187)),COUNTBLANK(E187:J187) = 5),"3 Delete",IF(ISBLANK(E187),"2 Add",IF(SHA1Range(E187:J187) = "1cb7f966458e848d015fe107e4251c128a321380","0 Original","1 Modify"))))</f>
        <v>0 Original</v>
      </c>
      <c r="D187" s="5" t="s">
        <v>1146</v>
      </c>
      <c r="E187" s="3">
        <v>332</v>
      </c>
      <c r="F187" s="13">
        <v>41752</v>
      </c>
      <c r="G187" t="s">
        <v>137</v>
      </c>
      <c r="H187" s="9">
        <v>20.97</v>
      </c>
      <c r="I187" s="5" t="s">
        <v>68</v>
      </c>
      <c r="J187" s="15">
        <v>41752.013379629629</v>
      </c>
      <c r="K187" t="str">
        <f t="shared" si="2"/>
        <v>04-2014</v>
      </c>
    </row>
    <row r="188" spans="3:11" x14ac:dyDescent="0.25">
      <c r="C188" t="str">
        <f>IF(COUNTBLANK(E188:J188) = 6,"",IF(AND(NOT(ISBLANK(E188)),COUNTBLANK(E188:J188) = 5),"3 Delete",IF(ISBLANK(E188),"2 Add",IF(SHA1Range(E188:J188) = "6acf35b23347e1f39ae07894c75ec3940f244c53","0 Original","1 Modify"))))</f>
        <v>0 Original</v>
      </c>
      <c r="D188" s="5" t="s">
        <v>1147</v>
      </c>
      <c r="E188" s="3">
        <v>396</v>
      </c>
      <c r="F188" s="13">
        <v>41752</v>
      </c>
      <c r="G188" t="s">
        <v>281</v>
      </c>
      <c r="H188" s="9">
        <v>43.95</v>
      </c>
      <c r="I188" s="5" t="s">
        <v>68</v>
      </c>
      <c r="J188" s="15">
        <v>41752.286215277774</v>
      </c>
      <c r="K188" t="str">
        <f t="shared" si="2"/>
        <v>04-2014</v>
      </c>
    </row>
    <row r="189" spans="3:11" x14ac:dyDescent="0.25">
      <c r="C189" t="str">
        <f>IF(COUNTBLANK(E189:J189) = 6,"",IF(AND(NOT(ISBLANK(E189)),COUNTBLANK(E189:J189) = 5),"3 Delete",IF(ISBLANK(E189),"2 Add",IF(SHA1Range(E189:J189) = "f35d629159947d5c5639f32bce3562dfdcddacfd","0 Original","1 Modify"))))</f>
        <v>0 Original</v>
      </c>
      <c r="D189" s="5" t="s">
        <v>1148</v>
      </c>
      <c r="E189" s="3">
        <v>1116</v>
      </c>
      <c r="F189" s="13">
        <v>41753</v>
      </c>
      <c r="G189" t="s">
        <v>134</v>
      </c>
      <c r="H189" s="9">
        <v>37.96</v>
      </c>
      <c r="I189" s="5" t="s">
        <v>68</v>
      </c>
      <c r="J189" s="15">
        <v>41753.272372685184</v>
      </c>
      <c r="K189" t="str">
        <f t="shared" si="2"/>
        <v>04-2014</v>
      </c>
    </row>
    <row r="190" spans="3:11" x14ac:dyDescent="0.25">
      <c r="C190" t="str">
        <f>IF(COUNTBLANK(E190:J190) = 6,"",IF(AND(NOT(ISBLANK(E190)),COUNTBLANK(E190:J190) = 5),"3 Delete",IF(ISBLANK(E190),"2 Add",IF(SHA1Range(E190:J190) = "4c9cab58d47fcb8c140f5cf6f235778d22803f0a","0 Original","1 Modify"))))</f>
        <v>0 Original</v>
      </c>
      <c r="D190" s="5" t="s">
        <v>1149</v>
      </c>
      <c r="E190" s="3">
        <v>911</v>
      </c>
      <c r="F190" s="13">
        <v>41755</v>
      </c>
      <c r="G190" t="s">
        <v>98</v>
      </c>
      <c r="H190" s="9">
        <v>20.97</v>
      </c>
      <c r="I190" s="5" t="s">
        <v>68</v>
      </c>
      <c r="J190" s="15">
        <v>41755.384756944448</v>
      </c>
      <c r="K190" t="str">
        <f t="shared" si="2"/>
        <v>04-2014</v>
      </c>
    </row>
    <row r="191" spans="3:11" x14ac:dyDescent="0.25">
      <c r="C191" t="str">
        <f>IF(COUNTBLANK(E191:J191) = 6,"",IF(AND(NOT(ISBLANK(E191)),COUNTBLANK(E191:J191) = 5),"3 Delete",IF(ISBLANK(E191),"2 Add",IF(SHA1Range(E191:J191) = "79ae531cc07c0fbc63b7c3c126621453c0736c3a","0 Original","1 Modify"))))</f>
        <v>0 Original</v>
      </c>
      <c r="D191" s="5" t="s">
        <v>1150</v>
      </c>
      <c r="E191" s="3">
        <v>673</v>
      </c>
      <c r="F191" s="13">
        <v>41755</v>
      </c>
      <c r="G191" t="s">
        <v>281</v>
      </c>
      <c r="H191" s="9">
        <v>29.96</v>
      </c>
      <c r="I191" s="5" t="s">
        <v>68</v>
      </c>
      <c r="J191" s="15">
        <v>41755.734664351854</v>
      </c>
      <c r="K191" t="str">
        <f t="shared" si="2"/>
        <v>04-2014</v>
      </c>
    </row>
    <row r="192" spans="3:11" x14ac:dyDescent="0.25">
      <c r="C192" t="str">
        <f>IF(COUNTBLANK(E192:J192) = 6,"",IF(AND(NOT(ISBLANK(E192)),COUNTBLANK(E192:J192) = 5),"3 Delete",IF(ISBLANK(E192),"2 Add",IF(SHA1Range(E192:J192) = "bd2bb66797bb4c6b7a438349263c2b8eabbbaf57","0 Original","1 Modify"))))</f>
        <v>0 Original</v>
      </c>
      <c r="D192" s="5" t="s">
        <v>1151</v>
      </c>
      <c r="E192" s="3">
        <v>76</v>
      </c>
      <c r="F192" s="13">
        <v>41755</v>
      </c>
      <c r="G192" t="s">
        <v>347</v>
      </c>
      <c r="H192" s="9">
        <v>57.92</v>
      </c>
      <c r="I192" s="5" t="s">
        <v>68</v>
      </c>
      <c r="J192" s="15">
        <v>41755.745636574073</v>
      </c>
      <c r="K192" t="str">
        <f t="shared" si="2"/>
        <v>04-2014</v>
      </c>
    </row>
    <row r="193" spans="3:11" x14ac:dyDescent="0.25">
      <c r="C193" t="str">
        <f>IF(COUNTBLANK(E193:J193) = 6,"",IF(AND(NOT(ISBLANK(E193)),COUNTBLANK(E193:J193) = 5),"3 Delete",IF(ISBLANK(E193),"2 Add",IF(SHA1Range(E193:J193) = "b36a43b2bb95cbbc382322475f9873776fe646bc","0 Original","1 Modify"))))</f>
        <v>0 Original</v>
      </c>
      <c r="D193" s="5" t="s">
        <v>1152</v>
      </c>
      <c r="E193" s="3">
        <v>487</v>
      </c>
      <c r="F193" s="13">
        <v>41755</v>
      </c>
      <c r="G193" t="s">
        <v>281</v>
      </c>
      <c r="H193" s="9">
        <v>42.95</v>
      </c>
      <c r="I193" s="5" t="s">
        <v>68</v>
      </c>
      <c r="J193" s="15">
        <v>41755.896018518521</v>
      </c>
      <c r="K193" t="str">
        <f t="shared" si="2"/>
        <v>04-2014</v>
      </c>
    </row>
    <row r="194" spans="3:11" x14ac:dyDescent="0.25">
      <c r="C194" t="str">
        <f>IF(COUNTBLANK(E194:J194) = 6,"",IF(AND(NOT(ISBLANK(E194)),COUNTBLANK(E194:J194) = 5),"3 Delete",IF(ISBLANK(E194),"2 Add",IF(SHA1Range(E194:J194) = "a933ee52c798d9282c555dbecab797e33873f4c7","0 Original","1 Modify"))))</f>
        <v>0 Original</v>
      </c>
      <c r="D194" s="5" t="s">
        <v>1153</v>
      </c>
      <c r="E194" s="3">
        <v>1144</v>
      </c>
      <c r="F194" s="13">
        <v>41756</v>
      </c>
      <c r="G194" t="s">
        <v>272</v>
      </c>
      <c r="H194" s="9">
        <v>22.97</v>
      </c>
      <c r="I194" s="5" t="s">
        <v>68</v>
      </c>
      <c r="J194" s="15">
        <v>41756.43414351852</v>
      </c>
      <c r="K194" t="str">
        <f t="shared" si="2"/>
        <v>04-2014</v>
      </c>
    </row>
    <row r="195" spans="3:11" x14ac:dyDescent="0.25">
      <c r="C195" t="str">
        <f>IF(COUNTBLANK(E195:J195) = 6,"",IF(AND(NOT(ISBLANK(E195)),COUNTBLANK(E195:J195) = 5),"3 Delete",IF(ISBLANK(E195),"2 Add",IF(SHA1Range(E195:J195) = "c74cb503603946ed9600fe59f3578c4b4a6bccfc","0 Original","1 Modify"))))</f>
        <v>0 Original</v>
      </c>
      <c r="D195" s="5" t="s">
        <v>1154</v>
      </c>
      <c r="E195" s="3">
        <v>1150</v>
      </c>
      <c r="F195" s="13">
        <v>41756</v>
      </c>
      <c r="G195" t="s">
        <v>260</v>
      </c>
      <c r="H195" s="9">
        <v>49.94</v>
      </c>
      <c r="I195" s="5" t="s">
        <v>68</v>
      </c>
      <c r="J195" s="15">
        <v>41756.972175925926</v>
      </c>
      <c r="K195" t="str">
        <f t="shared" ref="K195:K258" si="3">TEXT(F195,"mm-yyyy")</f>
        <v>04-2014</v>
      </c>
    </row>
    <row r="196" spans="3:11" x14ac:dyDescent="0.25">
      <c r="C196" t="str">
        <f>IF(COUNTBLANK(E196:J196) = 6,"",IF(AND(NOT(ISBLANK(E196)),COUNTBLANK(E196:J196) = 5),"3 Delete",IF(ISBLANK(E196),"2 Add",IF(SHA1Range(E196:J196) = "55a09ad7f32326a825317f64a5ba25266f834866","0 Original","1 Modify"))))</f>
        <v>0 Original</v>
      </c>
      <c r="D196" s="5" t="s">
        <v>1155</v>
      </c>
      <c r="E196" s="3">
        <v>1151</v>
      </c>
      <c r="F196" s="13">
        <v>41758</v>
      </c>
      <c r="G196" t="s">
        <v>245</v>
      </c>
      <c r="H196" s="9">
        <v>10.98</v>
      </c>
      <c r="I196" s="5" t="s">
        <v>68</v>
      </c>
      <c r="J196" s="15">
        <v>41758.093344907407</v>
      </c>
      <c r="K196" t="str">
        <f t="shared" si="3"/>
        <v>04-2014</v>
      </c>
    </row>
    <row r="197" spans="3:11" x14ac:dyDescent="0.25">
      <c r="C197" t="str">
        <f>IF(COUNTBLANK(E197:J197) = 6,"",IF(AND(NOT(ISBLANK(E197)),COUNTBLANK(E197:J197) = 5),"3 Delete",IF(ISBLANK(E197),"2 Add",IF(SHA1Range(E197:J197) = "21ea49cb12e552d9e8aa9d57e7a232c7f7c5b71e","0 Original","1 Modify"))))</f>
        <v>0 Original</v>
      </c>
      <c r="D197" s="5" t="s">
        <v>1156</v>
      </c>
      <c r="E197" s="3">
        <v>814</v>
      </c>
      <c r="F197" s="13">
        <v>41758</v>
      </c>
      <c r="G197" t="s">
        <v>170</v>
      </c>
      <c r="H197" s="9">
        <v>43.94</v>
      </c>
      <c r="I197" s="5" t="s">
        <v>68</v>
      </c>
      <c r="J197" s="15">
        <v>41758.912268518521</v>
      </c>
      <c r="K197" t="str">
        <f t="shared" si="3"/>
        <v>04-2014</v>
      </c>
    </row>
    <row r="198" spans="3:11" x14ac:dyDescent="0.25">
      <c r="C198" t="str">
        <f>IF(COUNTBLANK(E198:J198) = 6,"",IF(AND(NOT(ISBLANK(E198)),COUNTBLANK(E198:J198) = 5),"3 Delete",IF(ISBLANK(E198),"2 Add",IF(SHA1Range(E198:J198) = "21456d926e826dcb767aad904740f484b7bb8ce3","0 Original","1 Modify"))))</f>
        <v>0 Original</v>
      </c>
      <c r="D198" s="5" t="s">
        <v>1157</v>
      </c>
      <c r="E198" s="3">
        <v>643</v>
      </c>
      <c r="F198" s="13">
        <v>41760</v>
      </c>
      <c r="G198" t="s">
        <v>89</v>
      </c>
      <c r="H198" s="9">
        <v>22.96</v>
      </c>
      <c r="I198" s="5" t="s">
        <v>68</v>
      </c>
      <c r="J198" s="15">
        <v>41760.171388888892</v>
      </c>
      <c r="K198" t="str">
        <f t="shared" si="3"/>
        <v>05-2014</v>
      </c>
    </row>
    <row r="199" spans="3:11" x14ac:dyDescent="0.25">
      <c r="C199" t="str">
        <f>IF(COUNTBLANK(E199:J199) = 6,"",IF(AND(NOT(ISBLANK(E199)),COUNTBLANK(E199:J199) = 5),"3 Delete",IF(ISBLANK(E199),"2 Add",IF(SHA1Range(E199:J199) = "390728fe8cce058cf4835a161f43b64da7584891","0 Original","1 Modify"))))</f>
        <v>0 Original</v>
      </c>
      <c r="D199" s="5" t="s">
        <v>1158</v>
      </c>
      <c r="E199" s="3">
        <v>1093</v>
      </c>
      <c r="F199" s="13">
        <v>41761</v>
      </c>
      <c r="G199" t="s">
        <v>326</v>
      </c>
      <c r="H199" s="9">
        <v>39.950000000000003</v>
      </c>
      <c r="I199" s="5" t="s">
        <v>68</v>
      </c>
      <c r="J199" s="15">
        <v>41761.411157407405</v>
      </c>
      <c r="K199" t="str">
        <f t="shared" si="3"/>
        <v>05-2014</v>
      </c>
    </row>
    <row r="200" spans="3:11" x14ac:dyDescent="0.25">
      <c r="C200" t="str">
        <f>IF(COUNTBLANK(E200:J200) = 6,"",IF(AND(NOT(ISBLANK(E200)),COUNTBLANK(E200:J200) = 5),"3 Delete",IF(ISBLANK(E200),"2 Add",IF(SHA1Range(E200:J200) = "f3844b966a1773f59726d576b1914ea389cf3130","0 Original","1 Modify"))))</f>
        <v>0 Original</v>
      </c>
      <c r="D200" s="5" t="s">
        <v>1159</v>
      </c>
      <c r="E200" s="3">
        <v>257</v>
      </c>
      <c r="F200" s="13">
        <v>41761</v>
      </c>
      <c r="G200" t="s">
        <v>146</v>
      </c>
      <c r="H200" s="9">
        <v>16.98</v>
      </c>
      <c r="I200" s="5" t="s">
        <v>68</v>
      </c>
      <c r="J200" s="15">
        <v>41761.463356481479</v>
      </c>
      <c r="K200" t="str">
        <f t="shared" si="3"/>
        <v>05-2014</v>
      </c>
    </row>
    <row r="201" spans="3:11" x14ac:dyDescent="0.25">
      <c r="C201" t="str">
        <f>IF(COUNTBLANK(E201:J201) = 6,"",IF(AND(NOT(ISBLANK(E201)),COUNTBLANK(E201:J201) = 5),"3 Delete",IF(ISBLANK(E201),"2 Add",IF(SHA1Range(E201:J201) = "b8e584246adbf45533ea1436223360ad9c63dfab","0 Original","1 Modify"))))</f>
        <v>0 Original</v>
      </c>
      <c r="D201" s="5" t="s">
        <v>1160</v>
      </c>
      <c r="E201" s="3">
        <v>490</v>
      </c>
      <c r="F201" s="13">
        <v>41761</v>
      </c>
      <c r="G201" t="s">
        <v>305</v>
      </c>
      <c r="H201" s="9">
        <v>16.97</v>
      </c>
      <c r="I201" s="5" t="s">
        <v>68</v>
      </c>
      <c r="J201" s="15">
        <v>41761.598333333335</v>
      </c>
      <c r="K201" t="str">
        <f t="shared" si="3"/>
        <v>05-2014</v>
      </c>
    </row>
    <row r="202" spans="3:11" x14ac:dyDescent="0.25">
      <c r="C202" t="str">
        <f>IF(COUNTBLANK(E202:J202) = 6,"",IF(AND(NOT(ISBLANK(E202)),COUNTBLANK(E202:J202) = 5),"3 Delete",IF(ISBLANK(E202),"2 Add",IF(SHA1Range(E202:J202) = "07fe88bf854958b0b7864c07aa97e18469452507","0 Original","1 Modify"))))</f>
        <v>0 Original</v>
      </c>
      <c r="D202" s="5" t="s">
        <v>1161</v>
      </c>
      <c r="E202" s="3">
        <v>1119</v>
      </c>
      <c r="F202" s="13">
        <v>41762</v>
      </c>
      <c r="G202" t="s">
        <v>260</v>
      </c>
      <c r="H202" s="9">
        <v>7.99</v>
      </c>
      <c r="I202" s="5" t="s">
        <v>68</v>
      </c>
      <c r="J202" s="15">
        <v>41762.774444444447</v>
      </c>
      <c r="K202" t="str">
        <f t="shared" si="3"/>
        <v>05-2014</v>
      </c>
    </row>
    <row r="203" spans="3:11" x14ac:dyDescent="0.25">
      <c r="C203" t="str">
        <f>IF(COUNTBLANK(E203:J203) = 6,"",IF(AND(NOT(ISBLANK(E203)),COUNTBLANK(E203:J203) = 5),"3 Delete",IF(ISBLANK(E203),"2 Add",IF(SHA1Range(E203:J203) = "341c9de92e879a71f03f0674036134d3c07a4da7","0 Original","1 Modify"))))</f>
        <v>0 Original</v>
      </c>
      <c r="D203" s="5" t="s">
        <v>1162</v>
      </c>
      <c r="E203" s="3">
        <v>521</v>
      </c>
      <c r="F203" s="13">
        <v>41763</v>
      </c>
      <c r="G203" t="s">
        <v>86</v>
      </c>
      <c r="H203" s="9">
        <v>24.97</v>
      </c>
      <c r="I203" s="5" t="s">
        <v>68</v>
      </c>
      <c r="J203" s="15">
        <v>41763.769756944443</v>
      </c>
      <c r="K203" t="str">
        <f t="shared" si="3"/>
        <v>05-2014</v>
      </c>
    </row>
    <row r="204" spans="3:11" x14ac:dyDescent="0.25">
      <c r="C204" t="str">
        <f>IF(COUNTBLANK(E204:J204) = 6,"",IF(AND(NOT(ISBLANK(E204)),COUNTBLANK(E204:J204) = 5),"3 Delete",IF(ISBLANK(E204),"2 Add",IF(SHA1Range(E204:J204) = "167cf9e753541778d12417bfaf641f6d1cae9a26","0 Original","1 Modify"))))</f>
        <v>0 Original</v>
      </c>
      <c r="D204" s="5" t="s">
        <v>1163</v>
      </c>
      <c r="E204" s="3">
        <v>166</v>
      </c>
      <c r="F204" s="13">
        <v>41763</v>
      </c>
      <c r="G204" t="s">
        <v>146</v>
      </c>
      <c r="H204" s="9">
        <v>40.950000000000003</v>
      </c>
      <c r="I204" s="5" t="s">
        <v>68</v>
      </c>
      <c r="J204" s="15">
        <v>41763.834490740737</v>
      </c>
      <c r="K204" t="str">
        <f t="shared" si="3"/>
        <v>05-2014</v>
      </c>
    </row>
    <row r="205" spans="3:11" x14ac:dyDescent="0.25">
      <c r="C205" t="str">
        <f>IF(COUNTBLANK(E205:J205) = 6,"",IF(AND(NOT(ISBLANK(E205)),COUNTBLANK(E205:J205) = 5),"3 Delete",IF(ISBLANK(E205),"2 Add",IF(SHA1Range(E205:J205) = "a25a3d0b501fb62802e3c377241c1aaec77c1683","0 Original","1 Modify"))))</f>
        <v>0 Original</v>
      </c>
      <c r="D205" s="5" t="s">
        <v>1164</v>
      </c>
      <c r="E205" s="3">
        <v>519</v>
      </c>
      <c r="F205" s="13">
        <v>41764</v>
      </c>
      <c r="G205" t="s">
        <v>155</v>
      </c>
      <c r="H205" s="9">
        <v>27.96</v>
      </c>
      <c r="I205" s="5" t="s">
        <v>68</v>
      </c>
      <c r="J205" s="15">
        <v>41764.449016203704</v>
      </c>
      <c r="K205" t="str">
        <f t="shared" si="3"/>
        <v>05-2014</v>
      </c>
    </row>
    <row r="206" spans="3:11" x14ac:dyDescent="0.25">
      <c r="C206" t="str">
        <f>IF(COUNTBLANK(E206:J206) = 6,"",IF(AND(NOT(ISBLANK(E206)),COUNTBLANK(E206:J206) = 5),"3 Delete",IF(ISBLANK(E206),"2 Add",IF(SHA1Range(E206:J206) = "da96bc791b0edfb8dbc3f2de9a7cbc2b5ada154c","0 Original","1 Modify"))))</f>
        <v>0 Original</v>
      </c>
      <c r="D206" s="5" t="s">
        <v>1165</v>
      </c>
      <c r="E206" s="3">
        <v>682</v>
      </c>
      <c r="F206" s="13">
        <v>41765</v>
      </c>
      <c r="G206" t="s">
        <v>125</v>
      </c>
      <c r="H206" s="9">
        <v>22.97</v>
      </c>
      <c r="I206" s="5" t="s">
        <v>68</v>
      </c>
      <c r="J206" s="15">
        <v>41765.319745370369</v>
      </c>
      <c r="K206" t="str">
        <f t="shared" si="3"/>
        <v>05-2014</v>
      </c>
    </row>
    <row r="207" spans="3:11" x14ac:dyDescent="0.25">
      <c r="C207" t="str">
        <f>IF(COUNTBLANK(E207:J207) = 6,"",IF(AND(NOT(ISBLANK(E207)),COUNTBLANK(E207:J207) = 5),"3 Delete",IF(ISBLANK(E207),"2 Add",IF(SHA1Range(E207:J207) = "0b102ca0ff22348b84be456ae714605bc2af54e0","0 Original","1 Modify"))))</f>
        <v>0 Original</v>
      </c>
      <c r="D207" s="5" t="s">
        <v>1166</v>
      </c>
      <c r="E207" s="3">
        <v>827</v>
      </c>
      <c r="F207" s="13">
        <v>41765</v>
      </c>
      <c r="G207" t="s">
        <v>260</v>
      </c>
      <c r="H207" s="9">
        <v>37.950000000000003</v>
      </c>
      <c r="I207" s="5" t="s">
        <v>68</v>
      </c>
      <c r="J207" s="15">
        <v>41765.544594907406</v>
      </c>
      <c r="K207" t="str">
        <f t="shared" si="3"/>
        <v>05-2014</v>
      </c>
    </row>
    <row r="208" spans="3:11" x14ac:dyDescent="0.25">
      <c r="C208" t="str">
        <f>IF(COUNTBLANK(E208:J208) = 6,"",IF(AND(NOT(ISBLANK(E208)),COUNTBLANK(E208:J208) = 5),"3 Delete",IF(ISBLANK(E208),"2 Add",IF(SHA1Range(E208:J208) = "7c8301c3e827101fc5e3c754c03537f872b87d56","0 Original","1 Modify"))))</f>
        <v>0 Original</v>
      </c>
      <c r="D208" s="5" t="s">
        <v>1167</v>
      </c>
      <c r="E208" s="3">
        <v>830</v>
      </c>
      <c r="F208" s="13">
        <v>41766</v>
      </c>
      <c r="G208" t="s">
        <v>302</v>
      </c>
      <c r="H208" s="9">
        <v>44.95</v>
      </c>
      <c r="I208" s="5" t="s">
        <v>68</v>
      </c>
      <c r="J208" s="15">
        <v>41766.389594907407</v>
      </c>
      <c r="K208" t="str">
        <f t="shared" si="3"/>
        <v>05-2014</v>
      </c>
    </row>
    <row r="209" spans="3:11" x14ac:dyDescent="0.25">
      <c r="C209" t="str">
        <f>IF(COUNTBLANK(E209:J209) = 6,"",IF(AND(NOT(ISBLANK(E209)),COUNTBLANK(E209:J209) = 5),"3 Delete",IF(ISBLANK(E209),"2 Add",IF(SHA1Range(E209:J209) = "4153811e6545572996bc4cd6dfe26b4ea4558618","0 Original","1 Modify"))))</f>
        <v>0 Original</v>
      </c>
      <c r="D209" s="5" t="s">
        <v>1168</v>
      </c>
      <c r="E209" s="3">
        <v>672</v>
      </c>
      <c r="F209" s="13">
        <v>41768</v>
      </c>
      <c r="G209" t="s">
        <v>293</v>
      </c>
      <c r="H209" s="9">
        <v>11.98</v>
      </c>
      <c r="I209" s="5" t="s">
        <v>68</v>
      </c>
      <c r="J209" s="15">
        <v>41768.010659722226</v>
      </c>
      <c r="K209" t="str">
        <f t="shared" si="3"/>
        <v>05-2014</v>
      </c>
    </row>
    <row r="210" spans="3:11" x14ac:dyDescent="0.25">
      <c r="C210" t="str">
        <f>IF(COUNTBLANK(E210:J210) = 6,"",IF(AND(NOT(ISBLANK(E210)),COUNTBLANK(E210:J210) = 5),"3 Delete",IF(ISBLANK(E210),"2 Add",IF(SHA1Range(E210:J210) = "3f5bfd4a85199ea0cffb836986edbafaf4521ff9","0 Original","1 Modify"))))</f>
        <v>0 Original</v>
      </c>
      <c r="D210" s="5" t="s">
        <v>1169</v>
      </c>
      <c r="E210" s="3">
        <v>164</v>
      </c>
      <c r="F210" s="13">
        <v>41768</v>
      </c>
      <c r="G210" t="s">
        <v>119</v>
      </c>
      <c r="H210" s="9">
        <v>73.91</v>
      </c>
      <c r="I210" s="5" t="s">
        <v>68</v>
      </c>
      <c r="J210" s="15">
        <v>41768.292650462965</v>
      </c>
      <c r="K210" t="str">
        <f t="shared" si="3"/>
        <v>05-2014</v>
      </c>
    </row>
    <row r="211" spans="3:11" x14ac:dyDescent="0.25">
      <c r="C211" t="str">
        <f>IF(COUNTBLANK(E211:J211) = 6,"",IF(AND(NOT(ISBLANK(E211)),COUNTBLANK(E211:J211) = 5),"3 Delete",IF(ISBLANK(E211),"2 Add",IF(SHA1Range(E211:J211) = "f1badc8c4d87f686e411f5fb3af071743b1f498d","0 Original","1 Modify"))))</f>
        <v>0 Original</v>
      </c>
      <c r="D211" s="5" t="s">
        <v>1170</v>
      </c>
      <c r="E211" s="3">
        <v>445</v>
      </c>
      <c r="F211" s="13">
        <v>41769</v>
      </c>
      <c r="G211" t="s">
        <v>239</v>
      </c>
      <c r="H211" s="9">
        <v>31.96</v>
      </c>
      <c r="I211" s="5" t="s">
        <v>68</v>
      </c>
      <c r="J211" s="15">
        <v>41769.513668981483</v>
      </c>
      <c r="K211" t="str">
        <f t="shared" si="3"/>
        <v>05-2014</v>
      </c>
    </row>
    <row r="212" spans="3:11" x14ac:dyDescent="0.25">
      <c r="C212" t="str">
        <f>IF(COUNTBLANK(E212:J212) = 6,"",IF(AND(NOT(ISBLANK(E212)),COUNTBLANK(E212:J212) = 5),"3 Delete",IF(ISBLANK(E212),"2 Add",IF(SHA1Range(E212:J212) = "10b469702b36e8b8d0837edbd0a6afb39b2ef0fa","0 Original","1 Modify"))))</f>
        <v>0 Original</v>
      </c>
      <c r="D212" s="5" t="s">
        <v>1171</v>
      </c>
      <c r="E212" s="3">
        <v>1101</v>
      </c>
      <c r="F212" s="13">
        <v>41770</v>
      </c>
      <c r="G212" t="s">
        <v>242</v>
      </c>
      <c r="H212" s="9">
        <v>49.92</v>
      </c>
      <c r="I212" s="5" t="s">
        <v>68</v>
      </c>
      <c r="J212" s="15">
        <v>41770.209421296298</v>
      </c>
      <c r="K212" t="str">
        <f t="shared" si="3"/>
        <v>05-2014</v>
      </c>
    </row>
    <row r="213" spans="3:11" x14ac:dyDescent="0.25">
      <c r="C213" t="str">
        <f>IF(COUNTBLANK(E213:J213) = 6,"",IF(AND(NOT(ISBLANK(E213)),COUNTBLANK(E213:J213) = 5),"3 Delete",IF(ISBLANK(E213),"2 Add",IF(SHA1Range(E213:J213) = "7b2d84610262d3d39e9ea110e552ffde88d78d3a","0 Original","1 Modify"))))</f>
        <v>0 Original</v>
      </c>
      <c r="D213" s="5" t="s">
        <v>1172</v>
      </c>
      <c r="E213" s="3">
        <v>744</v>
      </c>
      <c r="F213" s="13">
        <v>41770</v>
      </c>
      <c r="G213" t="s">
        <v>260</v>
      </c>
      <c r="H213" s="9">
        <v>49.93</v>
      </c>
      <c r="I213" s="5" t="s">
        <v>68</v>
      </c>
      <c r="J213" s="15">
        <v>41770.478333333333</v>
      </c>
      <c r="K213" t="str">
        <f t="shared" si="3"/>
        <v>05-2014</v>
      </c>
    </row>
    <row r="214" spans="3:11" x14ac:dyDescent="0.25">
      <c r="C214" t="str">
        <f>IF(COUNTBLANK(E214:J214) = 6,"",IF(AND(NOT(ISBLANK(E214)),COUNTBLANK(E214:J214) = 5),"3 Delete",IF(ISBLANK(E214),"2 Add",IF(SHA1Range(E214:J214) = "cb57432099e3a8c1cf6701ebd17beeb247329eb8","0 Original","1 Modify"))))</f>
        <v>0 Original</v>
      </c>
      <c r="D214" s="5" t="s">
        <v>1173</v>
      </c>
      <c r="E214" s="3">
        <v>429</v>
      </c>
      <c r="F214" s="13">
        <v>41771</v>
      </c>
      <c r="G214" t="s">
        <v>239</v>
      </c>
      <c r="H214" s="9">
        <v>27.96</v>
      </c>
      <c r="I214" s="5" t="s">
        <v>68</v>
      </c>
      <c r="J214" s="15">
        <v>41771.969340277778</v>
      </c>
      <c r="K214" t="str">
        <f t="shared" si="3"/>
        <v>05-2014</v>
      </c>
    </row>
    <row r="215" spans="3:11" x14ac:dyDescent="0.25">
      <c r="C215" t="str">
        <f>IF(COUNTBLANK(E215:J215) = 6,"",IF(AND(NOT(ISBLANK(E215)),COUNTBLANK(E215:J215) = 5),"3 Delete",IF(ISBLANK(E215),"2 Add",IF(SHA1Range(E215:J215) = "3fdc5cccb2d81b1d6cdd1eb36bd5635139c361c4","0 Original","1 Modify"))))</f>
        <v>0 Original</v>
      </c>
      <c r="D215" s="5" t="s">
        <v>1174</v>
      </c>
      <c r="E215" s="3">
        <v>140</v>
      </c>
      <c r="F215" s="13">
        <v>41772</v>
      </c>
      <c r="G215" t="s">
        <v>128</v>
      </c>
      <c r="H215" s="9">
        <v>32.96</v>
      </c>
      <c r="I215" s="5" t="s">
        <v>68</v>
      </c>
      <c r="J215" s="15">
        <v>41772.958749999998</v>
      </c>
      <c r="K215" t="str">
        <f t="shared" si="3"/>
        <v>05-2014</v>
      </c>
    </row>
    <row r="216" spans="3:11" x14ac:dyDescent="0.25">
      <c r="C216" t="str">
        <f>IF(COUNTBLANK(E216:J216) = 6,"",IF(AND(NOT(ISBLANK(E216)),COUNTBLANK(E216:J216) = 5),"3 Delete",IF(ISBLANK(E216),"2 Add",IF(SHA1Range(E216:J216) = "4b6682fc6021333c28d9323abd44bccf5202264b","0 Original","1 Modify"))))</f>
        <v>0 Original</v>
      </c>
      <c r="D216" s="5" t="s">
        <v>1175</v>
      </c>
      <c r="E216" s="3">
        <v>654</v>
      </c>
      <c r="F216" s="13">
        <v>41773</v>
      </c>
      <c r="G216" t="s">
        <v>341</v>
      </c>
      <c r="H216" s="9">
        <v>20.97</v>
      </c>
      <c r="I216" s="5" t="s">
        <v>68</v>
      </c>
      <c r="J216" s="15">
        <v>41773.28334490741</v>
      </c>
      <c r="K216" t="str">
        <f t="shared" si="3"/>
        <v>05-2014</v>
      </c>
    </row>
    <row r="217" spans="3:11" x14ac:dyDescent="0.25">
      <c r="C217" t="str">
        <f>IF(COUNTBLANK(E217:J217) = 6,"",IF(AND(NOT(ISBLANK(E217)),COUNTBLANK(E217:J217) = 5),"3 Delete",IF(ISBLANK(E217),"2 Add",IF(SHA1Range(E217:J217) = "457b3805b5740c15b3534b3a481586407049d0f5","0 Original","1 Modify"))))</f>
        <v>0 Original</v>
      </c>
      <c r="D217" s="5" t="s">
        <v>1176</v>
      </c>
      <c r="E217" s="3">
        <v>600</v>
      </c>
      <c r="F217" s="13">
        <v>41773</v>
      </c>
      <c r="G217" t="s">
        <v>354</v>
      </c>
      <c r="H217" s="9">
        <v>18.97</v>
      </c>
      <c r="I217" s="5" t="s">
        <v>68</v>
      </c>
      <c r="J217" s="15">
        <v>41773.478263888886</v>
      </c>
      <c r="K217" t="str">
        <f t="shared" si="3"/>
        <v>05-2014</v>
      </c>
    </row>
    <row r="218" spans="3:11" x14ac:dyDescent="0.25">
      <c r="C218" t="str">
        <f>IF(COUNTBLANK(E218:J218) = 6,"",IF(AND(NOT(ISBLANK(E218)),COUNTBLANK(E218:J218) = 5),"3 Delete",IF(ISBLANK(E218),"2 Add",IF(SHA1Range(E218:J218) = "9302b43efd4a8e9ee9fd7642ff3d0f255ca26aeb","0 Original","1 Modify"))))</f>
        <v>0 Original</v>
      </c>
      <c r="D218" s="5" t="s">
        <v>1177</v>
      </c>
      <c r="E218" s="3">
        <v>785</v>
      </c>
      <c r="F218" s="13">
        <v>41773</v>
      </c>
      <c r="G218" t="s">
        <v>272</v>
      </c>
      <c r="H218" s="9">
        <v>21.96</v>
      </c>
      <c r="I218" s="5" t="s">
        <v>68</v>
      </c>
      <c r="J218" s="15">
        <v>41773.550497685188</v>
      </c>
      <c r="K218" t="str">
        <f t="shared" si="3"/>
        <v>05-2014</v>
      </c>
    </row>
    <row r="219" spans="3:11" x14ac:dyDescent="0.25">
      <c r="C219" t="str">
        <f>IF(COUNTBLANK(E219:J219) = 6,"",IF(AND(NOT(ISBLANK(E219)),COUNTBLANK(E219:J219) = 5),"3 Delete",IF(ISBLANK(E219),"2 Add",IF(SHA1Range(E219:J219) = "381f360e92aea0c197da581c2522ea6959fa9083","0 Original","1 Modify"))))</f>
        <v>0 Original</v>
      </c>
      <c r="D219" s="5" t="s">
        <v>1178</v>
      </c>
      <c r="E219" s="3">
        <v>497</v>
      </c>
      <c r="F219" s="13">
        <v>41774</v>
      </c>
      <c r="G219" t="s">
        <v>89</v>
      </c>
      <c r="H219" s="9">
        <v>27.96</v>
      </c>
      <c r="I219" s="5" t="s">
        <v>68</v>
      </c>
      <c r="J219" s="15">
        <v>41774.548611111109</v>
      </c>
      <c r="K219" t="str">
        <f t="shared" si="3"/>
        <v>05-2014</v>
      </c>
    </row>
    <row r="220" spans="3:11" x14ac:dyDescent="0.25">
      <c r="C220" t="str">
        <f>IF(COUNTBLANK(E220:J220) = 6,"",IF(AND(NOT(ISBLANK(E220)),COUNTBLANK(E220:J220) = 5),"3 Delete",IF(ISBLANK(E220),"2 Add",IF(SHA1Range(E220:J220) = "079b3b06aeee0991fc2ffadaf7167a9380cb7f7b","0 Original","1 Modify"))))</f>
        <v>0 Original</v>
      </c>
      <c r="D220" s="5" t="s">
        <v>1179</v>
      </c>
      <c r="E220" s="3">
        <v>872</v>
      </c>
      <c r="F220" s="13">
        <v>41774</v>
      </c>
      <c r="G220" t="s">
        <v>302</v>
      </c>
      <c r="H220" s="9">
        <v>7.99</v>
      </c>
      <c r="I220" s="5" t="s">
        <v>68</v>
      </c>
      <c r="J220" s="15">
        <v>41774.818506944444</v>
      </c>
      <c r="K220" t="str">
        <f t="shared" si="3"/>
        <v>05-2014</v>
      </c>
    </row>
    <row r="221" spans="3:11" x14ac:dyDescent="0.25">
      <c r="C221" t="str">
        <f>IF(COUNTBLANK(E221:J221) = 6,"",IF(AND(NOT(ISBLANK(E221)),COUNTBLANK(E221:J221) = 5),"3 Delete",IF(ISBLANK(E221),"2 Add",IF(SHA1Range(E221:J221) = "93d64e2f1b46ee2897f544b4cc9a62d42c176473","0 Original","1 Modify"))))</f>
        <v>0 Original</v>
      </c>
      <c r="D221" s="5" t="s">
        <v>1180</v>
      </c>
      <c r="E221" s="3">
        <v>733</v>
      </c>
      <c r="F221" s="13">
        <v>41774</v>
      </c>
      <c r="G221" t="s">
        <v>242</v>
      </c>
      <c r="H221" s="9">
        <v>4.99</v>
      </c>
      <c r="I221" s="5" t="s">
        <v>68</v>
      </c>
      <c r="J221" s="15">
        <v>41774.922534722224</v>
      </c>
      <c r="K221" t="str">
        <f t="shared" si="3"/>
        <v>05-2014</v>
      </c>
    </row>
    <row r="222" spans="3:11" x14ac:dyDescent="0.25">
      <c r="C222" t="str">
        <f>IF(COUNTBLANK(E222:J222) = 6,"",IF(AND(NOT(ISBLANK(E222)),COUNTBLANK(E222:J222) = 5),"3 Delete",IF(ISBLANK(E222),"2 Add",IF(SHA1Range(E222:J222) = "50cb42ad51cbfd852a1d0434d6b7090c2cd6fc96","0 Original","1 Modify"))))</f>
        <v>0 Original</v>
      </c>
      <c r="D222" s="5" t="s">
        <v>1181</v>
      </c>
      <c r="E222" s="3">
        <v>657</v>
      </c>
      <c r="F222" s="13">
        <v>41776</v>
      </c>
      <c r="G222" t="s">
        <v>152</v>
      </c>
      <c r="H222" s="9">
        <v>49.94</v>
      </c>
      <c r="I222" s="5" t="s">
        <v>68</v>
      </c>
      <c r="J222" s="15">
        <v>41776.638090277775</v>
      </c>
      <c r="K222" t="str">
        <f t="shared" si="3"/>
        <v>05-2014</v>
      </c>
    </row>
    <row r="223" spans="3:11" x14ac:dyDescent="0.25">
      <c r="C223" t="str">
        <f>IF(COUNTBLANK(E223:J223) = 6,"",IF(AND(NOT(ISBLANK(E223)),COUNTBLANK(E223:J223) = 5),"3 Delete",IF(ISBLANK(E223),"2 Add",IF(SHA1Range(E223:J223) = "eb916e63038177add1acb383edc4ae8d91edb1dc","0 Original","1 Modify"))))</f>
        <v>0 Original</v>
      </c>
      <c r="D223" s="5" t="s">
        <v>1182</v>
      </c>
      <c r="E223" s="3">
        <v>245</v>
      </c>
      <c r="F223" s="13">
        <v>41778</v>
      </c>
      <c r="G223" t="s">
        <v>275</v>
      </c>
      <c r="H223" s="9">
        <v>20.97</v>
      </c>
      <c r="I223" s="5" t="s">
        <v>68</v>
      </c>
      <c r="J223" s="15">
        <v>41778.952337962961</v>
      </c>
      <c r="K223" t="str">
        <f t="shared" si="3"/>
        <v>05-2014</v>
      </c>
    </row>
    <row r="224" spans="3:11" x14ac:dyDescent="0.25">
      <c r="C224" t="str">
        <f>IF(COUNTBLANK(E224:J224) = 6,"",IF(AND(NOT(ISBLANK(E224)),COUNTBLANK(E224:J224) = 5),"3 Delete",IF(ISBLANK(E224),"2 Add",IF(SHA1Range(E224:J224) = "998d2b8981eb35de1835b01a5794f9606531da6f","0 Original","1 Modify"))))</f>
        <v>0 Original</v>
      </c>
      <c r="D224" s="5" t="s">
        <v>1183</v>
      </c>
      <c r="E224" s="3">
        <v>400</v>
      </c>
      <c r="F224" s="13">
        <v>41779</v>
      </c>
      <c r="G224" t="s">
        <v>182</v>
      </c>
      <c r="H224" s="9">
        <v>49.95</v>
      </c>
      <c r="I224" s="5" t="s">
        <v>68</v>
      </c>
      <c r="J224" s="15">
        <v>41779.203530092593</v>
      </c>
      <c r="K224" t="str">
        <f t="shared" si="3"/>
        <v>05-2014</v>
      </c>
    </row>
    <row r="225" spans="3:11" x14ac:dyDescent="0.25">
      <c r="C225" t="str">
        <f>IF(COUNTBLANK(E225:J225) = 6,"",IF(AND(NOT(ISBLANK(E225)),COUNTBLANK(E225:J225) = 5),"3 Delete",IF(ISBLANK(E225),"2 Add",IF(SHA1Range(E225:J225) = "bfce400b988a0d8ab95e4f77b50b8fefea955499","0 Original","1 Modify"))))</f>
        <v>0 Original</v>
      </c>
      <c r="D225" s="5" t="s">
        <v>1184</v>
      </c>
      <c r="E225" s="3">
        <v>321</v>
      </c>
      <c r="F225" s="13">
        <v>41779</v>
      </c>
      <c r="G225" t="s">
        <v>329</v>
      </c>
      <c r="H225" s="9">
        <v>4.99</v>
      </c>
      <c r="I225" s="5" t="s">
        <v>68</v>
      </c>
      <c r="J225" s="15">
        <v>41779.220011574071</v>
      </c>
      <c r="K225" t="str">
        <f t="shared" si="3"/>
        <v>05-2014</v>
      </c>
    </row>
    <row r="226" spans="3:11" x14ac:dyDescent="0.25">
      <c r="C226" t="str">
        <f>IF(COUNTBLANK(E226:J226) = 6,"",IF(AND(NOT(ISBLANK(E226)),COUNTBLANK(E226:J226) = 5),"3 Delete",IF(ISBLANK(E226),"2 Add",IF(SHA1Range(E226:J226) = "53804a12c66c8a38b082d8b4cfe6981487184d13","0 Original","1 Modify"))))</f>
        <v>0 Original</v>
      </c>
      <c r="D226" s="5" t="s">
        <v>1185</v>
      </c>
      <c r="E226" s="3">
        <v>197</v>
      </c>
      <c r="F226" s="13">
        <v>41779</v>
      </c>
      <c r="G226" t="s">
        <v>113</v>
      </c>
      <c r="H226" s="9">
        <v>40.94</v>
      </c>
      <c r="I226" s="5" t="s">
        <v>68</v>
      </c>
      <c r="J226" s="15">
        <v>41779.822060185186</v>
      </c>
      <c r="K226" t="str">
        <f t="shared" si="3"/>
        <v>05-2014</v>
      </c>
    </row>
    <row r="227" spans="3:11" x14ac:dyDescent="0.25">
      <c r="C227" t="str">
        <f>IF(COUNTBLANK(E227:J227) = 6,"",IF(AND(NOT(ISBLANK(E227)),COUNTBLANK(E227:J227) = 5),"3 Delete",IF(ISBLANK(E227),"2 Add",IF(SHA1Range(E227:J227) = "8ffb2bc3ec7a53f7968cbc7228502235900d5f39","0 Original","1 Modify"))))</f>
        <v>0 Original</v>
      </c>
      <c r="D227" s="5" t="s">
        <v>1186</v>
      </c>
      <c r="E227" s="3">
        <v>124</v>
      </c>
      <c r="F227" s="13">
        <v>41780</v>
      </c>
      <c r="G227" t="s">
        <v>113</v>
      </c>
      <c r="H227" s="9">
        <v>53.94</v>
      </c>
      <c r="I227" s="5" t="s">
        <v>68</v>
      </c>
      <c r="J227" s="15">
        <v>41780.374340277776</v>
      </c>
      <c r="K227" t="str">
        <f t="shared" si="3"/>
        <v>05-2014</v>
      </c>
    </row>
    <row r="228" spans="3:11" x14ac:dyDescent="0.25">
      <c r="C228" t="str">
        <f>IF(COUNTBLANK(E228:J228) = 6,"",IF(AND(NOT(ISBLANK(E228)),COUNTBLANK(E228:J228) = 5),"3 Delete",IF(ISBLANK(E228),"2 Add",IF(SHA1Range(E228:J228) = "e6a97d0c0809bce42443a53c6b825237917fa973","0 Original","1 Modify"))))</f>
        <v>0 Original</v>
      </c>
      <c r="D228" s="5" t="s">
        <v>1187</v>
      </c>
      <c r="E228" s="3">
        <v>217</v>
      </c>
      <c r="F228" s="13">
        <v>41781</v>
      </c>
      <c r="G228" t="s">
        <v>224</v>
      </c>
      <c r="H228" s="9">
        <v>68.92</v>
      </c>
      <c r="I228" s="5" t="s">
        <v>68</v>
      </c>
      <c r="J228" s="15">
        <v>41781.190138888887</v>
      </c>
      <c r="K228" t="str">
        <f t="shared" si="3"/>
        <v>05-2014</v>
      </c>
    </row>
    <row r="229" spans="3:11" x14ac:dyDescent="0.25">
      <c r="C229" t="str">
        <f>IF(COUNTBLANK(E229:J229) = 6,"",IF(AND(NOT(ISBLANK(E229)),COUNTBLANK(E229:J229) = 5),"3 Delete",IF(ISBLANK(E229),"2 Add",IF(SHA1Range(E229:J229) = "69af7b9cbf4c5783116e28716a8956c640a16db1","0 Original","1 Modify"))))</f>
        <v>0 Original</v>
      </c>
      <c r="D229" s="5" t="s">
        <v>1188</v>
      </c>
      <c r="E229" s="3">
        <v>787</v>
      </c>
      <c r="F229" s="13">
        <v>41782</v>
      </c>
      <c r="G229" t="s">
        <v>221</v>
      </c>
      <c r="H229" s="9">
        <v>27.97</v>
      </c>
      <c r="I229" s="5" t="s">
        <v>68</v>
      </c>
      <c r="J229" s="15">
        <v>41782.207569444443</v>
      </c>
      <c r="K229" t="str">
        <f t="shared" si="3"/>
        <v>05-2014</v>
      </c>
    </row>
    <row r="230" spans="3:11" x14ac:dyDescent="0.25">
      <c r="C230" t="str">
        <f>IF(COUNTBLANK(E230:J230) = 6,"",IF(AND(NOT(ISBLANK(E230)),COUNTBLANK(E230:J230) = 5),"3 Delete",IF(ISBLANK(E230),"2 Add",IF(SHA1Range(E230:J230) = "dfef0cff835ce955b471d3659b9c678aab588c3a","0 Original","1 Modify"))))</f>
        <v>0 Original</v>
      </c>
      <c r="D230" s="5" t="s">
        <v>1189</v>
      </c>
      <c r="E230" s="3">
        <v>1189</v>
      </c>
      <c r="F230" s="13">
        <v>41782</v>
      </c>
      <c r="G230" t="s">
        <v>302</v>
      </c>
      <c r="H230" s="9">
        <v>21.97</v>
      </c>
      <c r="I230" s="5" t="s">
        <v>68</v>
      </c>
      <c r="J230" s="15">
        <v>41782.665682870371</v>
      </c>
      <c r="K230" t="str">
        <f t="shared" si="3"/>
        <v>05-2014</v>
      </c>
    </row>
    <row r="231" spans="3:11" x14ac:dyDescent="0.25">
      <c r="C231" t="str">
        <f>IF(COUNTBLANK(E231:J231) = 6,"",IF(AND(NOT(ISBLANK(E231)),COUNTBLANK(E231:J231) = 5),"3 Delete",IF(ISBLANK(E231),"2 Add",IF(SHA1Range(E231:J231) = "d1b3c1153696202a9e620cc54957c4e0a2ae90c0","0 Original","1 Modify"))))</f>
        <v>0 Original</v>
      </c>
      <c r="D231" s="5" t="s">
        <v>1190</v>
      </c>
      <c r="E231" s="3">
        <v>527</v>
      </c>
      <c r="F231" s="13">
        <v>41782</v>
      </c>
      <c r="G231" t="s">
        <v>305</v>
      </c>
      <c r="H231" s="9">
        <v>31.95</v>
      </c>
      <c r="I231" s="5" t="s">
        <v>68</v>
      </c>
      <c r="J231" s="15">
        <v>41782.848437499997</v>
      </c>
      <c r="K231" t="str">
        <f t="shared" si="3"/>
        <v>05-2014</v>
      </c>
    </row>
    <row r="232" spans="3:11" x14ac:dyDescent="0.25">
      <c r="C232" t="str">
        <f>IF(COUNTBLANK(E232:J232) = 6,"",IF(AND(NOT(ISBLANK(E232)),COUNTBLANK(E232:J232) = 5),"3 Delete",IF(ISBLANK(E232),"2 Add",IF(SHA1Range(E232:J232) = "4d03e2282cba1a8c00c1e3c41420a93549db3247","0 Original","1 Modify"))))</f>
        <v>0 Original</v>
      </c>
      <c r="D232" s="5" t="s">
        <v>1191</v>
      </c>
      <c r="E232" s="3">
        <v>585</v>
      </c>
      <c r="F232" s="13">
        <v>41782</v>
      </c>
      <c r="G232" t="s">
        <v>155</v>
      </c>
      <c r="H232" s="9">
        <v>15.98</v>
      </c>
      <c r="I232" s="5" t="s">
        <v>68</v>
      </c>
      <c r="J232" s="15">
        <v>41782.925821759258</v>
      </c>
      <c r="K232" t="str">
        <f t="shared" si="3"/>
        <v>05-2014</v>
      </c>
    </row>
    <row r="233" spans="3:11" x14ac:dyDescent="0.25">
      <c r="C233" t="str">
        <f>IF(COUNTBLANK(E233:J233) = 6,"",IF(AND(NOT(ISBLANK(E233)),COUNTBLANK(E233:J233) = 5),"3 Delete",IF(ISBLANK(E233),"2 Add",IF(SHA1Range(E233:J233) = "10d4939355528634e2c1da73934e1afb654ed505","0 Original","1 Modify"))))</f>
        <v>0 Original</v>
      </c>
      <c r="D233" s="5" t="s">
        <v>1192</v>
      </c>
      <c r="E233" s="3">
        <v>1056</v>
      </c>
      <c r="F233" s="13">
        <v>41783</v>
      </c>
      <c r="G233" t="s">
        <v>302</v>
      </c>
      <c r="H233" s="9">
        <v>35.950000000000003</v>
      </c>
      <c r="I233" s="5" t="s">
        <v>68</v>
      </c>
      <c r="J233" s="15">
        <v>41783.323298611111</v>
      </c>
      <c r="K233" t="str">
        <f t="shared" si="3"/>
        <v>05-2014</v>
      </c>
    </row>
    <row r="234" spans="3:11" x14ac:dyDescent="0.25">
      <c r="C234" t="str">
        <f>IF(COUNTBLANK(E234:J234) = 6,"",IF(AND(NOT(ISBLANK(E234)),COUNTBLANK(E234:J234) = 5),"3 Delete",IF(ISBLANK(E234),"2 Add",IF(SHA1Range(E234:J234) = "9cf235be5a2a47339141f7597644608703c73a16","0 Original","1 Modify"))))</f>
        <v>0 Original</v>
      </c>
      <c r="D234" s="5" t="s">
        <v>1193</v>
      </c>
      <c r="E234" s="3">
        <v>934</v>
      </c>
      <c r="F234" s="13">
        <v>41783</v>
      </c>
      <c r="G234" t="s">
        <v>326</v>
      </c>
      <c r="H234" s="9">
        <v>79.900000000000006</v>
      </c>
      <c r="I234" s="5" t="s">
        <v>68</v>
      </c>
      <c r="J234" s="15">
        <v>41783.659467592595</v>
      </c>
      <c r="K234" t="str">
        <f t="shared" si="3"/>
        <v>05-2014</v>
      </c>
    </row>
    <row r="235" spans="3:11" x14ac:dyDescent="0.25">
      <c r="C235" t="str">
        <f>IF(COUNTBLANK(E235:J235) = 6,"",IF(AND(NOT(ISBLANK(E235)),COUNTBLANK(E235:J235) = 5),"3 Delete",IF(ISBLANK(E235),"2 Add",IF(SHA1Range(E235:J235) = "3bf50facc46ef92cf4aa56b3ddd4ecc20209ff89","0 Original","1 Modify"))))</f>
        <v>0 Original</v>
      </c>
      <c r="D235" s="5" t="s">
        <v>1194</v>
      </c>
      <c r="E235" s="3">
        <v>984</v>
      </c>
      <c r="F235" s="13">
        <v>41783</v>
      </c>
      <c r="G235" t="s">
        <v>170</v>
      </c>
      <c r="H235" s="9">
        <v>16.98</v>
      </c>
      <c r="I235" s="5" t="s">
        <v>68</v>
      </c>
      <c r="J235" s="15">
        <v>41783.906944444447</v>
      </c>
      <c r="K235" t="str">
        <f t="shared" si="3"/>
        <v>05-2014</v>
      </c>
    </row>
    <row r="236" spans="3:11" x14ac:dyDescent="0.25">
      <c r="C236" t="str">
        <f>IF(COUNTBLANK(E236:J236) = 6,"",IF(AND(NOT(ISBLANK(E236)),COUNTBLANK(E236:J236) = 5),"3 Delete",IF(ISBLANK(E236),"2 Add",IF(SHA1Range(E236:J236) = "1823fc068931b0052fb287d32847a6710f18e2bf","0 Original","1 Modify"))))</f>
        <v>0 Original</v>
      </c>
      <c r="D236" s="5" t="s">
        <v>1195</v>
      </c>
      <c r="E236" s="3">
        <v>498</v>
      </c>
      <c r="F236" s="13">
        <v>41784</v>
      </c>
      <c r="G236" t="s">
        <v>245</v>
      </c>
      <c r="H236" s="9">
        <v>6.99</v>
      </c>
      <c r="I236" s="5" t="s">
        <v>68</v>
      </c>
      <c r="J236" s="15">
        <v>41784.201620370368</v>
      </c>
      <c r="K236" t="str">
        <f t="shared" si="3"/>
        <v>05-2014</v>
      </c>
    </row>
    <row r="237" spans="3:11" x14ac:dyDescent="0.25">
      <c r="C237" t="str">
        <f>IF(COUNTBLANK(E237:J237) = 6,"",IF(AND(NOT(ISBLANK(E237)),COUNTBLANK(E237:J237) = 5),"3 Delete",IF(ISBLANK(E237),"2 Add",IF(SHA1Range(E237:J237) = "f72babaa27c8d9e886b80dbce832b5d5b7f324f5","0 Original","1 Modify"))))</f>
        <v>0 Original</v>
      </c>
      <c r="D237" s="5" t="s">
        <v>1196</v>
      </c>
      <c r="E237" s="3">
        <v>1051</v>
      </c>
      <c r="F237" s="13">
        <v>41784</v>
      </c>
      <c r="G237" t="s">
        <v>134</v>
      </c>
      <c r="H237" s="9">
        <v>39.94</v>
      </c>
      <c r="I237" s="5" t="s">
        <v>68</v>
      </c>
      <c r="J237" s="15">
        <v>41784.791689814818</v>
      </c>
      <c r="K237" t="str">
        <f t="shared" si="3"/>
        <v>05-2014</v>
      </c>
    </row>
    <row r="238" spans="3:11" x14ac:dyDescent="0.25">
      <c r="C238" t="str">
        <f>IF(COUNTBLANK(E238:J238) = 6,"",IF(AND(NOT(ISBLANK(E238)),COUNTBLANK(E238:J238) = 5),"3 Delete",IF(ISBLANK(E238),"2 Add",IF(SHA1Range(E238:J238) = "dcbcca238a7f4998e6de6eb65ff2a0a681b7903b","0 Original","1 Modify"))))</f>
        <v>0 Original</v>
      </c>
      <c r="D238" s="5" t="s">
        <v>1197</v>
      </c>
      <c r="E238" s="3">
        <v>999</v>
      </c>
      <c r="F238" s="13">
        <v>41785</v>
      </c>
      <c r="G238" t="s">
        <v>170</v>
      </c>
      <c r="H238" s="9">
        <v>9.99</v>
      </c>
      <c r="I238" s="5" t="s">
        <v>68</v>
      </c>
      <c r="J238" s="15">
        <v>41785.106469907405</v>
      </c>
      <c r="K238" t="str">
        <f t="shared" si="3"/>
        <v>05-2014</v>
      </c>
    </row>
    <row r="239" spans="3:11" x14ac:dyDescent="0.25">
      <c r="C239" t="str">
        <f>IF(COUNTBLANK(E239:J239) = 6,"",IF(AND(NOT(ISBLANK(E239)),COUNTBLANK(E239:J239) = 5),"3 Delete",IF(ISBLANK(E239),"2 Add",IF(SHA1Range(E239:J239) = "b0a66cb8c5e9fc3358ecbc227f500dccc8d521fc","0 Original","1 Modify"))))</f>
        <v>0 Original</v>
      </c>
      <c r="D239" s="5" t="s">
        <v>1198</v>
      </c>
      <c r="E239" s="3">
        <v>499</v>
      </c>
      <c r="F239" s="13">
        <v>41785</v>
      </c>
      <c r="G239" t="s">
        <v>263</v>
      </c>
      <c r="H239" s="9">
        <v>33.96</v>
      </c>
      <c r="I239" s="5" t="s">
        <v>68</v>
      </c>
      <c r="J239" s="15">
        <v>41785.510925925926</v>
      </c>
      <c r="K239" t="str">
        <f t="shared" si="3"/>
        <v>05-2014</v>
      </c>
    </row>
    <row r="240" spans="3:11" x14ac:dyDescent="0.25">
      <c r="C240" t="str">
        <f>IF(COUNTBLANK(E240:J240) = 6,"",IF(AND(NOT(ISBLANK(E240)),COUNTBLANK(E240:J240) = 5),"3 Delete",IF(ISBLANK(E240),"2 Add",IF(SHA1Range(E240:J240) = "28913c41ebc9e4ddd1704535beb7e88e413770ac","0 Original","1 Modify"))))</f>
        <v>0 Original</v>
      </c>
      <c r="D240" s="5" t="s">
        <v>1199</v>
      </c>
      <c r="E240" s="3">
        <v>127</v>
      </c>
      <c r="F240" s="13">
        <v>41785</v>
      </c>
      <c r="G240" t="s">
        <v>363</v>
      </c>
      <c r="H240" s="9">
        <v>4.99</v>
      </c>
      <c r="I240" s="5" t="s">
        <v>68</v>
      </c>
      <c r="J240" s="15">
        <v>41785.799675925926</v>
      </c>
      <c r="K240" t="str">
        <f t="shared" si="3"/>
        <v>05-2014</v>
      </c>
    </row>
    <row r="241" spans="3:11" x14ac:dyDescent="0.25">
      <c r="C241" t="str">
        <f>IF(COUNTBLANK(E241:J241) = 6,"",IF(AND(NOT(ISBLANK(E241)),COUNTBLANK(E241:J241) = 5),"3 Delete",IF(ISBLANK(E241),"2 Add",IF(SHA1Range(E241:J241) = "eb5d259d48e001dc16b9d0403c28d6032037e5db","0 Original","1 Modify"))))</f>
        <v>0 Original</v>
      </c>
      <c r="D241" s="5" t="s">
        <v>1200</v>
      </c>
      <c r="E241" s="3">
        <v>624</v>
      </c>
      <c r="F241" s="13">
        <v>41786</v>
      </c>
      <c r="G241" t="s">
        <v>152</v>
      </c>
      <c r="H241" s="9">
        <v>26.97</v>
      </c>
      <c r="I241" s="5" t="s">
        <v>68</v>
      </c>
      <c r="J241" s="15">
        <v>41786.941435185188</v>
      </c>
      <c r="K241" t="str">
        <f t="shared" si="3"/>
        <v>05-2014</v>
      </c>
    </row>
    <row r="242" spans="3:11" x14ac:dyDescent="0.25">
      <c r="C242" t="str">
        <f>IF(COUNTBLANK(E242:J242) = 6,"",IF(AND(NOT(ISBLANK(E242)),COUNTBLANK(E242:J242) = 5),"3 Delete",IF(ISBLANK(E242),"2 Add",IF(SHA1Range(E242:J242) = "ebc0d01b75126ff3040a464c6ef9a657fe784c4f","0 Original","1 Modify"))))</f>
        <v>0 Original</v>
      </c>
      <c r="D242" s="5" t="s">
        <v>1201</v>
      </c>
      <c r="E242" s="3">
        <v>816</v>
      </c>
      <c r="F242" s="13">
        <v>41787</v>
      </c>
      <c r="G242" t="s">
        <v>326</v>
      </c>
      <c r="H242" s="9">
        <v>14.98</v>
      </c>
      <c r="I242" s="5" t="s">
        <v>68</v>
      </c>
      <c r="J242" s="15">
        <v>41787.126759259256</v>
      </c>
      <c r="K242" t="str">
        <f t="shared" si="3"/>
        <v>05-2014</v>
      </c>
    </row>
    <row r="243" spans="3:11" x14ac:dyDescent="0.25">
      <c r="C243" t="str">
        <f>IF(COUNTBLANK(E243:J243) = 6,"",IF(AND(NOT(ISBLANK(E243)),COUNTBLANK(E243:J243) = 5),"3 Delete",IF(ISBLANK(E243),"2 Add",IF(SHA1Range(E243:J243) = "b87e2812ee0c5126ac19862955f83e4c5fc1afec","0 Original","1 Modify"))))</f>
        <v>0 Original</v>
      </c>
      <c r="D243" s="5" t="s">
        <v>1202</v>
      </c>
      <c r="E243" s="3">
        <v>1172</v>
      </c>
      <c r="F243" s="13">
        <v>41787</v>
      </c>
      <c r="G243" t="s">
        <v>302</v>
      </c>
      <c r="H243" s="9">
        <v>56.93</v>
      </c>
      <c r="I243" s="5" t="s">
        <v>68</v>
      </c>
      <c r="J243" s="15">
        <v>41787.510914351849</v>
      </c>
      <c r="K243" t="str">
        <f t="shared" si="3"/>
        <v>05-2014</v>
      </c>
    </row>
    <row r="244" spans="3:11" x14ac:dyDescent="0.25">
      <c r="C244" t="str">
        <f>IF(COUNTBLANK(E244:J244) = 6,"",IF(AND(NOT(ISBLANK(E244)),COUNTBLANK(E244:J244) = 5),"3 Delete",IF(ISBLANK(E244),"2 Add",IF(SHA1Range(E244:J244) = "a4ee47d2b3d39f2dc378016efcc04a78d187e549","0 Original","1 Modify"))))</f>
        <v>0 Original</v>
      </c>
      <c r="D244" s="5" t="s">
        <v>1203</v>
      </c>
      <c r="E244" s="3">
        <v>620</v>
      </c>
      <c r="F244" s="13">
        <v>41787</v>
      </c>
      <c r="G244" t="s">
        <v>182</v>
      </c>
      <c r="H244" s="9">
        <v>19.97</v>
      </c>
      <c r="I244" s="5" t="s">
        <v>68</v>
      </c>
      <c r="J244" s="15">
        <v>41787.738900462966</v>
      </c>
      <c r="K244" t="str">
        <f t="shared" si="3"/>
        <v>05-2014</v>
      </c>
    </row>
    <row r="245" spans="3:11" x14ac:dyDescent="0.25">
      <c r="C245" t="str">
        <f>IF(COUNTBLANK(E245:J245) = 6,"",IF(AND(NOT(ISBLANK(E245)),COUNTBLANK(E245:J245) = 5),"3 Delete",IF(ISBLANK(E245),"2 Add",IF(SHA1Range(E245:J245) = "1f9e7db0a05dec1b018818cc4e91197faac0a4bc","0 Original","1 Modify"))))</f>
        <v>0 Original</v>
      </c>
      <c r="D245" s="5" t="s">
        <v>1204</v>
      </c>
      <c r="E245" s="3">
        <v>484</v>
      </c>
      <c r="F245" s="13">
        <v>41789</v>
      </c>
      <c r="G245" t="s">
        <v>212</v>
      </c>
      <c r="H245" s="9">
        <v>15.98</v>
      </c>
      <c r="I245" s="5" t="s">
        <v>68</v>
      </c>
      <c r="J245" s="15">
        <v>41789.358854166669</v>
      </c>
      <c r="K245" t="str">
        <f t="shared" si="3"/>
        <v>05-2014</v>
      </c>
    </row>
    <row r="246" spans="3:11" x14ac:dyDescent="0.25">
      <c r="C246" t="str">
        <f>IF(COUNTBLANK(E246:J246) = 6,"",IF(AND(NOT(ISBLANK(E246)),COUNTBLANK(E246:J246) = 5),"3 Delete",IF(ISBLANK(E246),"2 Add",IF(SHA1Range(E246:J246) = "8a0cbaaa2577d841c050c36f2bcc1d6eeb7db199","0 Original","1 Modify"))))</f>
        <v>0 Original</v>
      </c>
      <c r="D246" s="5" t="s">
        <v>1205</v>
      </c>
      <c r="E246" s="3">
        <v>751</v>
      </c>
      <c r="F246" s="13">
        <v>41789</v>
      </c>
      <c r="G246" t="s">
        <v>221</v>
      </c>
      <c r="H246" s="9">
        <v>24.97</v>
      </c>
      <c r="I246" s="5" t="s">
        <v>68</v>
      </c>
      <c r="J246" s="15">
        <v>41789.889976851853</v>
      </c>
      <c r="K246" t="str">
        <f t="shared" si="3"/>
        <v>05-2014</v>
      </c>
    </row>
    <row r="247" spans="3:11" x14ac:dyDescent="0.25">
      <c r="C247" t="str">
        <f>IF(COUNTBLANK(E247:J247) = 6,"",IF(AND(NOT(ISBLANK(E247)),COUNTBLANK(E247:J247) = 5),"3 Delete",IF(ISBLANK(E247),"2 Add",IF(SHA1Range(E247:J247) = "760ca3da9c17fad7e508d7f2f356773eeedc692e","0 Original","1 Modify"))))</f>
        <v>0 Original</v>
      </c>
      <c r="D247" s="5" t="s">
        <v>1206</v>
      </c>
      <c r="E247" s="3">
        <v>839</v>
      </c>
      <c r="F247" s="13">
        <v>41790</v>
      </c>
      <c r="G247" t="s">
        <v>221</v>
      </c>
      <c r="H247" s="9">
        <v>4.99</v>
      </c>
      <c r="I247" s="5" t="s">
        <v>68</v>
      </c>
      <c r="J247" s="15">
        <v>41790.587812500002</v>
      </c>
      <c r="K247" t="str">
        <f t="shared" si="3"/>
        <v>05-2014</v>
      </c>
    </row>
    <row r="248" spans="3:11" x14ac:dyDescent="0.25">
      <c r="C248" t="str">
        <f>IF(COUNTBLANK(E248:J248) = 6,"",IF(AND(NOT(ISBLANK(E248)),COUNTBLANK(E248:J248) = 5),"3 Delete",IF(ISBLANK(E248),"2 Add",IF(SHA1Range(E248:J248) = "6dbc95e8925ab6d23db050c2cea013ec9e71506b","0 Original","1 Modify"))))</f>
        <v>0 Original</v>
      </c>
      <c r="D248" s="5" t="s">
        <v>1207</v>
      </c>
      <c r="E248" s="3">
        <v>1036</v>
      </c>
      <c r="F248" s="13">
        <v>41791</v>
      </c>
      <c r="G248" t="s">
        <v>272</v>
      </c>
      <c r="H248" s="9">
        <v>49.94</v>
      </c>
      <c r="I248" s="5" t="s">
        <v>68</v>
      </c>
      <c r="J248" s="15">
        <v>41791.124664351853</v>
      </c>
      <c r="K248" t="str">
        <f t="shared" si="3"/>
        <v>06-2014</v>
      </c>
    </row>
    <row r="249" spans="3:11" x14ac:dyDescent="0.25">
      <c r="C249" t="str">
        <f>IF(COUNTBLANK(E249:J249) = 6,"",IF(AND(NOT(ISBLANK(E249)),COUNTBLANK(E249:J249) = 5),"3 Delete",IF(ISBLANK(E249),"2 Add",IF(SHA1Range(E249:J249) = "78107de7713fe9772c52ea099462f0fad20039c2","0 Original","1 Modify"))))</f>
        <v>0 Original</v>
      </c>
      <c r="D249" s="5" t="s">
        <v>1208</v>
      </c>
      <c r="E249" s="3">
        <v>565</v>
      </c>
      <c r="F249" s="13">
        <v>41791</v>
      </c>
      <c r="G249" t="s">
        <v>176</v>
      </c>
      <c r="H249" s="9">
        <v>43.95</v>
      </c>
      <c r="I249" s="5" t="s">
        <v>68</v>
      </c>
      <c r="J249" s="15">
        <v>41791.38490740741</v>
      </c>
      <c r="K249" t="str">
        <f t="shared" si="3"/>
        <v>06-2014</v>
      </c>
    </row>
    <row r="250" spans="3:11" x14ac:dyDescent="0.25">
      <c r="C250" t="str">
        <f>IF(COUNTBLANK(E250:J250) = 6,"",IF(AND(NOT(ISBLANK(E250)),COUNTBLANK(E250:J250) = 5),"3 Delete",IF(ISBLANK(E250),"2 Add",IF(SHA1Range(E250:J250) = "428afc57fb690cf71be944dd549f6cc1441826f7","0 Original","1 Modify"))))</f>
        <v>0 Original</v>
      </c>
      <c r="D250" s="5" t="s">
        <v>1209</v>
      </c>
      <c r="E250" s="3">
        <v>404</v>
      </c>
      <c r="F250" s="13">
        <v>41792</v>
      </c>
      <c r="G250" t="s">
        <v>347</v>
      </c>
      <c r="H250" s="9">
        <v>37.96</v>
      </c>
      <c r="I250" s="5" t="s">
        <v>68</v>
      </c>
      <c r="J250" s="15">
        <v>41792.355740740742</v>
      </c>
      <c r="K250" t="str">
        <f t="shared" si="3"/>
        <v>06-2014</v>
      </c>
    </row>
    <row r="251" spans="3:11" x14ac:dyDescent="0.25">
      <c r="C251" t="str">
        <f>IF(COUNTBLANK(E251:J251) = 6,"",IF(AND(NOT(ISBLANK(E251)),COUNTBLANK(E251:J251) = 5),"3 Delete",IF(ISBLANK(E251),"2 Add",IF(SHA1Range(E251:J251) = "0128f141ca6c7aafb0ebe6059abf4204466be69d","0 Original","1 Modify"))))</f>
        <v>0 Original</v>
      </c>
      <c r="D251" s="5" t="s">
        <v>1210</v>
      </c>
      <c r="E251" s="3">
        <v>1054</v>
      </c>
      <c r="F251" s="13">
        <v>41793</v>
      </c>
      <c r="G251" t="s">
        <v>134</v>
      </c>
      <c r="H251" s="9">
        <v>7.99</v>
      </c>
      <c r="I251" s="5" t="s">
        <v>68</v>
      </c>
      <c r="J251" s="15">
        <v>41793.115601851852</v>
      </c>
      <c r="K251" t="str">
        <f t="shared" si="3"/>
        <v>06-2014</v>
      </c>
    </row>
    <row r="252" spans="3:11" x14ac:dyDescent="0.25">
      <c r="C252" t="str">
        <f>IF(COUNTBLANK(E252:J252) = 6,"",IF(AND(NOT(ISBLANK(E252)),COUNTBLANK(E252:J252) = 5),"3 Delete",IF(ISBLANK(E252),"2 Add",IF(SHA1Range(E252:J252) = "1ea5800bc822a1b5f0ea6772dcc75cc559f5d259","0 Original","1 Modify"))))</f>
        <v>0 Original</v>
      </c>
      <c r="D252" s="5" t="s">
        <v>1211</v>
      </c>
      <c r="E252" s="3">
        <v>318</v>
      </c>
      <c r="F252" s="13">
        <v>41793</v>
      </c>
      <c r="G252" t="s">
        <v>360</v>
      </c>
      <c r="H252" s="9">
        <v>28.97</v>
      </c>
      <c r="I252" s="5" t="s">
        <v>68</v>
      </c>
      <c r="J252" s="15">
        <v>41793.70758101852</v>
      </c>
      <c r="K252" t="str">
        <f t="shared" si="3"/>
        <v>06-2014</v>
      </c>
    </row>
    <row r="253" spans="3:11" x14ac:dyDescent="0.25">
      <c r="C253" t="str">
        <f>IF(COUNTBLANK(E253:J253) = 6,"",IF(AND(NOT(ISBLANK(E253)),COUNTBLANK(E253:J253) = 5),"3 Delete",IF(ISBLANK(E253),"2 Add",IF(SHA1Range(E253:J253) = "3758474749283522f435f760fdc8f719682f11b3","0 Original","1 Modify"))))</f>
        <v>0 Original</v>
      </c>
      <c r="D253" s="5" t="s">
        <v>1212</v>
      </c>
      <c r="E253" s="3">
        <v>450</v>
      </c>
      <c r="F253" s="13">
        <v>41793</v>
      </c>
      <c r="G253" t="s">
        <v>188</v>
      </c>
      <c r="H253" s="9">
        <v>19.97</v>
      </c>
      <c r="I253" s="5" t="s">
        <v>68</v>
      </c>
      <c r="J253" s="15">
        <v>41793.964606481481</v>
      </c>
      <c r="K253" t="str">
        <f t="shared" si="3"/>
        <v>06-2014</v>
      </c>
    </row>
    <row r="254" spans="3:11" x14ac:dyDescent="0.25">
      <c r="C254" t="str">
        <f>IF(COUNTBLANK(E254:J254) = 6,"",IF(AND(NOT(ISBLANK(E254)),COUNTBLANK(E254:J254) = 5),"3 Delete",IF(ISBLANK(E254),"2 Add",IF(SHA1Range(E254:J254) = "2fa1a07f5fac53cb85d00b0c05f20685f06e92cd","0 Original","1 Modify"))))</f>
        <v>0 Original</v>
      </c>
      <c r="D254" s="5" t="s">
        <v>1213</v>
      </c>
      <c r="E254" s="3">
        <v>194</v>
      </c>
      <c r="F254" s="13">
        <v>41794</v>
      </c>
      <c r="G254" t="s">
        <v>275</v>
      </c>
      <c r="H254" s="9">
        <v>18.97</v>
      </c>
      <c r="I254" s="5" t="s">
        <v>68</v>
      </c>
      <c r="J254" s="15">
        <v>41794.208298611113</v>
      </c>
      <c r="K254" t="str">
        <f t="shared" si="3"/>
        <v>06-2014</v>
      </c>
    </row>
    <row r="255" spans="3:11" x14ac:dyDescent="0.25">
      <c r="C255" t="str">
        <f>IF(COUNTBLANK(E255:J255) = 6,"",IF(AND(NOT(ISBLANK(E255)),COUNTBLANK(E255:J255) = 5),"3 Delete",IF(ISBLANK(E255),"2 Add",IF(SHA1Range(E255:J255) = "b4c56d007685e7fd1e61365fa73329879b9f592d","0 Original","1 Modify"))))</f>
        <v>0 Original</v>
      </c>
      <c r="D255" s="5" t="s">
        <v>1214</v>
      </c>
      <c r="E255" s="3">
        <v>354</v>
      </c>
      <c r="F255" s="13">
        <v>41796</v>
      </c>
      <c r="G255" t="s">
        <v>341</v>
      </c>
      <c r="H255" s="9">
        <v>15.98</v>
      </c>
      <c r="I255" s="5" t="s">
        <v>68</v>
      </c>
      <c r="J255" s="15">
        <v>41796.925486111111</v>
      </c>
      <c r="K255" t="str">
        <f t="shared" si="3"/>
        <v>06-2014</v>
      </c>
    </row>
    <row r="256" spans="3:11" x14ac:dyDescent="0.25">
      <c r="C256" t="str">
        <f>IF(COUNTBLANK(E256:J256) = 6,"",IF(AND(NOT(ISBLANK(E256)),COUNTBLANK(E256:J256) = 5),"3 Delete",IF(ISBLANK(E256),"2 Add",IF(SHA1Range(E256:J256) = "625e912aa92e1f603ba587df3c25bd0ff7982b6b","0 Original","1 Modify"))))</f>
        <v>0 Original</v>
      </c>
      <c r="D256" s="5" t="s">
        <v>1215</v>
      </c>
      <c r="E256" s="3">
        <v>239</v>
      </c>
      <c r="F256" s="13">
        <v>41797</v>
      </c>
      <c r="G256" t="s">
        <v>263</v>
      </c>
      <c r="H256" s="9">
        <v>28.96</v>
      </c>
      <c r="I256" s="5" t="s">
        <v>68</v>
      </c>
      <c r="J256" s="15">
        <v>41797.715289351851</v>
      </c>
      <c r="K256" t="str">
        <f t="shared" si="3"/>
        <v>06-2014</v>
      </c>
    </row>
    <row r="257" spans="3:11" x14ac:dyDescent="0.25">
      <c r="C257" t="str">
        <f>IF(COUNTBLANK(E257:J257) = 6,"",IF(AND(NOT(ISBLANK(E257)),COUNTBLANK(E257:J257) = 5),"3 Delete",IF(ISBLANK(E257),"2 Add",IF(SHA1Range(E257:J257) = "66b660dd87aad1e71f45c4f23e6e6dbb2f95d8d7","0 Original","1 Modify"))))</f>
        <v>0 Original</v>
      </c>
      <c r="D257" s="5" t="s">
        <v>1216</v>
      </c>
      <c r="E257" s="3">
        <v>1138</v>
      </c>
      <c r="F257" s="13">
        <v>41798</v>
      </c>
      <c r="G257" t="s">
        <v>260</v>
      </c>
      <c r="H257" s="9">
        <v>16.98</v>
      </c>
      <c r="I257" s="5" t="s">
        <v>68</v>
      </c>
      <c r="J257" s="15">
        <v>41798.8905787037</v>
      </c>
      <c r="K257" t="str">
        <f t="shared" si="3"/>
        <v>06-2014</v>
      </c>
    </row>
    <row r="258" spans="3:11" x14ac:dyDescent="0.25">
      <c r="C258" t="str">
        <f>IF(COUNTBLANK(E258:J258) = 6,"",IF(AND(NOT(ISBLANK(E258)),COUNTBLANK(E258:J258) = 5),"3 Delete",IF(ISBLANK(E258),"2 Add",IF(SHA1Range(E258:J258) = "0584e5e854fe9560fbbf9725cab2e0b883c4f159","0 Original","1 Modify"))))</f>
        <v>0 Original</v>
      </c>
      <c r="D258" s="5" t="s">
        <v>1217</v>
      </c>
      <c r="E258" s="3">
        <v>60</v>
      </c>
      <c r="F258" s="13">
        <v>41798</v>
      </c>
      <c r="G258" t="s">
        <v>149</v>
      </c>
      <c r="H258" s="9">
        <v>16.98</v>
      </c>
      <c r="I258" s="5" t="s">
        <v>68</v>
      </c>
      <c r="J258" s="15">
        <v>41798.912488425929</v>
      </c>
      <c r="K258" t="str">
        <f t="shared" si="3"/>
        <v>06-2014</v>
      </c>
    </row>
    <row r="259" spans="3:11" x14ac:dyDescent="0.25">
      <c r="C259" t="str">
        <f>IF(COUNTBLANK(E259:J259) = 6,"",IF(AND(NOT(ISBLANK(E259)),COUNTBLANK(E259:J259) = 5),"3 Delete",IF(ISBLANK(E259),"2 Add",IF(SHA1Range(E259:J259) = "4abf7b76a2117baf5525076e973fb45c51ae2ddc","0 Original","1 Modify"))))</f>
        <v>0 Original</v>
      </c>
      <c r="D259" s="5" t="s">
        <v>1218</v>
      </c>
      <c r="E259" s="3">
        <v>291</v>
      </c>
      <c r="F259" s="13">
        <v>41799</v>
      </c>
      <c r="G259" t="s">
        <v>83</v>
      </c>
      <c r="H259" s="9">
        <v>21.96</v>
      </c>
      <c r="I259" s="5" t="s">
        <v>68</v>
      </c>
      <c r="J259" s="15">
        <v>41799.291956018518</v>
      </c>
      <c r="K259" t="str">
        <f t="shared" ref="K259:K322" si="4">TEXT(F259,"mm-yyyy")</f>
        <v>06-2014</v>
      </c>
    </row>
    <row r="260" spans="3:11" x14ac:dyDescent="0.25">
      <c r="C260" t="str">
        <f>IF(COUNTBLANK(E260:J260) = 6,"",IF(AND(NOT(ISBLANK(E260)),COUNTBLANK(E260:J260) = 5),"3 Delete",IF(ISBLANK(E260),"2 Add",IF(SHA1Range(E260:J260) = "9a1bdc70f765c964844b73bff7289cc071f77302","0 Original","1 Modify"))))</f>
        <v>0 Original</v>
      </c>
      <c r="D260" s="5" t="s">
        <v>1219</v>
      </c>
      <c r="E260" s="3">
        <v>589</v>
      </c>
      <c r="F260" s="13">
        <v>41799</v>
      </c>
      <c r="G260" t="s">
        <v>317</v>
      </c>
      <c r="H260" s="9">
        <v>14.98</v>
      </c>
      <c r="I260" s="5" t="s">
        <v>68</v>
      </c>
      <c r="J260" s="15">
        <v>41799.556747685187</v>
      </c>
      <c r="K260" t="str">
        <f t="shared" si="4"/>
        <v>06-2014</v>
      </c>
    </row>
    <row r="261" spans="3:11" x14ac:dyDescent="0.25">
      <c r="C261" t="str">
        <f>IF(COUNTBLANK(E261:J261) = 6,"",IF(AND(NOT(ISBLANK(E261)),COUNTBLANK(E261:J261) = 5),"3 Delete",IF(ISBLANK(E261),"2 Add",IF(SHA1Range(E261:J261) = "0559a376a0b8c7c423052920ffd558495bef1391","0 Original","1 Modify"))))</f>
        <v>0 Original</v>
      </c>
      <c r="D261" s="5" t="s">
        <v>1220</v>
      </c>
      <c r="E261" s="3">
        <v>1125</v>
      </c>
      <c r="F261" s="13">
        <v>41799</v>
      </c>
      <c r="G261" t="s">
        <v>272</v>
      </c>
      <c r="H261" s="9">
        <v>46.93</v>
      </c>
      <c r="I261" s="5" t="s">
        <v>68</v>
      </c>
      <c r="J261" s="15">
        <v>41799.924675925926</v>
      </c>
      <c r="K261" t="str">
        <f t="shared" si="4"/>
        <v>06-2014</v>
      </c>
    </row>
    <row r="262" spans="3:11" x14ac:dyDescent="0.25">
      <c r="C262" t="str">
        <f>IF(COUNTBLANK(E262:J262) = 6,"",IF(AND(NOT(ISBLANK(E262)),COUNTBLANK(E262:J262) = 5),"3 Delete",IF(ISBLANK(E262),"2 Add",IF(SHA1Range(E262:J262) = "108a74db41670242e36726929bb270a52d7b91a2","0 Original","1 Modify"))))</f>
        <v>0 Original</v>
      </c>
      <c r="D262" s="5" t="s">
        <v>1221</v>
      </c>
      <c r="E262" s="3">
        <v>971</v>
      </c>
      <c r="F262" s="13">
        <v>41800</v>
      </c>
      <c r="G262" t="s">
        <v>98</v>
      </c>
      <c r="H262" s="9">
        <v>37.94</v>
      </c>
      <c r="I262" s="5" t="s">
        <v>68</v>
      </c>
      <c r="J262" s="15">
        <v>41800.182511574072</v>
      </c>
      <c r="K262" t="str">
        <f t="shared" si="4"/>
        <v>06-2014</v>
      </c>
    </row>
    <row r="263" spans="3:11" x14ac:dyDescent="0.25">
      <c r="C263" t="str">
        <f>IF(COUNTBLANK(E263:J263) = 6,"",IF(AND(NOT(ISBLANK(E263)),COUNTBLANK(E263:J263) = 5),"3 Delete",IF(ISBLANK(E263),"2 Add",IF(SHA1Range(E263:J263) = "af677f7537f0a5d6e59a56ac55c20a102d8eb976","0 Original","1 Modify"))))</f>
        <v>0 Original</v>
      </c>
      <c r="D263" s="5" t="s">
        <v>1222</v>
      </c>
      <c r="E263" s="3">
        <v>211</v>
      </c>
      <c r="F263" s="13">
        <v>41800</v>
      </c>
      <c r="G263" t="s">
        <v>338</v>
      </c>
      <c r="H263" s="9">
        <v>35.950000000000003</v>
      </c>
      <c r="I263" s="5" t="s">
        <v>68</v>
      </c>
      <c r="J263" s="15">
        <v>41800.411215277774</v>
      </c>
      <c r="K263" t="str">
        <f t="shared" si="4"/>
        <v>06-2014</v>
      </c>
    </row>
    <row r="264" spans="3:11" x14ac:dyDescent="0.25">
      <c r="C264" t="str">
        <f>IF(COUNTBLANK(E264:J264) = 6,"",IF(AND(NOT(ISBLANK(E264)),COUNTBLANK(E264:J264) = 5),"3 Delete",IF(ISBLANK(E264),"2 Add",IF(SHA1Range(E264:J264) = "dbcc1f36b3e88681bcc970a901a13cd8da2ee6dd","0 Original","1 Modify"))))</f>
        <v>0 Original</v>
      </c>
      <c r="D264" s="5" t="s">
        <v>1223</v>
      </c>
      <c r="E264" s="3">
        <v>1013</v>
      </c>
      <c r="F264" s="13">
        <v>41800</v>
      </c>
      <c r="G264" t="s">
        <v>170</v>
      </c>
      <c r="H264" s="9">
        <v>41.95</v>
      </c>
      <c r="I264" s="5" t="s">
        <v>68</v>
      </c>
      <c r="J264" s="15">
        <v>41800.996770833335</v>
      </c>
      <c r="K264" t="str">
        <f t="shared" si="4"/>
        <v>06-2014</v>
      </c>
    </row>
    <row r="265" spans="3:11" x14ac:dyDescent="0.25">
      <c r="C265" t="str">
        <f>IF(COUNTBLANK(E265:J265) = 6,"",IF(AND(NOT(ISBLANK(E265)),COUNTBLANK(E265:J265) = 5),"3 Delete",IF(ISBLANK(E265),"2 Add",IF(SHA1Range(E265:J265) = "17d93889f339d4be3ec69a3b4b63daaa1be01493","0 Original","1 Modify"))))</f>
        <v>0 Original</v>
      </c>
      <c r="D265" s="5" t="s">
        <v>1224</v>
      </c>
      <c r="E265" s="3">
        <v>169</v>
      </c>
      <c r="F265" s="13">
        <v>41801</v>
      </c>
      <c r="G265" t="s">
        <v>83</v>
      </c>
      <c r="H265" s="9">
        <v>24.97</v>
      </c>
      <c r="I265" s="5" t="s">
        <v>68</v>
      </c>
      <c r="J265" s="15">
        <v>41801.091851851852</v>
      </c>
      <c r="K265" t="str">
        <f t="shared" si="4"/>
        <v>06-2014</v>
      </c>
    </row>
    <row r="266" spans="3:11" x14ac:dyDescent="0.25">
      <c r="C266" t="str">
        <f>IF(COUNTBLANK(E266:J266) = 6,"",IF(AND(NOT(ISBLANK(E266)),COUNTBLANK(E266:J266) = 5),"3 Delete",IF(ISBLANK(E266),"2 Add",IF(SHA1Range(E266:J266) = "508f6e7009f5a129c5fa081801b70b9f188bb1ed","0 Original","1 Modify"))))</f>
        <v>0 Original</v>
      </c>
      <c r="D266" s="5" t="s">
        <v>1225</v>
      </c>
      <c r="E266" s="3">
        <v>119</v>
      </c>
      <c r="F266" s="13">
        <v>41802</v>
      </c>
      <c r="G266" t="s">
        <v>293</v>
      </c>
      <c r="H266" s="9">
        <v>24.97</v>
      </c>
      <c r="I266" s="5" t="s">
        <v>68</v>
      </c>
      <c r="J266" s="15">
        <v>41802.237361111111</v>
      </c>
      <c r="K266" t="str">
        <f t="shared" si="4"/>
        <v>06-2014</v>
      </c>
    </row>
    <row r="267" spans="3:11" x14ac:dyDescent="0.25">
      <c r="C267" t="str">
        <f>IF(COUNTBLANK(E267:J267) = 6,"",IF(AND(NOT(ISBLANK(E267)),COUNTBLANK(E267:J267) = 5),"3 Delete",IF(ISBLANK(E267),"2 Add",IF(SHA1Range(E267:J267) = "9ed23efa9c1b4bf4e5c0914cbcb4a4d43b498670","0 Original","1 Modify"))))</f>
        <v>0 Original</v>
      </c>
      <c r="D267" s="5" t="s">
        <v>1226</v>
      </c>
      <c r="E267" s="3">
        <v>1110</v>
      </c>
      <c r="F267" s="13">
        <v>41802</v>
      </c>
      <c r="G267" t="s">
        <v>134</v>
      </c>
      <c r="H267" s="9">
        <v>44.94</v>
      </c>
      <c r="I267" s="5" t="s">
        <v>68</v>
      </c>
      <c r="J267" s="15">
        <v>41802.692418981482</v>
      </c>
      <c r="K267" t="str">
        <f t="shared" si="4"/>
        <v>06-2014</v>
      </c>
    </row>
    <row r="268" spans="3:11" x14ac:dyDescent="0.25">
      <c r="C268" t="str">
        <f>IF(COUNTBLANK(E268:J268) = 6,"",IF(AND(NOT(ISBLANK(E268)),COUNTBLANK(E268:J268) = 5),"3 Delete",IF(ISBLANK(E268),"2 Add",IF(SHA1Range(E268:J268) = "be6911cd96cbdd75be78d9936bea562dc3db79b0","0 Original","1 Modify"))))</f>
        <v>0 Original</v>
      </c>
      <c r="D268" s="5" t="s">
        <v>1227</v>
      </c>
      <c r="E268" s="3">
        <v>1029</v>
      </c>
      <c r="F268" s="13">
        <v>41804</v>
      </c>
      <c r="G268" t="s">
        <v>272</v>
      </c>
      <c r="H268" s="9">
        <v>34.950000000000003</v>
      </c>
      <c r="I268" s="5" t="s">
        <v>68</v>
      </c>
      <c r="J268" s="15">
        <v>41804.507418981484</v>
      </c>
      <c r="K268" t="str">
        <f t="shared" si="4"/>
        <v>06-2014</v>
      </c>
    </row>
    <row r="269" spans="3:11" x14ac:dyDescent="0.25">
      <c r="C269" t="str">
        <f>IF(COUNTBLANK(E269:J269) = 6,"",IF(AND(NOT(ISBLANK(E269)),COUNTBLANK(E269:J269) = 5),"3 Delete",IF(ISBLANK(E269),"2 Add",IF(SHA1Range(E269:J269) = "0bb28df08b6b9e2765d453b524df9cc30e37db29","0 Original","1 Modify"))))</f>
        <v>0 Original</v>
      </c>
      <c r="D269" s="5" t="s">
        <v>1228</v>
      </c>
      <c r="E269" s="3">
        <v>770</v>
      </c>
      <c r="F269" s="13">
        <v>41805</v>
      </c>
      <c r="G269" t="s">
        <v>272</v>
      </c>
      <c r="H269" s="9">
        <v>14.98</v>
      </c>
      <c r="I269" s="5" t="s">
        <v>68</v>
      </c>
      <c r="J269" s="15">
        <v>41805.133622685185</v>
      </c>
      <c r="K269" t="str">
        <f t="shared" si="4"/>
        <v>06-2014</v>
      </c>
    </row>
    <row r="270" spans="3:11" x14ac:dyDescent="0.25">
      <c r="C270" t="str">
        <f>IF(COUNTBLANK(E270:J270) = 6,"",IF(AND(NOT(ISBLANK(E270)),COUNTBLANK(E270:J270) = 5),"3 Delete",IF(ISBLANK(E270),"2 Add",IF(SHA1Range(E270:J270) = "d9127bc816769cfc86a03ef4f5b6b5f4c3262282","0 Original","1 Modify"))))</f>
        <v>0 Original</v>
      </c>
      <c r="D270" s="5" t="s">
        <v>1229</v>
      </c>
      <c r="E270" s="3">
        <v>5</v>
      </c>
      <c r="F270" s="13">
        <v>41805</v>
      </c>
      <c r="G270" t="s">
        <v>98</v>
      </c>
      <c r="H270" s="9">
        <v>18.97</v>
      </c>
      <c r="I270" s="5" t="s">
        <v>68</v>
      </c>
      <c r="J270" s="15">
        <v>41805.616446759261</v>
      </c>
      <c r="K270" t="str">
        <f t="shared" si="4"/>
        <v>06-2014</v>
      </c>
    </row>
    <row r="271" spans="3:11" x14ac:dyDescent="0.25">
      <c r="C271" t="str">
        <f>IF(COUNTBLANK(E271:J271) = 6,"",IF(AND(NOT(ISBLANK(E271)),COUNTBLANK(E271:J271) = 5),"3 Delete",IF(ISBLANK(E271),"2 Add",IF(SHA1Range(E271:J271) = "685790158e4997a9f4d4988626e84e3e2e213a30","0 Original","1 Modify"))))</f>
        <v>0 Original</v>
      </c>
      <c r="D271" s="5" t="s">
        <v>1230</v>
      </c>
      <c r="E271" s="3">
        <v>1076</v>
      </c>
      <c r="F271" s="13">
        <v>41805</v>
      </c>
      <c r="G271" t="s">
        <v>242</v>
      </c>
      <c r="H271" s="9">
        <v>42.94</v>
      </c>
      <c r="I271" s="5" t="s">
        <v>68</v>
      </c>
      <c r="J271" s="15">
        <v>41805.796493055554</v>
      </c>
      <c r="K271" t="str">
        <f t="shared" si="4"/>
        <v>06-2014</v>
      </c>
    </row>
    <row r="272" spans="3:11" x14ac:dyDescent="0.25">
      <c r="C272" t="str">
        <f>IF(COUNTBLANK(E272:J272) = 6,"",IF(AND(NOT(ISBLANK(E272)),COUNTBLANK(E272:J272) = 5),"3 Delete",IF(ISBLANK(E272),"2 Add",IF(SHA1Range(E272:J272) = "8aaf9ed04dcd39c05d1ae8a7ca5d32ee927f069c","0 Original","1 Modify"))))</f>
        <v>0 Original</v>
      </c>
      <c r="D272" s="5" t="s">
        <v>1231</v>
      </c>
      <c r="E272" s="3">
        <v>343</v>
      </c>
      <c r="F272" s="13">
        <v>41806</v>
      </c>
      <c r="G272" t="s">
        <v>128</v>
      </c>
      <c r="H272" s="9">
        <v>50.93</v>
      </c>
      <c r="I272" s="5" t="s">
        <v>68</v>
      </c>
      <c r="J272" s="15">
        <v>41806.625497685185</v>
      </c>
      <c r="K272" t="str">
        <f t="shared" si="4"/>
        <v>06-2014</v>
      </c>
    </row>
    <row r="273" spans="3:11" x14ac:dyDescent="0.25">
      <c r="C273" t="str">
        <f>IF(COUNTBLANK(E273:J273) = 6,"",IF(AND(NOT(ISBLANK(E273)),COUNTBLANK(E273:J273) = 5),"3 Delete",IF(ISBLANK(E273),"2 Add",IF(SHA1Range(E273:J273) = "0618aabcbb0dbee04cf3075a716ff0559412ea0a","0 Original","1 Modify"))))</f>
        <v>0 Original</v>
      </c>
      <c r="D273" s="5" t="s">
        <v>1232</v>
      </c>
      <c r="E273" s="3">
        <v>1057</v>
      </c>
      <c r="F273" s="13">
        <v>41806</v>
      </c>
      <c r="G273" t="s">
        <v>134</v>
      </c>
      <c r="H273" s="9">
        <v>29.96</v>
      </c>
      <c r="I273" s="5" t="s">
        <v>68</v>
      </c>
      <c r="J273" s="15">
        <v>41806.91133101852</v>
      </c>
      <c r="K273" t="str">
        <f t="shared" si="4"/>
        <v>06-2014</v>
      </c>
    </row>
    <row r="274" spans="3:11" x14ac:dyDescent="0.25">
      <c r="C274" t="str">
        <f>IF(COUNTBLANK(E274:J274) = 6,"",IF(AND(NOT(ISBLANK(E274)),COUNTBLANK(E274:J274) = 5),"3 Delete",IF(ISBLANK(E274),"2 Add",IF(SHA1Range(E274:J274) = "2d9e4717718e6a6d31d50604fb6e3cba28592bf4","0 Original","1 Modify"))))</f>
        <v>0 Original</v>
      </c>
      <c r="D274" s="5" t="s">
        <v>1233</v>
      </c>
      <c r="E274" s="3">
        <v>207</v>
      </c>
      <c r="F274" s="13">
        <v>41808</v>
      </c>
      <c r="G274" t="s">
        <v>119</v>
      </c>
      <c r="H274" s="9">
        <v>41.95</v>
      </c>
      <c r="I274" s="5" t="s">
        <v>68</v>
      </c>
      <c r="J274" s="15">
        <v>41808.429942129631</v>
      </c>
      <c r="K274" t="str">
        <f t="shared" si="4"/>
        <v>06-2014</v>
      </c>
    </row>
    <row r="275" spans="3:11" x14ac:dyDescent="0.25">
      <c r="C275" t="str">
        <f>IF(COUNTBLANK(E275:J275) = 6,"",IF(AND(NOT(ISBLANK(E275)),COUNTBLANK(E275:J275) = 5),"3 Delete",IF(ISBLANK(E275),"2 Add",IF(SHA1Range(E275:J275) = "237e1288eff003a9bd5d6a5188c9b607a350464e","0 Original","1 Modify"))))</f>
        <v>0 Original</v>
      </c>
      <c r="D275" s="5" t="s">
        <v>1234</v>
      </c>
      <c r="E275" s="3">
        <v>346</v>
      </c>
      <c r="F275" s="13">
        <v>41808</v>
      </c>
      <c r="G275" t="s">
        <v>125</v>
      </c>
      <c r="H275" s="9">
        <v>25.97</v>
      </c>
      <c r="I275" s="5" t="s">
        <v>68</v>
      </c>
      <c r="J275" s="15">
        <v>41808.689062500001</v>
      </c>
      <c r="K275" t="str">
        <f t="shared" si="4"/>
        <v>06-2014</v>
      </c>
    </row>
    <row r="276" spans="3:11" x14ac:dyDescent="0.25">
      <c r="C276" t="str">
        <f>IF(COUNTBLANK(E276:J276) = 6,"",IF(AND(NOT(ISBLANK(E276)),COUNTBLANK(E276:J276) = 5),"3 Delete",IF(ISBLANK(E276),"2 Add",IF(SHA1Range(E276:J276) = "6781103e086341737fa778d643053457dd94373d","0 Original","1 Modify"))))</f>
        <v>0 Original</v>
      </c>
      <c r="D276" s="5" t="s">
        <v>1235</v>
      </c>
      <c r="E276" s="3">
        <v>944</v>
      </c>
      <c r="F276" s="13">
        <v>41809</v>
      </c>
      <c r="G276" t="s">
        <v>134</v>
      </c>
      <c r="H276" s="9">
        <v>39.96</v>
      </c>
      <c r="I276" s="5" t="s">
        <v>68</v>
      </c>
      <c r="J276" s="15">
        <v>41809.112916666665</v>
      </c>
      <c r="K276" t="str">
        <f t="shared" si="4"/>
        <v>06-2014</v>
      </c>
    </row>
    <row r="277" spans="3:11" x14ac:dyDescent="0.25">
      <c r="C277" t="str">
        <f>IF(COUNTBLANK(E277:J277) = 6,"",IF(AND(NOT(ISBLANK(E277)),COUNTBLANK(E277:J277) = 5),"3 Delete",IF(ISBLANK(E277),"2 Add",IF(SHA1Range(E277:J277) = "a070de47a9d57d9c2ef7a2e15769a1e792674560","0 Original","1 Modify"))))</f>
        <v>0 Original</v>
      </c>
      <c r="D277" s="5" t="s">
        <v>1236</v>
      </c>
      <c r="E277" s="3">
        <v>818</v>
      </c>
      <c r="F277" s="13">
        <v>41809</v>
      </c>
      <c r="G277" t="s">
        <v>326</v>
      </c>
      <c r="H277" s="9">
        <v>7.99</v>
      </c>
      <c r="I277" s="5" t="s">
        <v>68</v>
      </c>
      <c r="J277" s="15">
        <v>41809.185555555552</v>
      </c>
      <c r="K277" t="str">
        <f t="shared" si="4"/>
        <v>06-2014</v>
      </c>
    </row>
    <row r="278" spans="3:11" x14ac:dyDescent="0.25">
      <c r="C278" t="str">
        <f>IF(COUNTBLANK(E278:J278) = 6,"",IF(AND(NOT(ISBLANK(E278)),COUNTBLANK(E278:J278) = 5),"3 Delete",IF(ISBLANK(E278),"2 Add",IF(SHA1Range(E278:J278) = "af69fd752acea21021a107407b0e74b160b25dc0","0 Original","1 Modify"))))</f>
        <v>0 Original</v>
      </c>
      <c r="D278" s="5" t="s">
        <v>1237</v>
      </c>
      <c r="E278" s="3">
        <v>260</v>
      </c>
      <c r="F278" s="13">
        <v>41810</v>
      </c>
      <c r="G278" t="s">
        <v>119</v>
      </c>
      <c r="H278" s="9">
        <v>60.93</v>
      </c>
      <c r="I278" s="5" t="s">
        <v>68</v>
      </c>
      <c r="J278" s="15">
        <v>41810.622361111113</v>
      </c>
      <c r="K278" t="str">
        <f t="shared" si="4"/>
        <v>06-2014</v>
      </c>
    </row>
    <row r="279" spans="3:11" x14ac:dyDescent="0.25">
      <c r="C279" t="str">
        <f>IF(COUNTBLANK(E279:J279) = 6,"",IF(AND(NOT(ISBLANK(E279)),COUNTBLANK(E279:J279) = 5),"3 Delete",IF(ISBLANK(E279),"2 Add",IF(SHA1Range(E279:J279) = "8cfcf8573a0528924df54cc75f7615096cd7e125","0 Original","1 Modify"))))</f>
        <v>0 Original</v>
      </c>
      <c r="D279" s="5" t="s">
        <v>1238</v>
      </c>
      <c r="E279" s="3">
        <v>1199</v>
      </c>
      <c r="F279" s="13">
        <v>41810</v>
      </c>
      <c r="G279" t="s">
        <v>98</v>
      </c>
      <c r="H279" s="9">
        <v>15.98</v>
      </c>
      <c r="I279" s="5" t="s">
        <v>68</v>
      </c>
      <c r="J279" s="15">
        <v>41810.6328587963</v>
      </c>
      <c r="K279" t="str">
        <f t="shared" si="4"/>
        <v>06-2014</v>
      </c>
    </row>
    <row r="280" spans="3:11" x14ac:dyDescent="0.25">
      <c r="C280" t="str">
        <f>IF(COUNTBLANK(E280:J280) = 6,"",IF(AND(NOT(ISBLANK(E280)),COUNTBLANK(E280:J280) = 5),"3 Delete",IF(ISBLANK(E280),"2 Add",IF(SHA1Range(E280:J280) = "358357b2b15540f4d4ceb5c8290f908aeea8aa29","0 Original","1 Modify"))))</f>
        <v>0 Original</v>
      </c>
      <c r="D280" s="5" t="s">
        <v>1239</v>
      </c>
      <c r="E280" s="3">
        <v>1049</v>
      </c>
      <c r="F280" s="13">
        <v>41812</v>
      </c>
      <c r="G280" t="s">
        <v>272</v>
      </c>
      <c r="H280" s="9">
        <v>23.97</v>
      </c>
      <c r="I280" s="5" t="s">
        <v>68</v>
      </c>
      <c r="J280" s="15">
        <v>41812.194675925923</v>
      </c>
      <c r="K280" t="str">
        <f t="shared" si="4"/>
        <v>06-2014</v>
      </c>
    </row>
    <row r="281" spans="3:11" x14ac:dyDescent="0.25">
      <c r="C281" t="str">
        <f>IF(COUNTBLANK(E281:J281) = 6,"",IF(AND(NOT(ISBLANK(E281)),COUNTBLANK(E281:J281) = 5),"3 Delete",IF(ISBLANK(E281),"2 Add",IF(SHA1Range(E281:J281) = "f176332fdffa77d8e9dfa36b2bd4147681e51ca8","0 Original","1 Modify"))))</f>
        <v>0 Original</v>
      </c>
      <c r="D281" s="5" t="s">
        <v>1240</v>
      </c>
      <c r="E281" s="3">
        <v>576</v>
      </c>
      <c r="F281" s="13">
        <v>41812</v>
      </c>
      <c r="G281" t="s">
        <v>320</v>
      </c>
      <c r="H281" s="9">
        <v>40.950000000000003</v>
      </c>
      <c r="I281" s="5" t="s">
        <v>68</v>
      </c>
      <c r="J281" s="15">
        <v>41812.270243055558</v>
      </c>
      <c r="K281" t="str">
        <f t="shared" si="4"/>
        <v>06-2014</v>
      </c>
    </row>
    <row r="282" spans="3:11" x14ac:dyDescent="0.25">
      <c r="C282" t="str">
        <f>IF(COUNTBLANK(E282:J282) = 6,"",IF(AND(NOT(ISBLANK(E282)),COUNTBLANK(E282:J282) = 5),"3 Delete",IF(ISBLANK(E282),"2 Add",IF(SHA1Range(E282:J282) = "9cacc8d9cdd0eb84eaf0217023ac6a98e96c672c","0 Original","1 Modify"))))</f>
        <v>0 Original</v>
      </c>
      <c r="D282" s="5" t="s">
        <v>1241</v>
      </c>
      <c r="E282" s="3">
        <v>338</v>
      </c>
      <c r="F282" s="13">
        <v>41812</v>
      </c>
      <c r="G282" t="s">
        <v>239</v>
      </c>
      <c r="H282" s="9">
        <v>29.97</v>
      </c>
      <c r="I282" s="5" t="s">
        <v>68</v>
      </c>
      <c r="J282" s="15">
        <v>41812.343877314815</v>
      </c>
      <c r="K282" t="str">
        <f t="shared" si="4"/>
        <v>06-2014</v>
      </c>
    </row>
    <row r="283" spans="3:11" x14ac:dyDescent="0.25">
      <c r="C283" t="str">
        <f>IF(COUNTBLANK(E283:J283) = 6,"",IF(AND(NOT(ISBLANK(E283)),COUNTBLANK(E283:J283) = 5),"3 Delete",IF(ISBLANK(E283),"2 Add",IF(SHA1Range(E283:J283) = "a8007749e2bb697d18d95b62e0134b279b77fe1e","0 Original","1 Modify"))))</f>
        <v>0 Original</v>
      </c>
      <c r="D283" s="5" t="s">
        <v>1242</v>
      </c>
      <c r="E283" s="3">
        <v>344</v>
      </c>
      <c r="F283" s="13">
        <v>41812</v>
      </c>
      <c r="G283" t="s">
        <v>311</v>
      </c>
      <c r="H283" s="9">
        <v>67.900000000000006</v>
      </c>
      <c r="I283" s="5" t="s">
        <v>68</v>
      </c>
      <c r="J283" s="15">
        <v>41812.817569444444</v>
      </c>
      <c r="K283" t="str">
        <f t="shared" si="4"/>
        <v>06-2014</v>
      </c>
    </row>
    <row r="284" spans="3:11" x14ac:dyDescent="0.25">
      <c r="C284" t="str">
        <f>IF(COUNTBLANK(E284:J284) = 6,"",IF(AND(NOT(ISBLANK(E284)),COUNTBLANK(E284:J284) = 5),"3 Delete",IF(ISBLANK(E284),"2 Add",IF(SHA1Range(E284:J284) = "f2716860a8ac492539f815b3ee43bc883f7997f1","0 Original","1 Modify"))))</f>
        <v>0 Original</v>
      </c>
      <c r="D284" s="5" t="s">
        <v>1243</v>
      </c>
      <c r="E284" s="3">
        <v>841</v>
      </c>
      <c r="F284" s="13">
        <v>41813</v>
      </c>
      <c r="G284" t="s">
        <v>302</v>
      </c>
      <c r="H284" s="9">
        <v>27.95</v>
      </c>
      <c r="I284" s="5" t="s">
        <v>68</v>
      </c>
      <c r="J284" s="15">
        <v>41813.308530092596</v>
      </c>
      <c r="K284" t="str">
        <f t="shared" si="4"/>
        <v>06-2014</v>
      </c>
    </row>
    <row r="285" spans="3:11" x14ac:dyDescent="0.25">
      <c r="C285" t="str">
        <f>IF(COUNTBLANK(E285:J285) = 6,"",IF(AND(NOT(ISBLANK(E285)),COUNTBLANK(E285:J285) = 5),"3 Delete",IF(ISBLANK(E285),"2 Add",IF(SHA1Range(E285:J285) = "dbf9aae3249678ac1c3a2b44732d5064e57c9d54","0 Original","1 Modify"))))</f>
        <v>0 Original</v>
      </c>
      <c r="D285" s="5" t="s">
        <v>1244</v>
      </c>
      <c r="E285" s="3">
        <v>1167</v>
      </c>
      <c r="F285" s="13">
        <v>41813</v>
      </c>
      <c r="G285" t="s">
        <v>272</v>
      </c>
      <c r="H285" s="9">
        <v>9.98</v>
      </c>
      <c r="I285" s="5" t="s">
        <v>68</v>
      </c>
      <c r="J285" s="15">
        <v>41813.608483796299</v>
      </c>
      <c r="K285" t="str">
        <f t="shared" si="4"/>
        <v>06-2014</v>
      </c>
    </row>
    <row r="286" spans="3:11" x14ac:dyDescent="0.25">
      <c r="C286" t="str">
        <f>IF(COUNTBLANK(E286:J286) = 6,"",IF(AND(NOT(ISBLANK(E286)),COUNTBLANK(E286:J286) = 5),"3 Delete",IF(ISBLANK(E286),"2 Add",IF(SHA1Range(E286:J286) = "da3f74e16388b0639880a52dc3c6087287517bb1","0 Original","1 Modify"))))</f>
        <v>0 Original</v>
      </c>
      <c r="D286" s="5" t="s">
        <v>1245</v>
      </c>
      <c r="E286" s="3">
        <v>546</v>
      </c>
      <c r="F286" s="13">
        <v>41814</v>
      </c>
      <c r="G286" t="s">
        <v>239</v>
      </c>
      <c r="H286" s="9">
        <v>20.97</v>
      </c>
      <c r="I286" s="5" t="s">
        <v>68</v>
      </c>
      <c r="J286" s="15">
        <v>41814.657812500001</v>
      </c>
      <c r="K286" t="str">
        <f t="shared" si="4"/>
        <v>06-2014</v>
      </c>
    </row>
    <row r="287" spans="3:11" x14ac:dyDescent="0.25">
      <c r="C287" t="str">
        <f>IF(COUNTBLANK(E287:J287) = 6,"",IF(AND(NOT(ISBLANK(E287)),COUNTBLANK(E287:J287) = 5),"3 Delete",IF(ISBLANK(E287),"2 Add",IF(SHA1Range(E287:J287) = "03b9c4127e69fb4825f46d7d1c2c267714c43dcd","0 Original","1 Modify"))))</f>
        <v>0 Original</v>
      </c>
      <c r="D287" s="5" t="s">
        <v>1246</v>
      </c>
      <c r="E287" s="3">
        <v>379</v>
      </c>
      <c r="F287" s="13">
        <v>41815</v>
      </c>
      <c r="G287" t="s">
        <v>233</v>
      </c>
      <c r="H287" s="9">
        <v>6.99</v>
      </c>
      <c r="I287" s="5" t="s">
        <v>68</v>
      </c>
      <c r="J287" s="15">
        <v>41815.036400462966</v>
      </c>
      <c r="K287" t="str">
        <f t="shared" si="4"/>
        <v>06-2014</v>
      </c>
    </row>
    <row r="288" spans="3:11" x14ac:dyDescent="0.25">
      <c r="C288" t="str">
        <f>IF(COUNTBLANK(E288:J288) = 6,"",IF(AND(NOT(ISBLANK(E288)),COUNTBLANK(E288:J288) = 5),"3 Delete",IF(ISBLANK(E288),"2 Add",IF(SHA1Range(E288:J288) = "672b965a27737b5e5f4546c3a6c2f9e263c008bb","0 Original","1 Modify"))))</f>
        <v>0 Original</v>
      </c>
      <c r="D288" s="5" t="s">
        <v>1247</v>
      </c>
      <c r="E288" s="3">
        <v>912</v>
      </c>
      <c r="F288" s="13">
        <v>41815</v>
      </c>
      <c r="G288" t="s">
        <v>221</v>
      </c>
      <c r="H288" s="9">
        <v>67.91</v>
      </c>
      <c r="I288" s="5" t="s">
        <v>68</v>
      </c>
      <c r="J288" s="15">
        <v>41815.150543981479</v>
      </c>
      <c r="K288" t="str">
        <f t="shared" si="4"/>
        <v>06-2014</v>
      </c>
    </row>
    <row r="289" spans="3:11" x14ac:dyDescent="0.25">
      <c r="C289" t="str">
        <f>IF(COUNTBLANK(E289:J289) = 6,"",IF(AND(NOT(ISBLANK(E289)),COUNTBLANK(E289:J289) = 5),"3 Delete",IF(ISBLANK(E289),"2 Add",IF(SHA1Range(E289:J289) = "c21ffb4b2c85bb166c3d680d8c3d8b5215e2b526","0 Original","1 Modify"))))</f>
        <v>0 Original</v>
      </c>
      <c r="D289" s="5" t="s">
        <v>1248</v>
      </c>
      <c r="E289" s="3">
        <v>625</v>
      </c>
      <c r="F289" s="13">
        <v>41815</v>
      </c>
      <c r="G289" t="s">
        <v>176</v>
      </c>
      <c r="H289" s="9">
        <v>4.99</v>
      </c>
      <c r="I289" s="5" t="s">
        <v>68</v>
      </c>
      <c r="J289" s="15">
        <v>41815.472303240742</v>
      </c>
      <c r="K289" t="str">
        <f t="shared" si="4"/>
        <v>06-2014</v>
      </c>
    </row>
    <row r="290" spans="3:11" x14ac:dyDescent="0.25">
      <c r="C290" t="str">
        <f>IF(COUNTBLANK(E290:J290) = 6,"",IF(AND(NOT(ISBLANK(E290)),COUNTBLANK(E290:J290) = 5),"3 Delete",IF(ISBLANK(E290),"2 Add",IF(SHA1Range(E290:J290) = "3f6405da0c4b18894e9269814c3377422bd4651d","0 Original","1 Modify"))))</f>
        <v>0 Original</v>
      </c>
      <c r="D290" s="5" t="s">
        <v>1249</v>
      </c>
      <c r="E290" s="3">
        <v>564</v>
      </c>
      <c r="F290" s="13">
        <v>41815</v>
      </c>
      <c r="G290" t="s">
        <v>302</v>
      </c>
      <c r="H290" s="9">
        <v>21.97</v>
      </c>
      <c r="I290" s="5" t="s">
        <v>68</v>
      </c>
      <c r="J290" s="15">
        <v>41815.493587962963</v>
      </c>
      <c r="K290" t="str">
        <f t="shared" si="4"/>
        <v>06-2014</v>
      </c>
    </row>
    <row r="291" spans="3:11" x14ac:dyDescent="0.25">
      <c r="C291" t="str">
        <f>IF(COUNTBLANK(E291:J291) = 6,"",IF(AND(NOT(ISBLANK(E291)),COUNTBLANK(E291:J291) = 5),"3 Delete",IF(ISBLANK(E291),"2 Add",IF(SHA1Range(E291:J291) = "0e152cba7072b29f2836210dc47d00dcd66afd00","0 Original","1 Modify"))))</f>
        <v>0 Original</v>
      </c>
      <c r="D291" s="5" t="s">
        <v>1250</v>
      </c>
      <c r="E291" s="3">
        <v>1158</v>
      </c>
      <c r="F291" s="13">
        <v>41815</v>
      </c>
      <c r="G291" t="s">
        <v>170</v>
      </c>
      <c r="H291" s="9">
        <v>18.97</v>
      </c>
      <c r="I291" s="5" t="s">
        <v>68</v>
      </c>
      <c r="J291" s="15">
        <v>41815.995011574072</v>
      </c>
      <c r="K291" t="str">
        <f t="shared" si="4"/>
        <v>06-2014</v>
      </c>
    </row>
    <row r="292" spans="3:11" x14ac:dyDescent="0.25">
      <c r="C292" t="str">
        <f>IF(COUNTBLANK(E292:J292) = 6,"",IF(AND(NOT(ISBLANK(E292)),COUNTBLANK(E292:J292) = 5),"3 Delete",IF(ISBLANK(E292),"2 Add",IF(SHA1Range(E292:J292) = "e9ac7ee2b5973ae88ac7ac587fad799a5b214ca3","0 Original","1 Modify"))))</f>
        <v>0 Original</v>
      </c>
      <c r="D292" s="5" t="s">
        <v>1251</v>
      </c>
      <c r="E292" s="3">
        <v>853</v>
      </c>
      <c r="F292" s="13">
        <v>41817</v>
      </c>
      <c r="G292" t="s">
        <v>302</v>
      </c>
      <c r="H292" s="9">
        <v>33.950000000000003</v>
      </c>
      <c r="I292" s="5" t="s">
        <v>68</v>
      </c>
      <c r="J292" s="15">
        <v>41817.090925925928</v>
      </c>
      <c r="K292" t="str">
        <f t="shared" si="4"/>
        <v>06-2014</v>
      </c>
    </row>
    <row r="293" spans="3:11" x14ac:dyDescent="0.25">
      <c r="C293" t="str">
        <f>IF(COUNTBLANK(E293:J293) = 6,"",IF(AND(NOT(ISBLANK(E293)),COUNTBLANK(E293:J293) = 5),"3 Delete",IF(ISBLANK(E293),"2 Add",IF(SHA1Range(E293:J293) = "d849b07f33decb7f458a5e7793c4bbe9efc368fb","0 Original","1 Modify"))))</f>
        <v>0 Original</v>
      </c>
      <c r="D293" s="5" t="s">
        <v>1252</v>
      </c>
      <c r="E293" s="3">
        <v>64</v>
      </c>
      <c r="F293" s="13">
        <v>41818</v>
      </c>
      <c r="G293" t="s">
        <v>128</v>
      </c>
      <c r="H293" s="9">
        <v>24.97</v>
      </c>
      <c r="I293" s="5" t="s">
        <v>68</v>
      </c>
      <c r="J293" s="15">
        <v>41818.404374999998</v>
      </c>
      <c r="K293" t="str">
        <f t="shared" si="4"/>
        <v>06-2014</v>
      </c>
    </row>
    <row r="294" spans="3:11" x14ac:dyDescent="0.25">
      <c r="C294" t="str">
        <f>IF(COUNTBLANK(E294:J294) = 6,"",IF(AND(NOT(ISBLANK(E294)),COUNTBLANK(E294:J294) = 5),"3 Delete",IF(ISBLANK(E294),"2 Add",IF(SHA1Range(E294:J294) = "a71b37f2ca4897a466732b93e371ed03e15f8e78","0 Original","1 Modify"))))</f>
        <v>0 Original</v>
      </c>
      <c r="D294" s="5" t="s">
        <v>1253</v>
      </c>
      <c r="E294" s="3">
        <v>374</v>
      </c>
      <c r="F294" s="13">
        <v>41818</v>
      </c>
      <c r="G294" t="s">
        <v>65</v>
      </c>
      <c r="H294" s="9">
        <v>15.98</v>
      </c>
      <c r="I294" s="5" t="s">
        <v>68</v>
      </c>
      <c r="J294" s="15">
        <v>41818.839861111112</v>
      </c>
      <c r="K294" t="str">
        <f t="shared" si="4"/>
        <v>06-2014</v>
      </c>
    </row>
    <row r="295" spans="3:11" x14ac:dyDescent="0.25">
      <c r="C295" t="str">
        <f>IF(COUNTBLANK(E295:J295) = 6,"",IF(AND(NOT(ISBLANK(E295)),COUNTBLANK(E295:J295) = 5),"3 Delete",IF(ISBLANK(E295),"2 Add",IF(SHA1Range(E295:J295) = "d03d3348e9e8571a1348fce3a265059e14a7b2ce","0 Original","1 Modify"))))</f>
        <v>0 Original</v>
      </c>
      <c r="D295" s="5" t="s">
        <v>1254</v>
      </c>
      <c r="E295" s="3">
        <v>594</v>
      </c>
      <c r="F295" s="13">
        <v>41819</v>
      </c>
      <c r="G295" t="s">
        <v>89</v>
      </c>
      <c r="H295" s="9">
        <v>32.96</v>
      </c>
      <c r="I295" s="5" t="s">
        <v>68</v>
      </c>
      <c r="J295" s="15">
        <v>41819.095601851855</v>
      </c>
      <c r="K295" t="str">
        <f t="shared" si="4"/>
        <v>06-2014</v>
      </c>
    </row>
    <row r="296" spans="3:11" x14ac:dyDescent="0.25">
      <c r="C296" t="str">
        <f>IF(COUNTBLANK(E296:J296) = 6,"",IF(AND(NOT(ISBLANK(E296)),COUNTBLANK(E296:J296) = 5),"3 Delete",IF(ISBLANK(E296),"2 Add",IF(SHA1Range(E296:J296) = "ae7ef8340d50a479ab302fba84b1ba85f5f6fe76","0 Original","1 Modify"))))</f>
        <v>0 Original</v>
      </c>
      <c r="D296" s="5" t="s">
        <v>1255</v>
      </c>
      <c r="E296" s="3">
        <v>352</v>
      </c>
      <c r="F296" s="13">
        <v>41819</v>
      </c>
      <c r="G296" t="s">
        <v>278</v>
      </c>
      <c r="H296" s="9">
        <v>47.94</v>
      </c>
      <c r="I296" s="5" t="s">
        <v>68</v>
      </c>
      <c r="J296" s="15">
        <v>41819.715648148151</v>
      </c>
      <c r="K296" t="str">
        <f t="shared" si="4"/>
        <v>06-2014</v>
      </c>
    </row>
    <row r="297" spans="3:11" x14ac:dyDescent="0.25">
      <c r="C297" t="str">
        <f>IF(COUNTBLANK(E297:J297) = 6,"",IF(AND(NOT(ISBLANK(E297)),COUNTBLANK(E297:J297) = 5),"3 Delete",IF(ISBLANK(E297),"2 Add",IF(SHA1Range(E297:J297) = "b69b9cc74cb5b2fbebb7266d7a818ecb5f09dbb6","0 Original","1 Modify"))))</f>
        <v>0 Original</v>
      </c>
      <c r="D297" s="5" t="s">
        <v>1256</v>
      </c>
      <c r="E297" s="3">
        <v>518</v>
      </c>
      <c r="F297" s="13">
        <v>41819</v>
      </c>
      <c r="G297" t="s">
        <v>224</v>
      </c>
      <c r="H297" s="9">
        <v>43.95</v>
      </c>
      <c r="I297" s="5" t="s">
        <v>68</v>
      </c>
      <c r="J297" s="15">
        <v>41819.764930555553</v>
      </c>
      <c r="K297" t="str">
        <f t="shared" si="4"/>
        <v>06-2014</v>
      </c>
    </row>
    <row r="298" spans="3:11" x14ac:dyDescent="0.25">
      <c r="C298" t="str">
        <f>IF(COUNTBLANK(E298:J298) = 6,"",IF(AND(NOT(ISBLANK(E298)),COUNTBLANK(E298:J298) = 5),"3 Delete",IF(ISBLANK(E298),"2 Add",IF(SHA1Range(E298:J298) = "5ab259778674a158520f79b0e70664ca31114da6","0 Original","1 Modify"))))</f>
        <v>0 Original</v>
      </c>
      <c r="D298" s="5" t="s">
        <v>1257</v>
      </c>
      <c r="E298" s="3">
        <v>553</v>
      </c>
      <c r="F298" s="13">
        <v>41820</v>
      </c>
      <c r="G298" t="s">
        <v>305</v>
      </c>
      <c r="H298" s="9">
        <v>33.950000000000003</v>
      </c>
      <c r="I298" s="5" t="s">
        <v>68</v>
      </c>
      <c r="J298" s="15">
        <v>41820.441446759258</v>
      </c>
      <c r="K298" t="str">
        <f t="shared" si="4"/>
        <v>06-2014</v>
      </c>
    </row>
    <row r="299" spans="3:11" x14ac:dyDescent="0.25">
      <c r="C299" t="str">
        <f>IF(COUNTBLANK(E299:J299) = 6,"",IF(AND(NOT(ISBLANK(E299)),COUNTBLANK(E299:J299) = 5),"3 Delete",IF(ISBLANK(E299),"2 Add",IF(SHA1Range(E299:J299) = "fb6efe0649304cebc8052a3ba8f3ec67e8526101","0 Original","1 Modify"))))</f>
        <v>0 Original</v>
      </c>
      <c r="D299" s="5" t="s">
        <v>1258</v>
      </c>
      <c r="E299" s="3">
        <v>438</v>
      </c>
      <c r="F299" s="13">
        <v>41820</v>
      </c>
      <c r="G299" t="s">
        <v>89</v>
      </c>
      <c r="H299" s="9">
        <v>45.94</v>
      </c>
      <c r="I299" s="5" t="s">
        <v>68</v>
      </c>
      <c r="J299" s="15">
        <v>41820.490312499998</v>
      </c>
      <c r="K299" t="str">
        <f t="shared" si="4"/>
        <v>06-2014</v>
      </c>
    </row>
    <row r="300" spans="3:11" x14ac:dyDescent="0.25">
      <c r="C300" t="str">
        <f>IF(COUNTBLANK(E300:J300) = 6,"",IF(AND(NOT(ISBLANK(E300)),COUNTBLANK(E300:J300) = 5),"3 Delete",IF(ISBLANK(E300),"2 Add",IF(SHA1Range(E300:J300) = "f8515beb9731deca8693c53f98d9a1de4c4df40b","0 Original","1 Modify"))))</f>
        <v>0 Original</v>
      </c>
      <c r="D300" s="5" t="s">
        <v>1259</v>
      </c>
      <c r="E300" s="3">
        <v>238</v>
      </c>
      <c r="F300" s="13">
        <v>41820</v>
      </c>
      <c r="G300" t="s">
        <v>188</v>
      </c>
      <c r="H300" s="9">
        <v>13.98</v>
      </c>
      <c r="I300" s="5" t="s">
        <v>68</v>
      </c>
      <c r="J300" s="15">
        <v>41820.557199074072</v>
      </c>
      <c r="K300" t="str">
        <f t="shared" si="4"/>
        <v>06-2014</v>
      </c>
    </row>
    <row r="301" spans="3:11" x14ac:dyDescent="0.25">
      <c r="C301" t="str">
        <f>IF(COUNTBLANK(E301:J301) = 6,"",IF(AND(NOT(ISBLANK(E301)),COUNTBLANK(E301:J301) = 5),"3 Delete",IF(ISBLANK(E301),"2 Add",IF(SHA1Range(E301:J301) = "b233d34ef6c61dbd63b835328a49cae6e2b4de0b","0 Original","1 Modify"))))</f>
        <v>0 Original</v>
      </c>
      <c r="D301" s="5" t="s">
        <v>1260</v>
      </c>
      <c r="E301" s="3">
        <v>748</v>
      </c>
      <c r="F301" s="13">
        <v>41820</v>
      </c>
      <c r="G301" t="s">
        <v>245</v>
      </c>
      <c r="H301" s="9">
        <v>30.96</v>
      </c>
      <c r="I301" s="5" t="s">
        <v>68</v>
      </c>
      <c r="J301" s="15">
        <v>41820.925358796296</v>
      </c>
      <c r="K301" t="str">
        <f t="shared" si="4"/>
        <v>06-2014</v>
      </c>
    </row>
    <row r="302" spans="3:11" x14ac:dyDescent="0.25">
      <c r="C302" t="str">
        <f>IF(COUNTBLANK(E302:J302) = 6,"",IF(AND(NOT(ISBLANK(E302)),COUNTBLANK(E302:J302) = 5),"3 Delete",IF(ISBLANK(E302),"2 Add",IF(SHA1Range(E302:J302) = "b432496f9a71a7a9e257c01b2c66e0530e04470c","0 Original","1 Modify"))))</f>
        <v>0 Original</v>
      </c>
      <c r="D302" s="5" t="s">
        <v>1261</v>
      </c>
      <c r="E302" s="3">
        <v>1103</v>
      </c>
      <c r="F302" s="13">
        <v>41820</v>
      </c>
      <c r="G302" t="s">
        <v>221</v>
      </c>
      <c r="H302" s="9">
        <v>22.96</v>
      </c>
      <c r="I302" s="5" t="s">
        <v>68</v>
      </c>
      <c r="J302" s="15">
        <v>41820.960115740738</v>
      </c>
      <c r="K302" t="str">
        <f t="shared" si="4"/>
        <v>06-2014</v>
      </c>
    </row>
    <row r="303" spans="3:11" x14ac:dyDescent="0.25">
      <c r="C303" t="str">
        <f>IF(COUNTBLANK(E303:J303) = 6,"",IF(AND(NOT(ISBLANK(E303)),COUNTBLANK(E303:J303) = 5),"3 Delete",IF(ISBLANK(E303),"2 Add",IF(SHA1Range(E303:J303) = "6dc40cf397e0e1f5f2193a4ff91eb40a71802f13","0 Original","1 Modify"))))</f>
        <v>0 Original</v>
      </c>
      <c r="D303" s="5" t="s">
        <v>1262</v>
      </c>
      <c r="E303" s="3">
        <v>478</v>
      </c>
      <c r="F303" s="13">
        <v>41821</v>
      </c>
      <c r="G303" t="s">
        <v>80</v>
      </c>
      <c r="H303" s="9">
        <v>26.97</v>
      </c>
      <c r="I303" s="5" t="s">
        <v>68</v>
      </c>
      <c r="J303" s="15">
        <v>41821.255810185183</v>
      </c>
      <c r="K303" t="str">
        <f t="shared" si="4"/>
        <v>07-2014</v>
      </c>
    </row>
    <row r="304" spans="3:11" x14ac:dyDescent="0.25">
      <c r="C304" t="str">
        <f>IF(COUNTBLANK(E304:J304) = 6,"",IF(AND(NOT(ISBLANK(E304)),COUNTBLANK(E304:J304) = 5),"3 Delete",IF(ISBLANK(E304),"2 Add",IF(SHA1Range(E304:J304) = "dff740845ab53c9e442491760730a31c60374208","0 Original","1 Modify"))))</f>
        <v>0 Original</v>
      </c>
      <c r="D304" s="5" t="s">
        <v>1263</v>
      </c>
      <c r="E304" s="3">
        <v>788</v>
      </c>
      <c r="F304" s="13">
        <v>41822</v>
      </c>
      <c r="G304" t="s">
        <v>272</v>
      </c>
      <c r="H304" s="9">
        <v>29.97</v>
      </c>
      <c r="I304" s="5" t="s">
        <v>68</v>
      </c>
      <c r="J304" s="15">
        <v>41822.808194444442</v>
      </c>
      <c r="K304" t="str">
        <f t="shared" si="4"/>
        <v>07-2014</v>
      </c>
    </row>
    <row r="305" spans="3:11" x14ac:dyDescent="0.25">
      <c r="C305" t="str">
        <f>IF(COUNTBLANK(E305:J305) = 6,"",IF(AND(NOT(ISBLANK(E305)),COUNTBLANK(E305:J305) = 5),"3 Delete",IF(ISBLANK(E305),"2 Add",IF(SHA1Range(E305:J305) = "63a17e05d859d423499306cf434c23a26eb2228e","0 Original","1 Modify"))))</f>
        <v>0 Original</v>
      </c>
      <c r="D305" s="5" t="s">
        <v>1264</v>
      </c>
      <c r="E305" s="3">
        <v>729</v>
      </c>
      <c r="F305" s="13">
        <v>41822</v>
      </c>
      <c r="G305" t="s">
        <v>98</v>
      </c>
      <c r="H305" s="9">
        <v>4.99</v>
      </c>
      <c r="I305" s="5" t="s">
        <v>68</v>
      </c>
      <c r="J305" s="15">
        <v>41822.84716435185</v>
      </c>
      <c r="K305" t="str">
        <f t="shared" si="4"/>
        <v>07-2014</v>
      </c>
    </row>
    <row r="306" spans="3:11" x14ac:dyDescent="0.25">
      <c r="C306" t="str">
        <f>IF(COUNTBLANK(E306:J306) = 6,"",IF(AND(NOT(ISBLANK(E306)),COUNTBLANK(E306:J306) = 5),"3 Delete",IF(ISBLANK(E306),"2 Add",IF(SHA1Range(E306:J306) = "5520d9fa4244173d80c6e6a241d97a48207f2810","0 Original","1 Modify"))))</f>
        <v>0 Original</v>
      </c>
      <c r="D306" s="5" t="s">
        <v>1265</v>
      </c>
      <c r="E306" s="3">
        <v>928</v>
      </c>
      <c r="F306" s="13">
        <v>41823</v>
      </c>
      <c r="G306" t="s">
        <v>302</v>
      </c>
      <c r="H306" s="9">
        <v>71.900000000000006</v>
      </c>
      <c r="I306" s="5" t="s">
        <v>68</v>
      </c>
      <c r="J306" s="15">
        <v>41823.166527777779</v>
      </c>
      <c r="K306" t="str">
        <f t="shared" si="4"/>
        <v>07-2014</v>
      </c>
    </row>
    <row r="307" spans="3:11" x14ac:dyDescent="0.25">
      <c r="C307" t="str">
        <f>IF(COUNTBLANK(E307:J307) = 6,"",IF(AND(NOT(ISBLANK(E307)),COUNTBLANK(E307:J307) = 5),"3 Delete",IF(ISBLANK(E307),"2 Add",IF(SHA1Range(E307:J307) = "31380e248d3d9c6adb610cfb1bb4829ece2fb91a","0 Original","1 Modify"))))</f>
        <v>0 Original</v>
      </c>
      <c r="D307" s="5" t="s">
        <v>1266</v>
      </c>
      <c r="E307" s="3">
        <v>690</v>
      </c>
      <c r="F307" s="13">
        <v>41823</v>
      </c>
      <c r="G307" t="s">
        <v>125</v>
      </c>
      <c r="H307" s="9">
        <v>26.97</v>
      </c>
      <c r="I307" s="5" t="s">
        <v>68</v>
      </c>
      <c r="J307" s="15">
        <v>41823.283912037034</v>
      </c>
      <c r="K307" t="str">
        <f t="shared" si="4"/>
        <v>07-2014</v>
      </c>
    </row>
    <row r="308" spans="3:11" x14ac:dyDescent="0.25">
      <c r="C308" t="str">
        <f>IF(COUNTBLANK(E308:J308) = 6,"",IF(AND(NOT(ISBLANK(E308)),COUNTBLANK(E308:J308) = 5),"3 Delete",IF(ISBLANK(E308),"2 Add",IF(SHA1Range(E308:J308) = "f867b2b5e881e6bc2574c3210bb195c501ebbd41","0 Original","1 Modify"))))</f>
        <v>0 Original</v>
      </c>
      <c r="D308" s="5" t="s">
        <v>1267</v>
      </c>
      <c r="E308" s="3">
        <v>943</v>
      </c>
      <c r="F308" s="13">
        <v>41823</v>
      </c>
      <c r="G308" t="s">
        <v>221</v>
      </c>
      <c r="H308" s="9">
        <v>15.98</v>
      </c>
      <c r="I308" s="5" t="s">
        <v>68</v>
      </c>
      <c r="J308" s="15">
        <v>41823.639930555553</v>
      </c>
      <c r="K308" t="str">
        <f t="shared" si="4"/>
        <v>07-2014</v>
      </c>
    </row>
    <row r="309" spans="3:11" x14ac:dyDescent="0.25">
      <c r="C309" t="str">
        <f>IF(COUNTBLANK(E309:J309) = 6,"",IF(AND(NOT(ISBLANK(E309)),COUNTBLANK(E309:J309) = 5),"3 Delete",IF(ISBLANK(E309),"2 Add",IF(SHA1Range(E309:J309) = "d5bf013d1b151a07e82889cccb02aec03cfe1e81","0 Original","1 Modify"))))</f>
        <v>0 Original</v>
      </c>
      <c r="D309" s="5" t="s">
        <v>1268</v>
      </c>
      <c r="E309" s="3">
        <v>1092</v>
      </c>
      <c r="F309" s="13">
        <v>41823</v>
      </c>
      <c r="G309" t="s">
        <v>221</v>
      </c>
      <c r="H309" s="9">
        <v>23.96</v>
      </c>
      <c r="I309" s="5" t="s">
        <v>68</v>
      </c>
      <c r="J309" s="15">
        <v>41823.917337962965</v>
      </c>
      <c r="K309" t="str">
        <f t="shared" si="4"/>
        <v>07-2014</v>
      </c>
    </row>
    <row r="310" spans="3:11" x14ac:dyDescent="0.25">
      <c r="C310" t="str">
        <f>IF(COUNTBLANK(E310:J310) = 6,"",IF(AND(NOT(ISBLANK(E310)),COUNTBLANK(E310:J310) = 5),"3 Delete",IF(ISBLANK(E310),"2 Add",IF(SHA1Range(E310:J310) = "f9b20d9e6868de172e9020e7eca61107289f440d","0 Original","1 Modify"))))</f>
        <v>0 Original</v>
      </c>
      <c r="D310" s="5" t="s">
        <v>1269</v>
      </c>
      <c r="E310" s="3">
        <v>283</v>
      </c>
      <c r="F310" s="13">
        <v>41825</v>
      </c>
      <c r="G310" t="s">
        <v>338</v>
      </c>
      <c r="H310" s="9">
        <v>45.94</v>
      </c>
      <c r="I310" s="5" t="s">
        <v>68</v>
      </c>
      <c r="J310" s="15">
        <v>41825.88853009259</v>
      </c>
      <c r="K310" t="str">
        <f t="shared" si="4"/>
        <v>07-2014</v>
      </c>
    </row>
    <row r="311" spans="3:11" x14ac:dyDescent="0.25">
      <c r="C311" t="str">
        <f>IF(COUNTBLANK(E311:J311) = 6,"",IF(AND(NOT(ISBLANK(E311)),COUNTBLANK(E311:J311) = 5),"3 Delete",IF(ISBLANK(E311),"2 Add",IF(SHA1Range(E311:J311) = "3adbbbba7ee7d85422b63c1a4903d1cd335bea0c","0 Original","1 Modify"))))</f>
        <v>0 Original</v>
      </c>
      <c r="D311" s="5" t="s">
        <v>1270</v>
      </c>
      <c r="E311" s="3">
        <v>646</v>
      </c>
      <c r="F311" s="13">
        <v>41828</v>
      </c>
      <c r="G311" t="s">
        <v>281</v>
      </c>
      <c r="H311" s="9">
        <v>92.89</v>
      </c>
      <c r="I311" s="5" t="s">
        <v>68</v>
      </c>
      <c r="J311" s="15">
        <v>41828.223460648151</v>
      </c>
      <c r="K311" t="str">
        <f t="shared" si="4"/>
        <v>07-2014</v>
      </c>
    </row>
    <row r="312" spans="3:11" x14ac:dyDescent="0.25">
      <c r="C312" t="str">
        <f>IF(COUNTBLANK(E312:J312) = 6,"",IF(AND(NOT(ISBLANK(E312)),COUNTBLANK(E312:J312) = 5),"3 Delete",IF(ISBLANK(E312),"2 Add",IF(SHA1Range(E312:J312) = "71f0180d5bffd9096356d29002f728ea7ba7801f","0 Original","1 Modify"))))</f>
        <v>0 Original</v>
      </c>
      <c r="D312" s="5" t="s">
        <v>1271</v>
      </c>
      <c r="E312" s="3">
        <v>887</v>
      </c>
      <c r="F312" s="13">
        <v>41828</v>
      </c>
      <c r="G312" t="s">
        <v>302</v>
      </c>
      <c r="H312" s="9">
        <v>55.94</v>
      </c>
      <c r="I312" s="5" t="s">
        <v>68</v>
      </c>
      <c r="J312" s="15">
        <v>41828.302025462966</v>
      </c>
      <c r="K312" t="str">
        <f t="shared" si="4"/>
        <v>07-2014</v>
      </c>
    </row>
    <row r="313" spans="3:11" x14ac:dyDescent="0.25">
      <c r="C313" t="str">
        <f>IF(COUNTBLANK(E313:J313) = 6,"",IF(AND(NOT(ISBLANK(E313)),COUNTBLANK(E313:J313) = 5),"3 Delete",IF(ISBLANK(E313),"2 Add",IF(SHA1Range(E313:J313) = "eea5330eb385900c701a5286590a40de26ae1b6a","0 Original","1 Modify"))))</f>
        <v>0 Original</v>
      </c>
      <c r="D313" s="5" t="s">
        <v>1272</v>
      </c>
      <c r="E313" s="3">
        <v>152</v>
      </c>
      <c r="F313" s="13">
        <v>41828</v>
      </c>
      <c r="G313" t="s">
        <v>341</v>
      </c>
      <c r="H313" s="9">
        <v>19.97</v>
      </c>
      <c r="I313" s="5" t="s">
        <v>68</v>
      </c>
      <c r="J313" s="15">
        <v>41828.581226851849</v>
      </c>
      <c r="K313" t="str">
        <f t="shared" si="4"/>
        <v>07-2014</v>
      </c>
    </row>
    <row r="314" spans="3:11" x14ac:dyDescent="0.25">
      <c r="C314" t="str">
        <f>IF(COUNTBLANK(E314:J314) = 6,"",IF(AND(NOT(ISBLANK(E314)),COUNTBLANK(E314:J314) = 5),"3 Delete",IF(ISBLANK(E314),"2 Add",IF(SHA1Range(E314:J314) = "d4dc65d14a0ae2853af7c3aff3a4a4481ecb14dd","0 Original","1 Modify"))))</f>
        <v>0 Original</v>
      </c>
      <c r="D314" s="5" t="s">
        <v>1273</v>
      </c>
      <c r="E314" s="3">
        <v>49</v>
      </c>
      <c r="F314" s="13">
        <v>41828</v>
      </c>
      <c r="G314" t="s">
        <v>257</v>
      </c>
      <c r="H314" s="9">
        <v>17.98</v>
      </c>
      <c r="I314" s="5" t="s">
        <v>68</v>
      </c>
      <c r="J314" s="15">
        <v>41828.677141203705</v>
      </c>
      <c r="K314" t="str">
        <f t="shared" si="4"/>
        <v>07-2014</v>
      </c>
    </row>
    <row r="315" spans="3:11" x14ac:dyDescent="0.25">
      <c r="C315" t="str">
        <f>IF(COUNTBLANK(E315:J315) = 6,"",IF(AND(NOT(ISBLANK(E315)),COUNTBLANK(E315:J315) = 5),"3 Delete",IF(ISBLANK(E315),"2 Add",IF(SHA1Range(E315:J315) = "f9ac7131022c606540246f939d6a1b41db8a9c06","0 Original","1 Modify"))))</f>
        <v>0 Original</v>
      </c>
      <c r="D315" s="5" t="s">
        <v>1274</v>
      </c>
      <c r="E315" s="3">
        <v>530</v>
      </c>
      <c r="F315" s="13">
        <v>41829</v>
      </c>
      <c r="G315" t="s">
        <v>245</v>
      </c>
      <c r="H315" s="9">
        <v>34.96</v>
      </c>
      <c r="I315" s="5" t="s">
        <v>68</v>
      </c>
      <c r="J315" s="15">
        <v>41829.73064814815</v>
      </c>
      <c r="K315" t="str">
        <f t="shared" si="4"/>
        <v>07-2014</v>
      </c>
    </row>
    <row r="316" spans="3:11" x14ac:dyDescent="0.25">
      <c r="C316" t="str">
        <f>IF(COUNTBLANK(E316:J316) = 6,"",IF(AND(NOT(ISBLANK(E316)),COUNTBLANK(E316:J316) = 5),"3 Delete",IF(ISBLANK(E316),"2 Add",IF(SHA1Range(E316:J316) = "829127708aa18c651d31b7ea40e7bdb3729999a9","0 Original","1 Modify"))))</f>
        <v>0 Original</v>
      </c>
      <c r="D316" s="5" t="s">
        <v>1275</v>
      </c>
      <c r="E316" s="3">
        <v>137</v>
      </c>
      <c r="F316" s="13">
        <v>41829</v>
      </c>
      <c r="G316" t="s">
        <v>308</v>
      </c>
      <c r="H316" s="9">
        <v>50.93</v>
      </c>
      <c r="I316" s="5" t="s">
        <v>68</v>
      </c>
      <c r="J316" s="15">
        <v>41829.992928240739</v>
      </c>
      <c r="K316" t="str">
        <f t="shared" si="4"/>
        <v>07-2014</v>
      </c>
    </row>
    <row r="317" spans="3:11" x14ac:dyDescent="0.25">
      <c r="C317" t="str">
        <f>IF(COUNTBLANK(E317:J317) = 6,"",IF(AND(NOT(ISBLANK(E317)),COUNTBLANK(E317:J317) = 5),"3 Delete",IF(ISBLANK(E317),"2 Add",IF(SHA1Range(E317:J317) = "1607e3233e65ad0f7a877ddcba72f65356c1b159","0 Original","1 Modify"))))</f>
        <v>0 Original</v>
      </c>
      <c r="D317" s="5" t="s">
        <v>1276</v>
      </c>
      <c r="E317" s="3">
        <v>373</v>
      </c>
      <c r="F317" s="13">
        <v>41830</v>
      </c>
      <c r="G317" t="s">
        <v>152</v>
      </c>
      <c r="H317" s="9">
        <v>30.96</v>
      </c>
      <c r="I317" s="5" t="s">
        <v>68</v>
      </c>
      <c r="J317" s="15">
        <v>41830.326006944444</v>
      </c>
      <c r="K317" t="str">
        <f t="shared" si="4"/>
        <v>07-2014</v>
      </c>
    </row>
    <row r="318" spans="3:11" x14ac:dyDescent="0.25">
      <c r="C318" t="str">
        <f>IF(COUNTBLANK(E318:J318) = 6,"",IF(AND(NOT(ISBLANK(E318)),COUNTBLANK(E318:J318) = 5),"3 Delete",IF(ISBLANK(E318),"2 Add",IF(SHA1Range(E318:J318) = "6f8fa778957c32678aceb40c3358104f2852158d","0 Original","1 Modify"))))</f>
        <v>0 Original</v>
      </c>
      <c r="D318" s="5" t="s">
        <v>1277</v>
      </c>
      <c r="E318" s="3">
        <v>989</v>
      </c>
      <c r="F318" s="13">
        <v>41830</v>
      </c>
      <c r="G318" t="s">
        <v>170</v>
      </c>
      <c r="H318" s="9">
        <v>4.99</v>
      </c>
      <c r="I318" s="5" t="s">
        <v>68</v>
      </c>
      <c r="J318" s="15">
        <v>41830.334479166668</v>
      </c>
      <c r="K318" t="str">
        <f t="shared" si="4"/>
        <v>07-2014</v>
      </c>
    </row>
    <row r="319" spans="3:11" x14ac:dyDescent="0.25">
      <c r="C319" t="str">
        <f>IF(COUNTBLANK(E319:J319) = 6,"",IF(AND(NOT(ISBLANK(E319)),COUNTBLANK(E319:J319) = 5),"3 Delete",IF(ISBLANK(E319),"2 Add",IF(SHA1Range(E319:J319) = "3f84ade798055c50e3971ae1c05616d2325ac555","0 Original","1 Modify"))))</f>
        <v>0 Original</v>
      </c>
      <c r="D319" s="5" t="s">
        <v>1278</v>
      </c>
      <c r="E319" s="3">
        <v>584</v>
      </c>
      <c r="F319" s="13">
        <v>41831</v>
      </c>
      <c r="G319" t="s">
        <v>218</v>
      </c>
      <c r="H319" s="9">
        <v>32.950000000000003</v>
      </c>
      <c r="I319" s="5" t="s">
        <v>68</v>
      </c>
      <c r="J319" s="15">
        <v>41831.336122685185</v>
      </c>
      <c r="K319" t="str">
        <f t="shared" si="4"/>
        <v>07-2014</v>
      </c>
    </row>
    <row r="320" spans="3:11" x14ac:dyDescent="0.25">
      <c r="C320" t="str">
        <f>IF(COUNTBLANK(E320:J320) = 6,"",IF(AND(NOT(ISBLANK(E320)),COUNTBLANK(E320:J320) = 5),"3 Delete",IF(ISBLANK(E320),"2 Add",IF(SHA1Range(E320:J320) = "36a1e689e22c0328e1be456e6bda675c76e072e9","0 Original","1 Modify"))))</f>
        <v>0 Original</v>
      </c>
      <c r="D320" s="5" t="s">
        <v>1279</v>
      </c>
      <c r="E320" s="3">
        <v>1042</v>
      </c>
      <c r="F320" s="13">
        <v>41831</v>
      </c>
      <c r="G320" t="s">
        <v>326</v>
      </c>
      <c r="H320" s="9">
        <v>10.98</v>
      </c>
      <c r="I320" s="5" t="s">
        <v>68</v>
      </c>
      <c r="J320" s="15">
        <v>41831.411226851851</v>
      </c>
      <c r="K320" t="str">
        <f t="shared" si="4"/>
        <v>07-2014</v>
      </c>
    </row>
    <row r="321" spans="3:11" x14ac:dyDescent="0.25">
      <c r="C321" t="str">
        <f>IF(COUNTBLANK(E321:J321) = 6,"",IF(AND(NOT(ISBLANK(E321)),COUNTBLANK(E321:J321) = 5),"3 Delete",IF(ISBLANK(E321),"2 Add",IF(SHA1Range(E321:J321) = "5d7b32a53461c61a1e45db9ae00d1aae52e10fc4","0 Original","1 Modify"))))</f>
        <v>0 Original</v>
      </c>
      <c r="D321" s="5" t="s">
        <v>1280</v>
      </c>
      <c r="E321" s="3">
        <v>706</v>
      </c>
      <c r="F321" s="13">
        <v>41832</v>
      </c>
      <c r="G321" t="s">
        <v>98</v>
      </c>
      <c r="H321" s="9">
        <v>4.99</v>
      </c>
      <c r="I321" s="5" t="s">
        <v>68</v>
      </c>
      <c r="J321" s="15">
        <v>41832.012106481481</v>
      </c>
      <c r="K321" t="str">
        <f t="shared" si="4"/>
        <v>07-2014</v>
      </c>
    </row>
    <row r="322" spans="3:11" x14ac:dyDescent="0.25">
      <c r="C322" t="str">
        <f>IF(COUNTBLANK(E322:J322) = 6,"",IF(AND(NOT(ISBLANK(E322)),COUNTBLANK(E322:J322) = 5),"3 Delete",IF(ISBLANK(E322),"2 Add",IF(SHA1Range(E322:J322) = "baeb16839384a14e727793aa00550d05d9099d8a","0 Original","1 Modify"))))</f>
        <v>0 Original</v>
      </c>
      <c r="D322" s="5" t="s">
        <v>1281</v>
      </c>
      <c r="E322" s="3">
        <v>573</v>
      </c>
      <c r="F322" s="13">
        <v>41832</v>
      </c>
      <c r="G322" t="s">
        <v>293</v>
      </c>
      <c r="H322" s="9">
        <v>18.98</v>
      </c>
      <c r="I322" s="5" t="s">
        <v>68</v>
      </c>
      <c r="J322" s="15">
        <v>41832.221087962964</v>
      </c>
      <c r="K322" t="str">
        <f t="shared" si="4"/>
        <v>07-2014</v>
      </c>
    </row>
    <row r="323" spans="3:11" x14ac:dyDescent="0.25">
      <c r="C323" t="str">
        <f>IF(COUNTBLANK(E323:J323) = 6,"",IF(AND(NOT(ISBLANK(E323)),COUNTBLANK(E323:J323) = 5),"3 Delete",IF(ISBLANK(E323),"2 Add",IF(SHA1Range(E323:J323) = "8a3b5cad22981feec029132480d0b089612d8262","0 Original","1 Modify"))))</f>
        <v>0 Original</v>
      </c>
      <c r="D323" s="5" t="s">
        <v>1282</v>
      </c>
      <c r="E323" s="3">
        <v>399</v>
      </c>
      <c r="F323" s="13">
        <v>41832</v>
      </c>
      <c r="G323" t="s">
        <v>311</v>
      </c>
      <c r="H323" s="9">
        <v>43.95</v>
      </c>
      <c r="I323" s="5" t="s">
        <v>68</v>
      </c>
      <c r="J323" s="15">
        <v>41832.880219907405</v>
      </c>
      <c r="K323" t="str">
        <f t="shared" ref="K323:K386" si="5">TEXT(F323,"mm-yyyy")</f>
        <v>07-2014</v>
      </c>
    </row>
    <row r="324" spans="3:11" x14ac:dyDescent="0.25">
      <c r="C324" t="str">
        <f>IF(COUNTBLANK(E324:J324) = 6,"",IF(AND(NOT(ISBLANK(E324)),COUNTBLANK(E324:J324) = 5),"3 Delete",IF(ISBLANK(E324),"2 Add",IF(SHA1Range(E324:J324) = "8da6e48d92aacc921c8a1789b6f6faf89410d761","0 Original","1 Modify"))))</f>
        <v>0 Original</v>
      </c>
      <c r="D324" s="5" t="s">
        <v>1283</v>
      </c>
      <c r="E324" s="3">
        <v>567</v>
      </c>
      <c r="F324" s="13">
        <v>41833</v>
      </c>
      <c r="G324" t="s">
        <v>341</v>
      </c>
      <c r="H324" s="9">
        <v>49.94</v>
      </c>
      <c r="I324" s="5" t="s">
        <v>68</v>
      </c>
      <c r="J324" s="15">
        <v>41833.695405092592</v>
      </c>
      <c r="K324" t="str">
        <f t="shared" si="5"/>
        <v>07-2014</v>
      </c>
    </row>
    <row r="325" spans="3:11" x14ac:dyDescent="0.25">
      <c r="C325" t="str">
        <f>IF(COUNTBLANK(E325:J325) = 6,"",IF(AND(NOT(ISBLANK(E325)),COUNTBLANK(E325:J325) = 5),"3 Delete",IF(ISBLANK(E325),"2 Add",IF(SHA1Range(E325:J325) = "b773871077e37eb8c4a8998d8dcaded8e08496b2","0 Original","1 Modify"))))</f>
        <v>0 Original</v>
      </c>
      <c r="D325" s="5" t="s">
        <v>1284</v>
      </c>
      <c r="E325" s="3">
        <v>511</v>
      </c>
      <c r="F325" s="13">
        <v>41834</v>
      </c>
      <c r="G325" t="s">
        <v>263</v>
      </c>
      <c r="H325" s="9">
        <v>16.98</v>
      </c>
      <c r="I325" s="5" t="s">
        <v>68</v>
      </c>
      <c r="J325" s="15">
        <v>41834.418067129627</v>
      </c>
      <c r="K325" t="str">
        <f t="shared" si="5"/>
        <v>07-2014</v>
      </c>
    </row>
    <row r="326" spans="3:11" x14ac:dyDescent="0.25">
      <c r="C326" t="str">
        <f>IF(COUNTBLANK(E326:J326) = 6,"",IF(AND(NOT(ISBLANK(E326)),COUNTBLANK(E326:J326) = 5),"3 Delete",IF(ISBLANK(E326),"2 Add",IF(SHA1Range(E326:J326) = "a73cc35f0103e530e153fc5ee1da69b95f0ba936","0 Original","1 Modify"))))</f>
        <v>0 Original</v>
      </c>
      <c r="D326" s="5" t="s">
        <v>1285</v>
      </c>
      <c r="E326" s="3">
        <v>1047</v>
      </c>
      <c r="F326" s="13">
        <v>41834</v>
      </c>
      <c r="G326" t="s">
        <v>302</v>
      </c>
      <c r="H326" s="9">
        <v>14.98</v>
      </c>
      <c r="I326" s="5" t="s">
        <v>68</v>
      </c>
      <c r="J326" s="15">
        <v>41834.607106481482</v>
      </c>
      <c r="K326" t="str">
        <f t="shared" si="5"/>
        <v>07-2014</v>
      </c>
    </row>
    <row r="327" spans="3:11" x14ac:dyDescent="0.25">
      <c r="C327" t="str">
        <f>IF(COUNTBLANK(E327:J327) = 6,"",IF(AND(NOT(ISBLANK(E327)),COUNTBLANK(E327:J327) = 5),"3 Delete",IF(ISBLANK(E327),"2 Add",IF(SHA1Range(E327:J327) = "86a74c66fb51168ca6e5a756ad92ce11d5668ce2","0 Original","1 Modify"))))</f>
        <v>0 Original</v>
      </c>
      <c r="D327" s="5" t="s">
        <v>1286</v>
      </c>
      <c r="E327" s="3">
        <v>674</v>
      </c>
      <c r="F327" s="13">
        <v>41834</v>
      </c>
      <c r="G327" t="s">
        <v>233</v>
      </c>
      <c r="H327" s="9">
        <v>40.950000000000003</v>
      </c>
      <c r="I327" s="5" t="s">
        <v>68</v>
      </c>
      <c r="J327" s="15">
        <v>41834.630520833336</v>
      </c>
      <c r="K327" t="str">
        <f t="shared" si="5"/>
        <v>07-2014</v>
      </c>
    </row>
    <row r="328" spans="3:11" x14ac:dyDescent="0.25">
      <c r="C328" t="str">
        <f>IF(COUNTBLANK(E328:J328) = 6,"",IF(AND(NOT(ISBLANK(E328)),COUNTBLANK(E328:J328) = 5),"3 Delete",IF(ISBLANK(E328),"2 Add",IF(SHA1Range(E328:J328) = "76f839840cc69901db439a632963b8db4c6541b0","0 Original","1 Modify"))))</f>
        <v>0 Original</v>
      </c>
      <c r="D328" s="5" t="s">
        <v>1287</v>
      </c>
      <c r="E328" s="3">
        <v>272</v>
      </c>
      <c r="F328" s="13">
        <v>41834</v>
      </c>
      <c r="G328" t="s">
        <v>230</v>
      </c>
      <c r="H328" s="9">
        <v>14.98</v>
      </c>
      <c r="I328" s="5" t="s">
        <v>68</v>
      </c>
      <c r="J328" s="15">
        <v>41834.890173611115</v>
      </c>
      <c r="K328" t="str">
        <f t="shared" si="5"/>
        <v>07-2014</v>
      </c>
    </row>
    <row r="329" spans="3:11" x14ac:dyDescent="0.25">
      <c r="C329" t="str">
        <f>IF(COUNTBLANK(E329:J329) = 6,"",IF(AND(NOT(ISBLANK(E329)),COUNTBLANK(E329:J329) = 5),"3 Delete",IF(ISBLANK(E329),"2 Add",IF(SHA1Range(E329:J329) = "bb5e581a4a4cbf2f9916a37c388ba4bbe6ab020e","0 Original","1 Modify"))))</f>
        <v>0 Original</v>
      </c>
      <c r="D329" s="5" t="s">
        <v>1288</v>
      </c>
      <c r="E329" s="3">
        <v>786</v>
      </c>
      <c r="F329" s="13">
        <v>41834</v>
      </c>
      <c r="G329" t="s">
        <v>302</v>
      </c>
      <c r="H329" s="9">
        <v>29.95</v>
      </c>
      <c r="I329" s="5" t="s">
        <v>68</v>
      </c>
      <c r="J329" s="15">
        <v>41834.898240740738</v>
      </c>
      <c r="K329" t="str">
        <f t="shared" si="5"/>
        <v>07-2014</v>
      </c>
    </row>
    <row r="330" spans="3:11" x14ac:dyDescent="0.25">
      <c r="C330" t="str">
        <f>IF(COUNTBLANK(E330:J330) = 6,"",IF(AND(NOT(ISBLANK(E330)),COUNTBLANK(E330:J330) = 5),"3 Delete",IF(ISBLANK(E330),"2 Add",IF(SHA1Range(E330:J330) = "ffef32c7166bee3a4967a046c69057e8dcf581cd","0 Original","1 Modify"))))</f>
        <v>0 Original</v>
      </c>
      <c r="D330" s="5" t="s">
        <v>1289</v>
      </c>
      <c r="E330" s="3">
        <v>33</v>
      </c>
      <c r="F330" s="13">
        <v>41834</v>
      </c>
      <c r="G330" t="s">
        <v>98</v>
      </c>
      <c r="H330" s="9">
        <v>28.96</v>
      </c>
      <c r="I330" s="5" t="s">
        <v>68</v>
      </c>
      <c r="J330" s="15">
        <v>41834.951099537036</v>
      </c>
      <c r="K330" t="str">
        <f t="shared" si="5"/>
        <v>07-2014</v>
      </c>
    </row>
    <row r="331" spans="3:11" x14ac:dyDescent="0.25">
      <c r="C331" t="str">
        <f>IF(COUNTBLANK(E331:J331) = 6,"",IF(AND(NOT(ISBLANK(E331)),COUNTBLANK(E331:J331) = 5),"3 Delete",IF(ISBLANK(E331),"2 Add",IF(SHA1Range(E331:J331) = "8b62dd320eb55eb4167dbd0c4ced7d7e03ece9c6","0 Original","1 Modify"))))</f>
        <v>0 Original</v>
      </c>
      <c r="D331" s="5" t="s">
        <v>1290</v>
      </c>
      <c r="E331" s="3">
        <v>449</v>
      </c>
      <c r="F331" s="13">
        <v>41835</v>
      </c>
      <c r="G331" t="s">
        <v>275</v>
      </c>
      <c r="H331" s="9">
        <v>19.97</v>
      </c>
      <c r="I331" s="5" t="s">
        <v>68</v>
      </c>
      <c r="J331" s="15">
        <v>41835.741550925923</v>
      </c>
      <c r="K331" t="str">
        <f t="shared" si="5"/>
        <v>07-2014</v>
      </c>
    </row>
    <row r="332" spans="3:11" x14ac:dyDescent="0.25">
      <c r="C332" t="str">
        <f>IF(COUNTBLANK(E332:J332) = 6,"",IF(AND(NOT(ISBLANK(E332)),COUNTBLANK(E332:J332) = 5),"3 Delete",IF(ISBLANK(E332),"2 Add",IF(SHA1Range(E332:J332) = "aff3fe8848365e07bad933e00871797e31ed25d5","0 Original","1 Modify"))))</f>
        <v>0 Original</v>
      </c>
      <c r="D332" s="5" t="s">
        <v>1291</v>
      </c>
      <c r="E332" s="3">
        <v>362</v>
      </c>
      <c r="F332" s="13">
        <v>41836</v>
      </c>
      <c r="G332" t="s">
        <v>188</v>
      </c>
      <c r="H332" s="9">
        <v>97.88</v>
      </c>
      <c r="I332" s="5" t="s">
        <v>68</v>
      </c>
      <c r="J332" s="15">
        <v>41836.038182870368</v>
      </c>
      <c r="K332" t="str">
        <f t="shared" si="5"/>
        <v>07-2014</v>
      </c>
    </row>
    <row r="333" spans="3:11" x14ac:dyDescent="0.25">
      <c r="C333" t="str">
        <f>IF(COUNTBLANK(E333:J333) = 6,"",IF(AND(NOT(ISBLANK(E333)),COUNTBLANK(E333:J333) = 5),"3 Delete",IF(ISBLANK(E333),"2 Add",IF(SHA1Range(E333:J333) = "18060fd62a10235138a8255cba78feaa07d1c4ec","0 Original","1 Modify"))))</f>
        <v>0 Original</v>
      </c>
      <c r="D333" s="5" t="s">
        <v>1292</v>
      </c>
      <c r="E333" s="3">
        <v>395</v>
      </c>
      <c r="F333" s="13">
        <v>41836</v>
      </c>
      <c r="G333" t="s">
        <v>293</v>
      </c>
      <c r="H333" s="9">
        <v>8.99</v>
      </c>
      <c r="I333" s="5" t="s">
        <v>68</v>
      </c>
      <c r="J333" s="15">
        <v>41836.214999999997</v>
      </c>
      <c r="K333" t="str">
        <f t="shared" si="5"/>
        <v>07-2014</v>
      </c>
    </row>
    <row r="334" spans="3:11" x14ac:dyDescent="0.25">
      <c r="C334" t="str">
        <f>IF(COUNTBLANK(E334:J334) = 6,"",IF(AND(NOT(ISBLANK(E334)),COUNTBLANK(E334:J334) = 5),"3 Delete",IF(ISBLANK(E334),"2 Add",IF(SHA1Range(E334:J334) = "4aa6391f6eab22fd6ce96cca12118263eef49164","0 Original","1 Modify"))))</f>
        <v>0 Original</v>
      </c>
      <c r="D334" s="5" t="s">
        <v>1293</v>
      </c>
      <c r="E334" s="3">
        <v>1106</v>
      </c>
      <c r="F334" s="13">
        <v>41836</v>
      </c>
      <c r="G334" t="s">
        <v>242</v>
      </c>
      <c r="H334" s="9">
        <v>25.96</v>
      </c>
      <c r="I334" s="5" t="s">
        <v>68</v>
      </c>
      <c r="J334" s="15">
        <v>41836.501111111109</v>
      </c>
      <c r="K334" t="str">
        <f t="shared" si="5"/>
        <v>07-2014</v>
      </c>
    </row>
    <row r="335" spans="3:11" x14ac:dyDescent="0.25">
      <c r="C335" t="str">
        <f>IF(COUNTBLANK(E335:J335) = 6,"",IF(AND(NOT(ISBLANK(E335)),COUNTBLANK(E335:J335) = 5),"3 Delete",IF(ISBLANK(E335),"2 Add",IF(SHA1Range(E335:J335) = "5d5fb1d07fc410c8e7110e6957abffe0e6797838","0 Original","1 Modify"))))</f>
        <v>0 Original</v>
      </c>
      <c r="D335" s="5" t="s">
        <v>1294</v>
      </c>
      <c r="E335" s="3">
        <v>1183</v>
      </c>
      <c r="F335" s="13">
        <v>41838</v>
      </c>
      <c r="G335" t="s">
        <v>221</v>
      </c>
      <c r="H335" s="9">
        <v>38.950000000000003</v>
      </c>
      <c r="I335" s="5" t="s">
        <v>68</v>
      </c>
      <c r="J335" s="15">
        <v>41838.045787037037</v>
      </c>
      <c r="K335" t="str">
        <f t="shared" si="5"/>
        <v>07-2014</v>
      </c>
    </row>
    <row r="336" spans="3:11" x14ac:dyDescent="0.25">
      <c r="C336" t="str">
        <f>IF(COUNTBLANK(E336:J336) = 6,"",IF(AND(NOT(ISBLANK(E336)),COUNTBLANK(E336:J336) = 5),"3 Delete",IF(ISBLANK(E336),"2 Add",IF(SHA1Range(E336:J336) = "308dbf8505fe13cadb0c968029dbd067ab87d679","0 Original","1 Modify"))))</f>
        <v>0 Original</v>
      </c>
      <c r="D336" s="5" t="s">
        <v>1295</v>
      </c>
      <c r="E336" s="3">
        <v>680</v>
      </c>
      <c r="F336" s="13">
        <v>41838</v>
      </c>
      <c r="G336" t="s">
        <v>350</v>
      </c>
      <c r="H336" s="9">
        <v>6.99</v>
      </c>
      <c r="I336" s="5" t="s">
        <v>68</v>
      </c>
      <c r="J336" s="15">
        <v>41838.076597222222</v>
      </c>
      <c r="K336" t="str">
        <f t="shared" si="5"/>
        <v>07-2014</v>
      </c>
    </row>
    <row r="337" spans="3:11" x14ac:dyDescent="0.25">
      <c r="C337" t="str">
        <f>IF(COUNTBLANK(E337:J337) = 6,"",IF(AND(NOT(ISBLANK(E337)),COUNTBLANK(E337:J337) = 5),"3 Delete",IF(ISBLANK(E337),"2 Add",IF(SHA1Range(E337:J337) = "8c2548adf58da60751aa1ea54f65e427c841cf08","0 Original","1 Modify"))))</f>
        <v>0 Original</v>
      </c>
      <c r="D337" s="5" t="s">
        <v>1296</v>
      </c>
      <c r="E337" s="3">
        <v>1141</v>
      </c>
      <c r="F337" s="13">
        <v>41838</v>
      </c>
      <c r="G337" t="s">
        <v>98</v>
      </c>
      <c r="H337" s="9">
        <v>14.98</v>
      </c>
      <c r="I337" s="5" t="s">
        <v>68</v>
      </c>
      <c r="J337" s="15">
        <v>41838.17459490741</v>
      </c>
      <c r="K337" t="str">
        <f t="shared" si="5"/>
        <v>07-2014</v>
      </c>
    </row>
    <row r="338" spans="3:11" x14ac:dyDescent="0.25">
      <c r="C338" t="str">
        <f>IF(COUNTBLANK(E338:J338) = 6,"",IF(AND(NOT(ISBLANK(E338)),COUNTBLANK(E338:J338) = 5),"3 Delete",IF(ISBLANK(E338),"2 Add",IF(SHA1Range(E338:J338) = "69d057c0861158c014d5a50c5ac3c1636cb90852","0 Original","1 Modify"))))</f>
        <v>0 Original</v>
      </c>
      <c r="D338" s="5" t="s">
        <v>1297</v>
      </c>
      <c r="E338" s="3">
        <v>1007</v>
      </c>
      <c r="F338" s="13">
        <v>41838</v>
      </c>
      <c r="G338" t="s">
        <v>326</v>
      </c>
      <c r="H338" s="9">
        <v>48.94</v>
      </c>
      <c r="I338" s="5" t="s">
        <v>68</v>
      </c>
      <c r="J338" s="15">
        <v>41838.585081018522</v>
      </c>
      <c r="K338" t="str">
        <f t="shared" si="5"/>
        <v>07-2014</v>
      </c>
    </row>
    <row r="339" spans="3:11" x14ac:dyDescent="0.25">
      <c r="C339" t="str">
        <f>IF(COUNTBLANK(E339:J339) = 6,"",IF(AND(NOT(ISBLANK(E339)),COUNTBLANK(E339:J339) = 5),"3 Delete",IF(ISBLANK(E339),"2 Add",IF(SHA1Range(E339:J339) = "a5bd0874e9cf0e745a50df252df3bdf42a645618","0 Original","1 Modify"))))</f>
        <v>0 Original</v>
      </c>
      <c r="D339" s="5" t="s">
        <v>1298</v>
      </c>
      <c r="E339" s="3">
        <v>1026</v>
      </c>
      <c r="F339" s="13">
        <v>41839</v>
      </c>
      <c r="G339" t="s">
        <v>98</v>
      </c>
      <c r="H339" s="9">
        <v>53.92</v>
      </c>
      <c r="I339" s="5" t="s">
        <v>68</v>
      </c>
      <c r="J339" s="15">
        <v>41839.036782407406</v>
      </c>
      <c r="K339" t="str">
        <f t="shared" si="5"/>
        <v>07-2014</v>
      </c>
    </row>
    <row r="340" spans="3:11" x14ac:dyDescent="0.25">
      <c r="C340" t="str">
        <f>IF(COUNTBLANK(E340:J340) = 6,"",IF(AND(NOT(ISBLANK(E340)),COUNTBLANK(E340:J340) = 5),"3 Delete",IF(ISBLANK(E340),"2 Add",IF(SHA1Range(E340:J340) = "e0528f6b794db07aae67c0a5ce5f6fb71c115fce","0 Original","1 Modify"))))</f>
        <v>0 Original</v>
      </c>
      <c r="D340" s="5" t="s">
        <v>1299</v>
      </c>
      <c r="E340" s="3">
        <v>681</v>
      </c>
      <c r="F340" s="13">
        <v>41840</v>
      </c>
      <c r="G340" t="s">
        <v>338</v>
      </c>
      <c r="H340" s="9">
        <v>38.96</v>
      </c>
      <c r="I340" s="5" t="s">
        <v>68</v>
      </c>
      <c r="J340" s="15">
        <v>41840.179409722223</v>
      </c>
      <c r="K340" t="str">
        <f t="shared" si="5"/>
        <v>07-2014</v>
      </c>
    </row>
    <row r="341" spans="3:11" x14ac:dyDescent="0.25">
      <c r="C341" t="str">
        <f>IF(COUNTBLANK(E341:J341) = 6,"",IF(AND(NOT(ISBLANK(E341)),COUNTBLANK(E341:J341) = 5),"3 Delete",IF(ISBLANK(E341),"2 Add",IF(SHA1Range(E341:J341) = "ccac33ca9fbcbe6230d033c30649c7d462c59433","0 Original","1 Modify"))))</f>
        <v>0 Original</v>
      </c>
      <c r="D341" s="5" t="s">
        <v>1300</v>
      </c>
      <c r="E341" s="3">
        <v>237</v>
      </c>
      <c r="F341" s="13">
        <v>41840</v>
      </c>
      <c r="G341" t="s">
        <v>164</v>
      </c>
      <c r="H341" s="9">
        <v>18.98</v>
      </c>
      <c r="I341" s="5" t="s">
        <v>68</v>
      </c>
      <c r="J341" s="15">
        <v>41840.183761574073</v>
      </c>
      <c r="K341" t="str">
        <f t="shared" si="5"/>
        <v>07-2014</v>
      </c>
    </row>
    <row r="342" spans="3:11" x14ac:dyDescent="0.25">
      <c r="C342" t="str">
        <f>IF(COUNTBLANK(E342:J342) = 6,"",IF(AND(NOT(ISBLANK(E342)),COUNTBLANK(E342:J342) = 5),"3 Delete",IF(ISBLANK(E342),"2 Add",IF(SHA1Range(E342:J342) = "53da6f618c6d6f7cca9609a41528229ac271dcbf","0 Original","1 Modify"))))</f>
        <v>0 Original</v>
      </c>
      <c r="D342" s="5" t="s">
        <v>1301</v>
      </c>
      <c r="E342" s="3">
        <v>453</v>
      </c>
      <c r="F342" s="13">
        <v>41840</v>
      </c>
      <c r="G342" t="s">
        <v>341</v>
      </c>
      <c r="H342" s="9">
        <v>25.96</v>
      </c>
      <c r="I342" s="5" t="s">
        <v>68</v>
      </c>
      <c r="J342" s="15">
        <v>41840.308483796296</v>
      </c>
      <c r="K342" t="str">
        <f t="shared" si="5"/>
        <v>07-2014</v>
      </c>
    </row>
    <row r="343" spans="3:11" x14ac:dyDescent="0.25">
      <c r="C343" t="str">
        <f>IF(COUNTBLANK(E343:J343) = 6,"",IF(AND(NOT(ISBLANK(E343)),COUNTBLANK(E343:J343) = 5),"3 Delete",IF(ISBLANK(E343),"2 Add",IF(SHA1Range(E343:J343) = "6c5cc3c17f4074eb2ebe6edf66af136812bdcfd0","0 Original","1 Modify"))))</f>
        <v>0 Original</v>
      </c>
      <c r="D343" s="5" t="s">
        <v>1302</v>
      </c>
      <c r="E343" s="3">
        <v>492</v>
      </c>
      <c r="F343" s="13">
        <v>41840</v>
      </c>
      <c r="G343" t="s">
        <v>347</v>
      </c>
      <c r="H343" s="9">
        <v>12.98</v>
      </c>
      <c r="I343" s="5" t="s">
        <v>68</v>
      </c>
      <c r="J343" s="15">
        <v>41840.729178240741</v>
      </c>
      <c r="K343" t="str">
        <f t="shared" si="5"/>
        <v>07-2014</v>
      </c>
    </row>
    <row r="344" spans="3:11" x14ac:dyDescent="0.25">
      <c r="C344" t="str">
        <f>IF(COUNTBLANK(E344:J344) = 6,"",IF(AND(NOT(ISBLANK(E344)),COUNTBLANK(E344:J344) = 5),"3 Delete",IF(ISBLANK(E344),"2 Add",IF(SHA1Range(E344:J344) = "bdddb3496b719cc13ff76ace451c6a53c892799a","0 Original","1 Modify"))))</f>
        <v>0 Original</v>
      </c>
      <c r="D344" s="5" t="s">
        <v>1303</v>
      </c>
      <c r="E344" s="3">
        <v>256</v>
      </c>
      <c r="F344" s="13">
        <v>41840</v>
      </c>
      <c r="G344" t="s">
        <v>152</v>
      </c>
      <c r="H344" s="9">
        <v>37.950000000000003</v>
      </c>
      <c r="I344" s="5" t="s">
        <v>68</v>
      </c>
      <c r="J344" s="15">
        <v>41840.87332175926</v>
      </c>
      <c r="K344" t="str">
        <f t="shared" si="5"/>
        <v>07-2014</v>
      </c>
    </row>
    <row r="345" spans="3:11" x14ac:dyDescent="0.25">
      <c r="C345" t="str">
        <f>IF(COUNTBLANK(E345:J345) = 6,"",IF(AND(NOT(ISBLANK(E345)),COUNTBLANK(E345:J345) = 5),"3 Delete",IF(ISBLANK(E345),"2 Add",IF(SHA1Range(E345:J345) = "6760b9e611d7c66d3e08b95bdfcd7095079a705f","0 Original","1 Modify"))))</f>
        <v>0 Original</v>
      </c>
      <c r="D345" s="5" t="s">
        <v>1304</v>
      </c>
      <c r="E345" s="3">
        <v>969</v>
      </c>
      <c r="F345" s="13">
        <v>41842</v>
      </c>
      <c r="G345" t="s">
        <v>245</v>
      </c>
      <c r="H345" s="9">
        <v>6.99</v>
      </c>
      <c r="I345" s="5" t="s">
        <v>68</v>
      </c>
      <c r="J345" s="15">
        <v>41842.526064814818</v>
      </c>
      <c r="K345" t="str">
        <f t="shared" si="5"/>
        <v>07-2014</v>
      </c>
    </row>
    <row r="346" spans="3:11" x14ac:dyDescent="0.25">
      <c r="C346" t="str">
        <f>IF(COUNTBLANK(E346:J346) = 6,"",IF(AND(NOT(ISBLANK(E346)),COUNTBLANK(E346:J346) = 5),"3 Delete",IF(ISBLANK(E346),"2 Add",IF(SHA1Range(E346:J346) = "34c929763efae27a0063db4b2259acdff488d67a","0 Original","1 Modify"))))</f>
        <v>0 Original</v>
      </c>
      <c r="D346" s="5" t="s">
        <v>1305</v>
      </c>
      <c r="E346" s="3">
        <v>94</v>
      </c>
      <c r="F346" s="13">
        <v>41842</v>
      </c>
      <c r="G346" t="s">
        <v>233</v>
      </c>
      <c r="H346" s="9">
        <v>56.91</v>
      </c>
      <c r="I346" s="5" t="s">
        <v>68</v>
      </c>
      <c r="J346" s="15">
        <v>41842.637870370374</v>
      </c>
      <c r="K346" t="str">
        <f t="shared" si="5"/>
        <v>07-2014</v>
      </c>
    </row>
    <row r="347" spans="3:11" x14ac:dyDescent="0.25">
      <c r="C347" t="str">
        <f>IF(COUNTBLANK(E347:J347) = 6,"",IF(AND(NOT(ISBLANK(E347)),COUNTBLANK(E347:J347) = 5),"3 Delete",IF(ISBLANK(E347),"2 Add",IF(SHA1Range(E347:J347) = "02b3c9fedc0c0d75f19ee9c75257834013306005","0 Original","1 Modify"))))</f>
        <v>0 Original</v>
      </c>
      <c r="D347" s="5" t="s">
        <v>1306</v>
      </c>
      <c r="E347" s="3">
        <v>890</v>
      </c>
      <c r="F347" s="13">
        <v>41844</v>
      </c>
      <c r="G347" t="s">
        <v>134</v>
      </c>
      <c r="H347" s="9">
        <v>24.97</v>
      </c>
      <c r="I347" s="5" t="s">
        <v>68</v>
      </c>
      <c r="J347" s="15">
        <v>41844.292638888888</v>
      </c>
      <c r="K347" t="str">
        <f t="shared" si="5"/>
        <v>07-2014</v>
      </c>
    </row>
    <row r="348" spans="3:11" x14ac:dyDescent="0.25">
      <c r="C348" t="str">
        <f>IF(COUNTBLANK(E348:J348) = 6,"",IF(AND(NOT(ISBLANK(E348)),COUNTBLANK(E348:J348) = 5),"3 Delete",IF(ISBLANK(E348),"2 Add",IF(SHA1Range(E348:J348) = "0349bcdd77757ba70473f60542fcfdf155dd663f","0 Original","1 Modify"))))</f>
        <v>0 Original</v>
      </c>
      <c r="D348" s="5" t="s">
        <v>1307</v>
      </c>
      <c r="E348" s="3">
        <v>813</v>
      </c>
      <c r="F348" s="13">
        <v>41845</v>
      </c>
      <c r="G348" t="s">
        <v>170</v>
      </c>
      <c r="H348" s="9">
        <v>64.92</v>
      </c>
      <c r="I348" s="5" t="s">
        <v>68</v>
      </c>
      <c r="J348" s="15">
        <v>41845.930810185186</v>
      </c>
      <c r="K348" t="str">
        <f t="shared" si="5"/>
        <v>07-2014</v>
      </c>
    </row>
    <row r="349" spans="3:11" x14ac:dyDescent="0.25">
      <c r="C349" t="str">
        <f>IF(COUNTBLANK(E349:J349) = 6,"",IF(AND(NOT(ISBLANK(E349)),COUNTBLANK(E349:J349) = 5),"3 Delete",IF(ISBLANK(E349),"2 Add",IF(SHA1Range(E349:J349) = "758b3a39089b36c032d472ae6f3acaca29635957","0 Original","1 Modify"))))</f>
        <v>0 Original</v>
      </c>
      <c r="D349" s="5" t="s">
        <v>1308</v>
      </c>
      <c r="E349" s="3">
        <v>1197</v>
      </c>
      <c r="F349" s="13">
        <v>41846</v>
      </c>
      <c r="G349" t="s">
        <v>260</v>
      </c>
      <c r="H349" s="9">
        <v>43.95</v>
      </c>
      <c r="I349" s="5" t="s">
        <v>68</v>
      </c>
      <c r="J349" s="15">
        <v>41846.53193287037</v>
      </c>
      <c r="K349" t="str">
        <f t="shared" si="5"/>
        <v>07-2014</v>
      </c>
    </row>
    <row r="350" spans="3:11" x14ac:dyDescent="0.25">
      <c r="C350" t="str">
        <f>IF(COUNTBLANK(E350:J350) = 6,"",IF(AND(NOT(ISBLANK(E350)),COUNTBLANK(E350:J350) = 5),"3 Delete",IF(ISBLANK(E350),"2 Add",IF(SHA1Range(E350:J350) = "3c5ff842770e67cd05cbfb03e1042d2c990506ef","0 Original","1 Modify"))))</f>
        <v>0 Original</v>
      </c>
      <c r="D350" s="5" t="s">
        <v>1309</v>
      </c>
      <c r="E350" s="3">
        <v>993</v>
      </c>
      <c r="F350" s="13">
        <v>41846</v>
      </c>
      <c r="G350" t="s">
        <v>260</v>
      </c>
      <c r="H350" s="9">
        <v>24.97</v>
      </c>
      <c r="I350" s="5" t="s">
        <v>68</v>
      </c>
      <c r="J350" s="15">
        <v>41846.780648148146</v>
      </c>
      <c r="K350" t="str">
        <f t="shared" si="5"/>
        <v>07-2014</v>
      </c>
    </row>
    <row r="351" spans="3:11" x14ac:dyDescent="0.25">
      <c r="C351" t="str">
        <f>IF(COUNTBLANK(E351:J351) = 6,"",IF(AND(NOT(ISBLANK(E351)),COUNTBLANK(E351:J351) = 5),"3 Delete",IF(ISBLANK(E351),"2 Add",IF(SHA1Range(E351:J351) = "35a236a7ef4ef36b7227893691c87ed4e33a1eab","0 Original","1 Modify"))))</f>
        <v>0 Original</v>
      </c>
      <c r="D351" s="5" t="s">
        <v>1310</v>
      </c>
      <c r="E351" s="3">
        <v>301</v>
      </c>
      <c r="F351" s="13">
        <v>41847</v>
      </c>
      <c r="G351" t="s">
        <v>341</v>
      </c>
      <c r="H351" s="9">
        <v>61.92</v>
      </c>
      <c r="I351" s="5" t="s">
        <v>68</v>
      </c>
      <c r="J351" s="15">
        <v>41847.102094907408</v>
      </c>
      <c r="K351" t="str">
        <f t="shared" si="5"/>
        <v>07-2014</v>
      </c>
    </row>
    <row r="352" spans="3:11" x14ac:dyDescent="0.25">
      <c r="C352" t="str">
        <f>IF(COUNTBLANK(E352:J352) = 6,"",IF(AND(NOT(ISBLANK(E352)),COUNTBLANK(E352:J352) = 5),"3 Delete",IF(ISBLANK(E352),"2 Add",IF(SHA1Range(E352:J352) = "f635313c2b96bbc0b5feb31cb9eb1b6c98a5c2af","0 Original","1 Modify"))))</f>
        <v>0 Original</v>
      </c>
      <c r="D352" s="5" t="s">
        <v>1311</v>
      </c>
      <c r="E352" s="3">
        <v>188</v>
      </c>
      <c r="F352" s="13">
        <v>41847</v>
      </c>
      <c r="G352" t="s">
        <v>65</v>
      </c>
      <c r="H352" s="9">
        <v>7.99</v>
      </c>
      <c r="I352" s="5" t="s">
        <v>68</v>
      </c>
      <c r="J352" s="15">
        <v>41847.446608796294</v>
      </c>
      <c r="K352" t="str">
        <f t="shared" si="5"/>
        <v>07-2014</v>
      </c>
    </row>
    <row r="353" spans="3:11" x14ac:dyDescent="0.25">
      <c r="C353" t="str">
        <f>IF(COUNTBLANK(E353:J353) = 6,"",IF(AND(NOT(ISBLANK(E353)),COUNTBLANK(E353:J353) = 5),"3 Delete",IF(ISBLANK(E353),"2 Add",IF(SHA1Range(E353:J353) = "fbf0466573f41bd28525445f5025e50a5a3b2d63","0 Original","1 Modify"))))</f>
        <v>0 Original</v>
      </c>
      <c r="D353" s="5" t="s">
        <v>1312</v>
      </c>
      <c r="E353" s="3">
        <v>539</v>
      </c>
      <c r="F353" s="13">
        <v>41847</v>
      </c>
      <c r="G353" t="s">
        <v>212</v>
      </c>
      <c r="H353" s="9">
        <v>27.97</v>
      </c>
      <c r="I353" s="5" t="s">
        <v>68</v>
      </c>
      <c r="J353" s="15">
        <v>41847.466053240743</v>
      </c>
      <c r="K353" t="str">
        <f t="shared" si="5"/>
        <v>07-2014</v>
      </c>
    </row>
    <row r="354" spans="3:11" x14ac:dyDescent="0.25">
      <c r="C354" t="str">
        <f>IF(COUNTBLANK(E354:J354) = 6,"",IF(AND(NOT(ISBLANK(E354)),COUNTBLANK(E354:J354) = 5),"3 Delete",IF(ISBLANK(E354),"2 Add",IF(SHA1Range(E354:J354) = "65f41cf6419cb0479ffba0d74790d02363101944","0 Original","1 Modify"))))</f>
        <v>0 Original</v>
      </c>
      <c r="D354" s="5" t="s">
        <v>1313</v>
      </c>
      <c r="E354" s="3">
        <v>758</v>
      </c>
      <c r="F354" s="13">
        <v>41848</v>
      </c>
      <c r="G354" t="s">
        <v>245</v>
      </c>
      <c r="H354" s="9">
        <v>38.950000000000003</v>
      </c>
      <c r="I354" s="5" t="s">
        <v>68</v>
      </c>
      <c r="J354" s="15">
        <v>41848.01829861111</v>
      </c>
      <c r="K354" t="str">
        <f t="shared" si="5"/>
        <v>07-2014</v>
      </c>
    </row>
    <row r="355" spans="3:11" x14ac:dyDescent="0.25">
      <c r="C355" t="str">
        <f>IF(COUNTBLANK(E355:J355) = 6,"",IF(AND(NOT(ISBLANK(E355)),COUNTBLANK(E355:J355) = 5),"3 Delete",IF(ISBLANK(E355),"2 Add",IF(SHA1Range(E355:J355) = "c92cf970f4bba9589eb2e3568f49d5062d66be48","0 Original","1 Modify"))))</f>
        <v>0 Original</v>
      </c>
      <c r="D355" s="5" t="s">
        <v>1314</v>
      </c>
      <c r="E355" s="3">
        <v>926</v>
      </c>
      <c r="F355" s="13">
        <v>41848</v>
      </c>
      <c r="G355" t="s">
        <v>260</v>
      </c>
      <c r="H355" s="9">
        <v>23.97</v>
      </c>
      <c r="I355" s="5" t="s">
        <v>68</v>
      </c>
      <c r="J355" s="15">
        <v>41848.642060185186</v>
      </c>
      <c r="K355" t="str">
        <f t="shared" si="5"/>
        <v>07-2014</v>
      </c>
    </row>
    <row r="356" spans="3:11" x14ac:dyDescent="0.25">
      <c r="C356" t="str">
        <f>IF(COUNTBLANK(E356:J356) = 6,"",IF(AND(NOT(ISBLANK(E356)),COUNTBLANK(E356:J356) = 5),"3 Delete",IF(ISBLANK(E356),"2 Add",IF(SHA1Range(E356:J356) = "94042f160e015a1b1db2106b3c8ac25b755fc19e","0 Original","1 Modify"))))</f>
        <v>0 Original</v>
      </c>
      <c r="D356" s="5" t="s">
        <v>1315</v>
      </c>
      <c r="E356" s="3">
        <v>1011</v>
      </c>
      <c r="F356" s="13">
        <v>41848</v>
      </c>
      <c r="G356" t="s">
        <v>245</v>
      </c>
      <c r="H356" s="9">
        <v>77.900000000000006</v>
      </c>
      <c r="I356" s="5" t="s">
        <v>68</v>
      </c>
      <c r="J356" s="15">
        <v>41848.731168981481</v>
      </c>
      <c r="K356" t="str">
        <f t="shared" si="5"/>
        <v>07-2014</v>
      </c>
    </row>
    <row r="357" spans="3:11" x14ac:dyDescent="0.25">
      <c r="C357" t="str">
        <f>IF(COUNTBLANK(E357:J357) = 6,"",IF(AND(NOT(ISBLANK(E357)),COUNTBLANK(E357:J357) = 5),"3 Delete",IF(ISBLANK(E357),"2 Add",IF(SHA1Range(E357:J357) = "72b22cb946258983f94be74242f32e11658a096b","0 Original","1 Modify"))))</f>
        <v>0 Original</v>
      </c>
      <c r="D357" s="5" t="s">
        <v>1316</v>
      </c>
      <c r="E357" s="3">
        <v>182</v>
      </c>
      <c r="F357" s="13">
        <v>41848</v>
      </c>
      <c r="G357" t="s">
        <v>363</v>
      </c>
      <c r="H357" s="9">
        <v>99.88</v>
      </c>
      <c r="I357" s="5" t="s">
        <v>68</v>
      </c>
      <c r="J357" s="15">
        <v>41848.823194444441</v>
      </c>
      <c r="K357" t="str">
        <f t="shared" si="5"/>
        <v>07-2014</v>
      </c>
    </row>
    <row r="358" spans="3:11" x14ac:dyDescent="0.25">
      <c r="C358" t="str">
        <f>IF(COUNTBLANK(E358:J358) = 6,"",IF(AND(NOT(ISBLANK(E358)),COUNTBLANK(E358:J358) = 5),"3 Delete",IF(ISBLANK(E358),"2 Add",IF(SHA1Range(E358:J358) = "6adf553e261736d7d75f792f1fa4a353151906ca","0 Original","1 Modify"))))</f>
        <v>0 Original</v>
      </c>
      <c r="D358" s="5" t="s">
        <v>1317</v>
      </c>
      <c r="E358" s="3">
        <v>1175</v>
      </c>
      <c r="F358" s="13">
        <v>41849</v>
      </c>
      <c r="G358" t="s">
        <v>98</v>
      </c>
      <c r="H358" s="9">
        <v>33.96</v>
      </c>
      <c r="I358" s="5" t="s">
        <v>68</v>
      </c>
      <c r="J358" s="15">
        <v>41849.883356481485</v>
      </c>
      <c r="K358" t="str">
        <f t="shared" si="5"/>
        <v>07-2014</v>
      </c>
    </row>
    <row r="359" spans="3:11" x14ac:dyDescent="0.25">
      <c r="C359" t="str">
        <f>IF(COUNTBLANK(E359:J359) = 6,"",IF(AND(NOT(ISBLANK(E359)),COUNTBLANK(E359:J359) = 5),"3 Delete",IF(ISBLANK(E359),"2 Add",IF(SHA1Range(E359:J359) = "1193da5cfd20169415800e75ba694d214ef9de0d","0 Original","1 Modify"))))</f>
        <v>0 Original</v>
      </c>
      <c r="D359" s="5" t="s">
        <v>1318</v>
      </c>
      <c r="E359" s="3">
        <v>1060</v>
      </c>
      <c r="F359" s="13">
        <v>41850</v>
      </c>
      <c r="G359" t="s">
        <v>260</v>
      </c>
      <c r="H359" s="9">
        <v>60.92</v>
      </c>
      <c r="I359" s="5" t="s">
        <v>68</v>
      </c>
      <c r="J359" s="15">
        <v>41850.093842592592</v>
      </c>
      <c r="K359" t="str">
        <f t="shared" si="5"/>
        <v>07-2014</v>
      </c>
    </row>
    <row r="360" spans="3:11" x14ac:dyDescent="0.25">
      <c r="C360" t="str">
        <f>IF(COUNTBLANK(E360:J360) = 6,"",IF(AND(NOT(ISBLANK(E360)),COUNTBLANK(E360:J360) = 5),"3 Delete",IF(ISBLANK(E360),"2 Add",IF(SHA1Range(E360:J360) = "95309316d11489dc130c3280610d703fa01abc53","0 Original","1 Modify"))))</f>
        <v>0 Original</v>
      </c>
      <c r="D360" s="5" t="s">
        <v>1319</v>
      </c>
      <c r="E360" s="3">
        <v>1137</v>
      </c>
      <c r="F360" s="13">
        <v>41851</v>
      </c>
      <c r="G360" t="s">
        <v>326</v>
      </c>
      <c r="H360" s="9">
        <v>21.96</v>
      </c>
      <c r="I360" s="5" t="s">
        <v>68</v>
      </c>
      <c r="J360" s="15">
        <v>41851.491122685184</v>
      </c>
      <c r="K360" t="str">
        <f t="shared" si="5"/>
        <v>07-2014</v>
      </c>
    </row>
    <row r="361" spans="3:11" x14ac:dyDescent="0.25">
      <c r="C361" t="str">
        <f>IF(COUNTBLANK(E361:J361) = 6,"",IF(AND(NOT(ISBLANK(E361)),COUNTBLANK(E361:J361) = 5),"3 Delete",IF(ISBLANK(E361),"2 Add",IF(SHA1Range(E361:J361) = "98937eba70097c8641a15bc0f928120e0ba7e5d3","0 Original","1 Modify"))))</f>
        <v>0 Original</v>
      </c>
      <c r="D361" s="5" t="s">
        <v>1320</v>
      </c>
      <c r="E361" s="3">
        <v>185</v>
      </c>
      <c r="F361" s="13">
        <v>41851</v>
      </c>
      <c r="G361" t="s">
        <v>185</v>
      </c>
      <c r="H361" s="9">
        <v>58.92</v>
      </c>
      <c r="I361" s="5" t="s">
        <v>68</v>
      </c>
      <c r="J361" s="15">
        <v>41851.522060185183</v>
      </c>
      <c r="K361" t="str">
        <f t="shared" si="5"/>
        <v>07-2014</v>
      </c>
    </row>
    <row r="362" spans="3:11" x14ac:dyDescent="0.25">
      <c r="C362" t="str">
        <f>IF(COUNTBLANK(E362:J362) = 6,"",IF(AND(NOT(ISBLANK(E362)),COUNTBLANK(E362:J362) = 5),"3 Delete",IF(ISBLANK(E362),"2 Add",IF(SHA1Range(E362:J362) = "ca2943617cc47b58e8fdbec445ed3c03114320fd","0 Original","1 Modify"))))</f>
        <v>0 Original</v>
      </c>
      <c r="D362" s="5" t="s">
        <v>1321</v>
      </c>
      <c r="E362" s="3">
        <v>165</v>
      </c>
      <c r="F362" s="13">
        <v>41852</v>
      </c>
      <c r="G362" t="s">
        <v>338</v>
      </c>
      <c r="H362" s="9">
        <v>15.98</v>
      </c>
      <c r="I362" s="5" t="s">
        <v>68</v>
      </c>
      <c r="J362" s="15">
        <v>41852.525046296294</v>
      </c>
      <c r="K362" t="str">
        <f t="shared" si="5"/>
        <v>08-2014</v>
      </c>
    </row>
    <row r="363" spans="3:11" x14ac:dyDescent="0.25">
      <c r="C363" t="str">
        <f>IF(COUNTBLANK(E363:J363) = 6,"",IF(AND(NOT(ISBLANK(E363)),COUNTBLANK(E363:J363) = 5),"3 Delete",IF(ISBLANK(E363),"2 Add",IF(SHA1Range(E363:J363) = "9d782460cdea2e47746065c9b5b0d89d54d220f1","0 Original","1 Modify"))))</f>
        <v>0 Original</v>
      </c>
      <c r="D363" s="5" t="s">
        <v>1322</v>
      </c>
      <c r="E363" s="3">
        <v>1015</v>
      </c>
      <c r="F363" s="13">
        <v>41855</v>
      </c>
      <c r="G363" t="s">
        <v>302</v>
      </c>
      <c r="H363" s="9">
        <v>31.96</v>
      </c>
      <c r="I363" s="5" t="s">
        <v>68</v>
      </c>
      <c r="J363" s="15">
        <v>41855.330335648148</v>
      </c>
      <c r="K363" t="str">
        <f t="shared" si="5"/>
        <v>08-2014</v>
      </c>
    </row>
    <row r="364" spans="3:11" x14ac:dyDescent="0.25">
      <c r="C364" t="str">
        <f>IF(COUNTBLANK(E364:J364) = 6,"",IF(AND(NOT(ISBLANK(E364)),COUNTBLANK(E364:J364) = 5),"3 Delete",IF(ISBLANK(E364),"2 Add",IF(SHA1Range(E364:J364) = "9f0b6ac87c3be2c2030d8c041a9983313434621e","0 Original","1 Modify"))))</f>
        <v>0 Original</v>
      </c>
      <c r="D364" s="5" t="s">
        <v>1323</v>
      </c>
      <c r="E364" s="3">
        <v>218</v>
      </c>
      <c r="F364" s="13">
        <v>41855</v>
      </c>
      <c r="G364" t="s">
        <v>89</v>
      </c>
      <c r="H364" s="9">
        <v>37.950000000000003</v>
      </c>
      <c r="I364" s="5" t="s">
        <v>68</v>
      </c>
      <c r="J364" s="15">
        <v>41855.343298611115</v>
      </c>
      <c r="K364" t="str">
        <f t="shared" si="5"/>
        <v>08-2014</v>
      </c>
    </row>
    <row r="365" spans="3:11" x14ac:dyDescent="0.25">
      <c r="C365" t="str">
        <f>IF(COUNTBLANK(E365:J365) = 6,"",IF(AND(NOT(ISBLANK(E365)),COUNTBLANK(E365:J365) = 5),"3 Delete",IF(ISBLANK(E365),"2 Add",IF(SHA1Range(E365:J365) = "00bff620157daa526fcca49272006820cc951d59","0 Original","1 Modify"))))</f>
        <v>0 Original</v>
      </c>
      <c r="D365" s="5" t="s">
        <v>1324</v>
      </c>
      <c r="E365" s="3">
        <v>307</v>
      </c>
      <c r="F365" s="13">
        <v>41855</v>
      </c>
      <c r="G365" t="s">
        <v>275</v>
      </c>
      <c r="H365" s="9">
        <v>37.950000000000003</v>
      </c>
      <c r="I365" s="5" t="s">
        <v>68</v>
      </c>
      <c r="J365" s="15">
        <v>41855.706469907411</v>
      </c>
      <c r="K365" t="str">
        <f t="shared" si="5"/>
        <v>08-2014</v>
      </c>
    </row>
    <row r="366" spans="3:11" x14ac:dyDescent="0.25">
      <c r="C366" t="str">
        <f>IF(COUNTBLANK(E366:J366) = 6,"",IF(AND(NOT(ISBLANK(E366)),COUNTBLANK(E366:J366) = 5),"3 Delete",IF(ISBLANK(E366),"2 Add",IF(SHA1Range(E366:J366) = "a633e827b142f29f8e1a8810b47766e23f55184d","0 Original","1 Modify"))))</f>
        <v>0 Original</v>
      </c>
      <c r="D366" s="5" t="s">
        <v>1325</v>
      </c>
      <c r="E366" s="3">
        <v>389</v>
      </c>
      <c r="F366" s="13">
        <v>41856</v>
      </c>
      <c r="G366" t="s">
        <v>65</v>
      </c>
      <c r="H366" s="9">
        <v>27.96</v>
      </c>
      <c r="I366" s="5" t="s">
        <v>68</v>
      </c>
      <c r="J366" s="15">
        <v>41856.414363425924</v>
      </c>
      <c r="K366" t="str">
        <f t="shared" si="5"/>
        <v>08-2014</v>
      </c>
    </row>
    <row r="367" spans="3:11" x14ac:dyDescent="0.25">
      <c r="C367" t="str">
        <f>IF(COUNTBLANK(E367:J367) = 6,"",IF(AND(NOT(ISBLANK(E367)),COUNTBLANK(E367:J367) = 5),"3 Delete",IF(ISBLANK(E367),"2 Add",IF(SHA1Range(E367:J367) = "5865448091fec56c822c1d78a35519f7652810bb","0 Original","1 Modify"))))</f>
        <v>0 Original</v>
      </c>
      <c r="D367" s="5" t="s">
        <v>1326</v>
      </c>
      <c r="E367" s="3">
        <v>282</v>
      </c>
      <c r="F367" s="13">
        <v>41858</v>
      </c>
      <c r="G367" t="s">
        <v>347</v>
      </c>
      <c r="H367" s="9">
        <v>33.950000000000003</v>
      </c>
      <c r="I367" s="5" t="s">
        <v>68</v>
      </c>
      <c r="J367" s="15">
        <v>41858.6094212963</v>
      </c>
      <c r="K367" t="str">
        <f t="shared" si="5"/>
        <v>08-2014</v>
      </c>
    </row>
    <row r="368" spans="3:11" x14ac:dyDescent="0.25">
      <c r="C368" t="str">
        <f>IF(COUNTBLANK(E368:J368) = 6,"",IF(AND(NOT(ISBLANK(E368)),COUNTBLANK(E368:J368) = 5),"3 Delete",IF(ISBLANK(E368),"2 Add",IF(SHA1Range(E368:J368) = "f204fc85c50b673a202fcce7f54566535d8e95ec","0 Original","1 Modify"))))</f>
        <v>0 Original</v>
      </c>
      <c r="D368" s="5" t="s">
        <v>1327</v>
      </c>
      <c r="E368" s="3">
        <v>331</v>
      </c>
      <c r="F368" s="13">
        <v>41859</v>
      </c>
      <c r="G368" t="s">
        <v>218</v>
      </c>
      <c r="H368" s="9">
        <v>22.97</v>
      </c>
      <c r="I368" s="5" t="s">
        <v>68</v>
      </c>
      <c r="J368" s="15">
        <v>41859.407523148147</v>
      </c>
      <c r="K368" t="str">
        <f t="shared" si="5"/>
        <v>08-2014</v>
      </c>
    </row>
    <row r="369" spans="3:11" x14ac:dyDescent="0.25">
      <c r="C369" t="str">
        <f>IF(COUNTBLANK(E369:J369) = 6,"",IF(AND(NOT(ISBLANK(E369)),COUNTBLANK(E369:J369) = 5),"3 Delete",IF(ISBLANK(E369),"2 Add",IF(SHA1Range(E369:J369) = "9aceb52400970703ba7f5c02717862fbbb44a317","0 Original","1 Modify"))))</f>
        <v>0 Original</v>
      </c>
      <c r="D369" s="5" t="s">
        <v>1328</v>
      </c>
      <c r="E369" s="3">
        <v>552</v>
      </c>
      <c r="F369" s="13">
        <v>41859</v>
      </c>
      <c r="G369" t="s">
        <v>203</v>
      </c>
      <c r="H369" s="9">
        <v>13.98</v>
      </c>
      <c r="I369" s="5" t="s">
        <v>68</v>
      </c>
      <c r="J369" s="15">
        <v>41859.469259259262</v>
      </c>
      <c r="K369" t="str">
        <f t="shared" si="5"/>
        <v>08-2014</v>
      </c>
    </row>
    <row r="370" spans="3:11" x14ac:dyDescent="0.25">
      <c r="C370" t="str">
        <f>IF(COUNTBLANK(E370:J370) = 6,"",IF(AND(NOT(ISBLANK(E370)),COUNTBLANK(E370:J370) = 5),"3 Delete",IF(ISBLANK(E370),"2 Add",IF(SHA1Range(E370:J370) = "ab9c1e9d58a7a895dcd352bb1066281eccab3e1c","0 Original","1 Modify"))))</f>
        <v>0 Original</v>
      </c>
      <c r="D370" s="5" t="s">
        <v>1329</v>
      </c>
      <c r="E370" s="3">
        <v>721</v>
      </c>
      <c r="F370" s="13">
        <v>41859</v>
      </c>
      <c r="G370" t="s">
        <v>134</v>
      </c>
      <c r="H370" s="9">
        <v>41.95</v>
      </c>
      <c r="I370" s="5" t="s">
        <v>68</v>
      </c>
      <c r="J370" s="15">
        <v>41859.960462962961</v>
      </c>
      <c r="K370" t="str">
        <f t="shared" si="5"/>
        <v>08-2014</v>
      </c>
    </row>
    <row r="371" spans="3:11" x14ac:dyDescent="0.25">
      <c r="C371" t="str">
        <f>IF(COUNTBLANK(E371:J371) = 6,"",IF(AND(NOT(ISBLANK(E371)),COUNTBLANK(E371:J371) = 5),"3 Delete",IF(ISBLANK(E371),"2 Add",IF(SHA1Range(E371:J371) = "a6a042e262a7b6b8ca24cd49258ab59858b462e3","0 Original","1 Modify"))))</f>
        <v>0 Original</v>
      </c>
      <c r="D371" s="5" t="s">
        <v>1330</v>
      </c>
      <c r="E371" s="3">
        <v>212</v>
      </c>
      <c r="F371" s="13">
        <v>41861</v>
      </c>
      <c r="G371" t="s">
        <v>347</v>
      </c>
      <c r="H371" s="9">
        <v>50.93</v>
      </c>
      <c r="I371" s="5" t="s">
        <v>68</v>
      </c>
      <c r="J371" s="15">
        <v>41861.014999999999</v>
      </c>
      <c r="K371" t="str">
        <f t="shared" si="5"/>
        <v>08-2014</v>
      </c>
    </row>
    <row r="372" spans="3:11" x14ac:dyDescent="0.25">
      <c r="C372" t="str">
        <f>IF(COUNTBLANK(E372:J372) = 6,"",IF(AND(NOT(ISBLANK(E372)),COUNTBLANK(E372:J372) = 5),"3 Delete",IF(ISBLANK(E372),"2 Add",IF(SHA1Range(E372:J372) = "2b2dff8846e19fb982a24084d472fb0e5f393fb5","0 Original","1 Modify"))))</f>
        <v>0 Original</v>
      </c>
      <c r="D372" s="5" t="s">
        <v>1331</v>
      </c>
      <c r="E372" s="3">
        <v>542</v>
      </c>
      <c r="F372" s="13">
        <v>41861</v>
      </c>
      <c r="G372" t="s">
        <v>224</v>
      </c>
      <c r="H372" s="9">
        <v>15.98</v>
      </c>
      <c r="I372" s="5" t="s">
        <v>68</v>
      </c>
      <c r="J372" s="15">
        <v>41861.183599537035</v>
      </c>
      <c r="K372" t="str">
        <f t="shared" si="5"/>
        <v>08-2014</v>
      </c>
    </row>
    <row r="373" spans="3:11" x14ac:dyDescent="0.25">
      <c r="C373" t="str">
        <f>IF(COUNTBLANK(E373:J373) = 6,"",IF(AND(NOT(ISBLANK(E373)),COUNTBLANK(E373:J373) = 5),"3 Delete",IF(ISBLANK(E373),"2 Add",IF(SHA1Range(E373:J373) = "656a1854c10bdbb88084e2ce652ddfd7e9e5bace","0 Original","1 Modify"))))</f>
        <v>0 Original</v>
      </c>
      <c r="D373" s="5" t="s">
        <v>1332</v>
      </c>
      <c r="E373" s="3">
        <v>407</v>
      </c>
      <c r="F373" s="13">
        <v>41861</v>
      </c>
      <c r="G373" t="s">
        <v>146</v>
      </c>
      <c r="H373" s="9">
        <v>37.94</v>
      </c>
      <c r="I373" s="5" t="s">
        <v>68</v>
      </c>
      <c r="J373" s="15">
        <v>41861.225925925923</v>
      </c>
      <c r="K373" t="str">
        <f t="shared" si="5"/>
        <v>08-2014</v>
      </c>
    </row>
    <row r="374" spans="3:11" x14ac:dyDescent="0.25">
      <c r="C374" t="str">
        <f>IF(COUNTBLANK(E374:J374) = 6,"",IF(AND(NOT(ISBLANK(E374)),COUNTBLANK(E374:J374) = 5),"3 Delete",IF(ISBLANK(E374),"2 Add",IF(SHA1Range(E374:J374) = "c63b86d6aed462cfa97258200f13d1560c427e24","0 Original","1 Modify"))))</f>
        <v>0 Original</v>
      </c>
      <c r="D374" s="5" t="s">
        <v>1333</v>
      </c>
      <c r="E374" s="3">
        <v>847</v>
      </c>
      <c r="F374" s="13">
        <v>41861</v>
      </c>
      <c r="G374" t="s">
        <v>242</v>
      </c>
      <c r="H374" s="9">
        <v>57.93</v>
      </c>
      <c r="I374" s="5" t="s">
        <v>68</v>
      </c>
      <c r="J374" s="15">
        <v>41861.248495370368</v>
      </c>
      <c r="K374" t="str">
        <f t="shared" si="5"/>
        <v>08-2014</v>
      </c>
    </row>
    <row r="375" spans="3:11" x14ac:dyDescent="0.25">
      <c r="C375" t="str">
        <f>IF(COUNTBLANK(E375:J375) = 6,"",IF(AND(NOT(ISBLANK(E375)),COUNTBLANK(E375:J375) = 5),"3 Delete",IF(ISBLANK(E375),"2 Add",IF(SHA1Range(E375:J375) = "e7fc5e1900d09559eb0b6f2a2aefd1a416a903e7","0 Original","1 Modify"))))</f>
        <v>0 Original</v>
      </c>
      <c r="D375" s="5" t="s">
        <v>1334</v>
      </c>
      <c r="E375" s="3">
        <v>896</v>
      </c>
      <c r="F375" s="13">
        <v>41863</v>
      </c>
      <c r="G375" t="s">
        <v>302</v>
      </c>
      <c r="H375" s="9">
        <v>6.99</v>
      </c>
      <c r="I375" s="5" t="s">
        <v>68</v>
      </c>
      <c r="J375" s="15">
        <v>41863.083726851852</v>
      </c>
      <c r="K375" t="str">
        <f t="shared" si="5"/>
        <v>08-2014</v>
      </c>
    </row>
    <row r="376" spans="3:11" x14ac:dyDescent="0.25">
      <c r="C376" t="str">
        <f>IF(COUNTBLANK(E376:J376) = 6,"",IF(AND(NOT(ISBLANK(E376)),COUNTBLANK(E376:J376) = 5),"3 Delete",IF(ISBLANK(E376),"2 Add",IF(SHA1Range(E376:J376) = "35d7270c063ea26beef34dd87819cf7de94403dc","0 Original","1 Modify"))))</f>
        <v>0 Original</v>
      </c>
      <c r="D376" s="5" t="s">
        <v>1335</v>
      </c>
      <c r="E376" s="3">
        <v>205</v>
      </c>
      <c r="F376" s="13">
        <v>41863</v>
      </c>
      <c r="G376" t="s">
        <v>215</v>
      </c>
      <c r="H376" s="9">
        <v>23.96</v>
      </c>
      <c r="I376" s="5" t="s">
        <v>68</v>
      </c>
      <c r="J376" s="15">
        <v>41863.435613425929</v>
      </c>
      <c r="K376" t="str">
        <f t="shared" si="5"/>
        <v>08-2014</v>
      </c>
    </row>
    <row r="377" spans="3:11" x14ac:dyDescent="0.25">
      <c r="C377" t="str">
        <f>IF(COUNTBLANK(E377:J377) = 6,"",IF(AND(NOT(ISBLANK(E377)),COUNTBLANK(E377:J377) = 5),"3 Delete",IF(ISBLANK(E377),"2 Add",IF(SHA1Range(E377:J377) = "bf02be108008580a0ed9068cf9e9157fd678f064","0 Original","1 Modify"))))</f>
        <v>0 Original</v>
      </c>
      <c r="D377" s="5" t="s">
        <v>1336</v>
      </c>
      <c r="E377" s="3">
        <v>580</v>
      </c>
      <c r="F377" s="13">
        <v>41864</v>
      </c>
      <c r="G377" t="s">
        <v>278</v>
      </c>
      <c r="H377" s="9">
        <v>80.900000000000006</v>
      </c>
      <c r="I377" s="5" t="s">
        <v>68</v>
      </c>
      <c r="J377" s="15">
        <v>41864.367719907408</v>
      </c>
      <c r="K377" t="str">
        <f t="shared" si="5"/>
        <v>08-2014</v>
      </c>
    </row>
    <row r="378" spans="3:11" x14ac:dyDescent="0.25">
      <c r="C378" t="str">
        <f>IF(COUNTBLANK(E378:J378) = 6,"",IF(AND(NOT(ISBLANK(E378)),COUNTBLANK(E378:J378) = 5),"3 Delete",IF(ISBLANK(E378),"2 Add",IF(SHA1Range(E378:J378) = "40848348caee66f2ea3537ed6cb57811b2ddc958","0 Original","1 Modify"))))</f>
        <v>0 Original</v>
      </c>
      <c r="D378" s="5" t="s">
        <v>1337</v>
      </c>
      <c r="E378" s="3">
        <v>1063</v>
      </c>
      <c r="F378" s="13">
        <v>41865</v>
      </c>
      <c r="G378" t="s">
        <v>245</v>
      </c>
      <c r="H378" s="9">
        <v>31.96</v>
      </c>
      <c r="I378" s="5" t="s">
        <v>68</v>
      </c>
      <c r="J378" s="15">
        <v>41865.143518518518</v>
      </c>
      <c r="K378" t="str">
        <f t="shared" si="5"/>
        <v>08-2014</v>
      </c>
    </row>
    <row r="379" spans="3:11" x14ac:dyDescent="0.25">
      <c r="C379" t="str">
        <f>IF(COUNTBLANK(E379:J379) = 6,"",IF(AND(NOT(ISBLANK(E379)),COUNTBLANK(E379:J379) = 5),"3 Delete",IF(ISBLANK(E379),"2 Add",IF(SHA1Range(E379:J379) = "9e7a5b7134736fbd30f2d6acc3e0d5400258e473","0 Original","1 Modify"))))</f>
        <v>0 Original</v>
      </c>
      <c r="D379" s="5" t="s">
        <v>1338</v>
      </c>
      <c r="E379" s="3">
        <v>810</v>
      </c>
      <c r="F379" s="13">
        <v>41865</v>
      </c>
      <c r="G379" t="s">
        <v>260</v>
      </c>
      <c r="H379" s="9">
        <v>23.97</v>
      </c>
      <c r="I379" s="5" t="s">
        <v>68</v>
      </c>
      <c r="J379" s="15">
        <v>41865.204212962963</v>
      </c>
      <c r="K379" t="str">
        <f t="shared" si="5"/>
        <v>08-2014</v>
      </c>
    </row>
    <row r="380" spans="3:11" x14ac:dyDescent="0.25">
      <c r="C380" t="str">
        <f>IF(COUNTBLANK(E380:J380) = 6,"",IF(AND(NOT(ISBLANK(E380)),COUNTBLANK(E380:J380) = 5),"3 Delete",IF(ISBLANK(E380),"2 Add",IF(SHA1Range(E380:J380) = "a6dbfe1879c6506d3667f157b26f112775573159","0 Original","1 Modify"))))</f>
        <v>0 Original</v>
      </c>
      <c r="D380" s="5" t="s">
        <v>1339</v>
      </c>
      <c r="E380" s="3">
        <v>997</v>
      </c>
      <c r="F380" s="13">
        <v>41865</v>
      </c>
      <c r="G380" t="s">
        <v>260</v>
      </c>
      <c r="H380" s="9">
        <v>17.97</v>
      </c>
      <c r="I380" s="5" t="s">
        <v>68</v>
      </c>
      <c r="J380" s="15">
        <v>41865.22693287037</v>
      </c>
      <c r="K380" t="str">
        <f t="shared" si="5"/>
        <v>08-2014</v>
      </c>
    </row>
    <row r="381" spans="3:11" x14ac:dyDescent="0.25">
      <c r="C381" t="str">
        <f>IF(COUNTBLANK(E381:J381) = 6,"",IF(AND(NOT(ISBLANK(E381)),COUNTBLANK(E381:J381) = 5),"3 Delete",IF(ISBLANK(E381),"2 Add",IF(SHA1Range(E381:J381) = "791f8a1f7cd7d251d9ed24d664a1bf72e1d2307f","0 Original","1 Modify"))))</f>
        <v>0 Original</v>
      </c>
      <c r="D381" s="5" t="s">
        <v>1340</v>
      </c>
      <c r="E381" s="3">
        <v>381</v>
      </c>
      <c r="F381" s="13">
        <v>41865</v>
      </c>
      <c r="G381" t="s">
        <v>360</v>
      </c>
      <c r="H381" s="9">
        <v>40.950000000000003</v>
      </c>
      <c r="I381" s="5" t="s">
        <v>68</v>
      </c>
      <c r="J381" s="15">
        <v>41865.745219907411</v>
      </c>
      <c r="K381" t="str">
        <f t="shared" si="5"/>
        <v>08-2014</v>
      </c>
    </row>
    <row r="382" spans="3:11" x14ac:dyDescent="0.25">
      <c r="C382" t="str">
        <f>IF(COUNTBLANK(E382:J382) = 6,"",IF(AND(NOT(ISBLANK(E382)),COUNTBLANK(E382:J382) = 5),"3 Delete",IF(ISBLANK(E382),"2 Add",IF(SHA1Range(E382:J382) = "c6750766acb142f1864c77264fd2eb2dacdc555a","0 Original","1 Modify"))))</f>
        <v>0 Original</v>
      </c>
      <c r="D382" s="5" t="s">
        <v>1341</v>
      </c>
      <c r="E382" s="3">
        <v>351</v>
      </c>
      <c r="F382" s="13">
        <v>41865</v>
      </c>
      <c r="G382" t="s">
        <v>350</v>
      </c>
      <c r="H382" s="9">
        <v>24.97</v>
      </c>
      <c r="I382" s="5" t="s">
        <v>68</v>
      </c>
      <c r="J382" s="15">
        <v>41865.939479166664</v>
      </c>
      <c r="K382" t="str">
        <f t="shared" si="5"/>
        <v>08-2014</v>
      </c>
    </row>
    <row r="383" spans="3:11" x14ac:dyDescent="0.25">
      <c r="C383" t="str">
        <f>IF(COUNTBLANK(E383:J383) = 6,"",IF(AND(NOT(ISBLANK(E383)),COUNTBLANK(E383:J383) = 5),"3 Delete",IF(ISBLANK(E383),"2 Add",IF(SHA1Range(E383:J383) = "1220575230fa123f14fbd49eff6dd4656ccefabf","0 Original","1 Modify"))))</f>
        <v>0 Original</v>
      </c>
      <c r="D383" s="5" t="s">
        <v>1342</v>
      </c>
      <c r="E383" s="3">
        <v>1070</v>
      </c>
      <c r="F383" s="13">
        <v>41866</v>
      </c>
      <c r="G383" t="s">
        <v>221</v>
      </c>
      <c r="H383" s="9">
        <v>44.94</v>
      </c>
      <c r="I383" s="5" t="s">
        <v>68</v>
      </c>
      <c r="J383" s="15">
        <v>41866.375590277778</v>
      </c>
      <c r="K383" t="str">
        <f t="shared" si="5"/>
        <v>08-2014</v>
      </c>
    </row>
    <row r="384" spans="3:11" x14ac:dyDescent="0.25">
      <c r="C384" t="str">
        <f>IF(COUNTBLANK(E384:J384) = 6,"",IF(AND(NOT(ISBLANK(E384)),COUNTBLANK(E384:J384) = 5),"3 Delete",IF(ISBLANK(E384),"2 Add",IF(SHA1Range(E384:J384) = "493d5c92c6d34feb52d9822cea15fe825d1cf273","0 Original","1 Modify"))))</f>
        <v>0 Original</v>
      </c>
      <c r="D384" s="5" t="s">
        <v>1343</v>
      </c>
      <c r="E384" s="3">
        <v>59</v>
      </c>
      <c r="F384" s="13">
        <v>41867</v>
      </c>
      <c r="G384" t="s">
        <v>113</v>
      </c>
      <c r="H384" s="9">
        <v>46.95</v>
      </c>
      <c r="I384" s="5" t="s">
        <v>68</v>
      </c>
      <c r="J384" s="15">
        <v>41867.750081018516</v>
      </c>
      <c r="K384" t="str">
        <f t="shared" si="5"/>
        <v>08-2014</v>
      </c>
    </row>
    <row r="385" spans="3:11" x14ac:dyDescent="0.25">
      <c r="C385" t="str">
        <f>IF(COUNTBLANK(E385:J385) = 6,"",IF(AND(NOT(ISBLANK(E385)),COUNTBLANK(E385:J385) = 5),"3 Delete",IF(ISBLANK(E385),"2 Add",IF(SHA1Range(E385:J385) = "2763ea752baf5cc29b62bbfc0b2cf3c12de9031d","0 Original","1 Modify"))))</f>
        <v>0 Original</v>
      </c>
      <c r="D385" s="5" t="s">
        <v>1344</v>
      </c>
      <c r="E385" s="3">
        <v>154</v>
      </c>
      <c r="F385" s="13">
        <v>41867</v>
      </c>
      <c r="G385" t="s">
        <v>335</v>
      </c>
      <c r="H385" s="9">
        <v>40.950000000000003</v>
      </c>
      <c r="I385" s="5" t="s">
        <v>68</v>
      </c>
      <c r="J385" s="15">
        <v>41867.931539351855</v>
      </c>
      <c r="K385" t="str">
        <f t="shared" si="5"/>
        <v>08-2014</v>
      </c>
    </row>
    <row r="386" spans="3:11" x14ac:dyDescent="0.25">
      <c r="C386" t="str">
        <f>IF(COUNTBLANK(E386:J386) = 6,"",IF(AND(NOT(ISBLANK(E386)),COUNTBLANK(E386:J386) = 5),"3 Delete",IF(ISBLANK(E386),"2 Add",IF(SHA1Range(E386:J386) = "f3be60f4c1933a158dc356725a173885d072a0de","0 Original","1 Modify"))))</f>
        <v>0 Original</v>
      </c>
      <c r="D386" s="5" t="s">
        <v>1345</v>
      </c>
      <c r="E386" s="3">
        <v>905</v>
      </c>
      <c r="F386" s="13">
        <v>41868</v>
      </c>
      <c r="G386" t="s">
        <v>245</v>
      </c>
      <c r="H386" s="9">
        <v>69.91</v>
      </c>
      <c r="I386" s="5" t="s">
        <v>68</v>
      </c>
      <c r="J386" s="15">
        <v>41868.356099537035</v>
      </c>
      <c r="K386" t="str">
        <f t="shared" si="5"/>
        <v>08-2014</v>
      </c>
    </row>
    <row r="387" spans="3:11" x14ac:dyDescent="0.25">
      <c r="C387" t="str">
        <f>IF(COUNTBLANK(E387:J387) = 6,"",IF(AND(NOT(ISBLANK(E387)),COUNTBLANK(E387:J387) = 5),"3 Delete",IF(ISBLANK(E387),"2 Add",IF(SHA1Range(E387:J387) = "69d2bd2f28be3f16ca20aec84fc9829de769eb7e","0 Original","1 Modify"))))</f>
        <v>0 Original</v>
      </c>
      <c r="D387" s="5" t="s">
        <v>1346</v>
      </c>
      <c r="E387" s="3">
        <v>819</v>
      </c>
      <c r="F387" s="13">
        <v>41868</v>
      </c>
      <c r="G387" t="s">
        <v>272</v>
      </c>
      <c r="H387" s="9">
        <v>21.97</v>
      </c>
      <c r="I387" s="5" t="s">
        <v>68</v>
      </c>
      <c r="J387" s="15">
        <v>41868.797835648147</v>
      </c>
      <c r="K387" t="str">
        <f t="shared" ref="K387:K450" si="6">TEXT(F387,"mm-yyyy")</f>
        <v>08-2014</v>
      </c>
    </row>
    <row r="388" spans="3:11" x14ac:dyDescent="0.25">
      <c r="C388" t="str">
        <f>IF(COUNTBLANK(E388:J388) = 6,"",IF(AND(NOT(ISBLANK(E388)),COUNTBLANK(E388:J388) = 5),"3 Delete",IF(ISBLANK(E388),"2 Add",IF(SHA1Range(E388:J388) = "3f58b6b642850ba62415b9c242ad19155d52fe7b","0 Original","1 Modify"))))</f>
        <v>0 Original</v>
      </c>
      <c r="D388" s="5" t="s">
        <v>1347</v>
      </c>
      <c r="E388" s="3">
        <v>209</v>
      </c>
      <c r="F388" s="13">
        <v>41869</v>
      </c>
      <c r="G388" t="s">
        <v>218</v>
      </c>
      <c r="H388" s="9">
        <v>4.99</v>
      </c>
      <c r="I388" s="5" t="s">
        <v>68</v>
      </c>
      <c r="J388" s="15">
        <v>41869.105196759258</v>
      </c>
      <c r="K388" t="str">
        <f t="shared" si="6"/>
        <v>08-2014</v>
      </c>
    </row>
    <row r="389" spans="3:11" x14ac:dyDescent="0.25">
      <c r="C389" t="str">
        <f>IF(COUNTBLANK(E389:J389) = 6,"",IF(AND(NOT(ISBLANK(E389)),COUNTBLANK(E389:J389) = 5),"3 Delete",IF(ISBLANK(E389),"2 Add",IF(SHA1Range(E389:J389) = "4ce6f0662cf4d7297e3cf368bb9bbc0d8e913702","0 Original","1 Modify"))))</f>
        <v>0 Original</v>
      </c>
      <c r="D389" s="5" t="s">
        <v>1348</v>
      </c>
      <c r="E389" s="3">
        <v>918</v>
      </c>
      <c r="F389" s="13">
        <v>41869</v>
      </c>
      <c r="G389" t="s">
        <v>221</v>
      </c>
      <c r="H389" s="9">
        <v>34.96</v>
      </c>
      <c r="I389" s="5" t="s">
        <v>68</v>
      </c>
      <c r="J389" s="15">
        <v>41869.1721412037</v>
      </c>
      <c r="K389" t="str">
        <f t="shared" si="6"/>
        <v>08-2014</v>
      </c>
    </row>
    <row r="390" spans="3:11" x14ac:dyDescent="0.25">
      <c r="C390" t="str">
        <f>IF(COUNTBLANK(E390:J390) = 6,"",IF(AND(NOT(ISBLANK(E390)),COUNTBLANK(E390:J390) = 5),"3 Delete",IF(ISBLANK(E390),"2 Add",IF(SHA1Range(E390:J390) = "756586f3576fd30e3248fd716b23a55ebdf8b425","0 Original","1 Modify"))))</f>
        <v>0 Original</v>
      </c>
      <c r="D390" s="5" t="s">
        <v>1349</v>
      </c>
      <c r="E390" s="3">
        <v>735</v>
      </c>
      <c r="F390" s="13">
        <v>41869</v>
      </c>
      <c r="G390" t="s">
        <v>245</v>
      </c>
      <c r="H390" s="9">
        <v>32.96</v>
      </c>
      <c r="I390" s="5" t="s">
        <v>68</v>
      </c>
      <c r="J390" s="15">
        <v>41869.327060185184</v>
      </c>
      <c r="K390" t="str">
        <f t="shared" si="6"/>
        <v>08-2014</v>
      </c>
    </row>
    <row r="391" spans="3:11" x14ac:dyDescent="0.25">
      <c r="C391" t="str">
        <f>IF(COUNTBLANK(E391:J391) = 6,"",IF(AND(NOT(ISBLANK(E391)),COUNTBLANK(E391:J391) = 5),"3 Delete",IF(ISBLANK(E391),"2 Add",IF(SHA1Range(E391:J391) = "272bbacbc1bdb841479a9948564a1c86e876df84","0 Original","1 Modify"))))</f>
        <v>0 Original</v>
      </c>
      <c r="D391" s="5" t="s">
        <v>1350</v>
      </c>
      <c r="E391" s="3">
        <v>252</v>
      </c>
      <c r="F391" s="13">
        <v>41869</v>
      </c>
      <c r="G391" t="s">
        <v>221</v>
      </c>
      <c r="H391" s="9">
        <v>16.98</v>
      </c>
      <c r="I391" s="5" t="s">
        <v>68</v>
      </c>
      <c r="J391" s="15">
        <v>41869.373749999999</v>
      </c>
      <c r="K391" t="str">
        <f t="shared" si="6"/>
        <v>08-2014</v>
      </c>
    </row>
    <row r="392" spans="3:11" x14ac:dyDescent="0.25">
      <c r="C392" t="str">
        <f>IF(COUNTBLANK(E392:J392) = 6,"",IF(AND(NOT(ISBLANK(E392)),COUNTBLANK(E392:J392) = 5),"3 Delete",IF(ISBLANK(E392),"2 Add",IF(SHA1Range(E392:J392) = "2ca3cab58e8b7bf615e5befd627920dd10758e86","0 Original","1 Modify"))))</f>
        <v>0 Original</v>
      </c>
      <c r="D392" s="5" t="s">
        <v>1351</v>
      </c>
      <c r="E392" s="3">
        <v>798</v>
      </c>
      <c r="F392" s="13">
        <v>41869</v>
      </c>
      <c r="G392" t="s">
        <v>326</v>
      </c>
      <c r="H392" s="9">
        <v>19.98</v>
      </c>
      <c r="I392" s="5" t="s">
        <v>68</v>
      </c>
      <c r="J392" s="15">
        <v>41869.994050925925</v>
      </c>
      <c r="K392" t="str">
        <f t="shared" si="6"/>
        <v>08-2014</v>
      </c>
    </row>
    <row r="393" spans="3:11" x14ac:dyDescent="0.25">
      <c r="C393" t="str">
        <f>IF(COUNTBLANK(E393:J393) = 6,"",IF(AND(NOT(ISBLANK(E393)),COUNTBLANK(E393:J393) = 5),"3 Delete",IF(ISBLANK(E393),"2 Add",IF(SHA1Range(E393:J393) = "cbbbc923619ce00f85ec9261a4d14dbd729932f9","0 Original","1 Modify"))))</f>
        <v>0 Original</v>
      </c>
      <c r="D393" s="5" t="s">
        <v>1352</v>
      </c>
      <c r="E393" s="3">
        <v>712</v>
      </c>
      <c r="F393" s="13">
        <v>41870</v>
      </c>
      <c r="G393" t="s">
        <v>326</v>
      </c>
      <c r="H393" s="9">
        <v>24.96</v>
      </c>
      <c r="I393" s="5" t="s">
        <v>68</v>
      </c>
      <c r="J393" s="15">
        <v>41870.348680555559</v>
      </c>
      <c r="K393" t="str">
        <f t="shared" si="6"/>
        <v>08-2014</v>
      </c>
    </row>
    <row r="394" spans="3:11" x14ac:dyDescent="0.25">
      <c r="C394" t="str">
        <f>IF(COUNTBLANK(E394:J394) = 6,"",IF(AND(NOT(ISBLANK(E394)),COUNTBLANK(E394:J394) = 5),"3 Delete",IF(ISBLANK(E394),"2 Add",IF(SHA1Range(E394:J394) = "d126c8757cb42bd2fe1d8f6632a33dc446a7ffac","0 Original","1 Modify"))))</f>
        <v>0 Original</v>
      </c>
      <c r="D394" s="5" t="s">
        <v>1353</v>
      </c>
      <c r="E394" s="3">
        <v>507</v>
      </c>
      <c r="F394" s="13">
        <v>41870</v>
      </c>
      <c r="G394" t="s">
        <v>350</v>
      </c>
      <c r="H394" s="9">
        <v>29.97</v>
      </c>
      <c r="I394" s="5" t="s">
        <v>68</v>
      </c>
      <c r="J394" s="15">
        <v>41870.943136574075</v>
      </c>
      <c r="K394" t="str">
        <f t="shared" si="6"/>
        <v>08-2014</v>
      </c>
    </row>
    <row r="395" spans="3:11" x14ac:dyDescent="0.25">
      <c r="C395" t="str">
        <f>IF(COUNTBLANK(E395:J395) = 6,"",IF(AND(NOT(ISBLANK(E395)),COUNTBLANK(E395:J395) = 5),"3 Delete",IF(ISBLANK(E395),"2 Add",IF(SHA1Range(E395:J395) = "9a24dfc4101ebf53036fa5c32538521baa90c7a0","0 Original","1 Modify"))))</f>
        <v>0 Original</v>
      </c>
      <c r="D395" s="5" t="s">
        <v>1354</v>
      </c>
      <c r="E395" s="3">
        <v>275</v>
      </c>
      <c r="F395" s="13">
        <v>41870</v>
      </c>
      <c r="G395" t="s">
        <v>278</v>
      </c>
      <c r="H395" s="9">
        <v>16.98</v>
      </c>
      <c r="I395" s="5" t="s">
        <v>68</v>
      </c>
      <c r="J395" s="15">
        <v>41870.956608796296</v>
      </c>
      <c r="K395" t="str">
        <f t="shared" si="6"/>
        <v>08-2014</v>
      </c>
    </row>
    <row r="396" spans="3:11" x14ac:dyDescent="0.25">
      <c r="C396" t="str">
        <f>IF(COUNTBLANK(E396:J396) = 6,"",IF(AND(NOT(ISBLANK(E396)),COUNTBLANK(E396:J396) = 5),"3 Delete",IF(ISBLANK(E396),"2 Add",IF(SHA1Range(E396:J396) = "2ec3cc7ebd3995f71c2f16293e8c8fc256ce0556","0 Original","1 Modify"))))</f>
        <v>0 Original</v>
      </c>
      <c r="D396" s="5" t="s">
        <v>1355</v>
      </c>
      <c r="E396" s="3">
        <v>58</v>
      </c>
      <c r="F396" s="13">
        <v>41871</v>
      </c>
      <c r="G396" t="s">
        <v>245</v>
      </c>
      <c r="H396" s="9">
        <v>7.99</v>
      </c>
      <c r="I396" s="5" t="s">
        <v>68</v>
      </c>
      <c r="J396" s="15">
        <v>41871.37908564815</v>
      </c>
      <c r="K396" t="str">
        <f t="shared" si="6"/>
        <v>08-2014</v>
      </c>
    </row>
    <row r="397" spans="3:11" x14ac:dyDescent="0.25">
      <c r="C397" t="str">
        <f>IF(COUNTBLANK(E397:J397) = 6,"",IF(AND(NOT(ISBLANK(E397)),COUNTBLANK(E397:J397) = 5),"3 Delete",IF(ISBLANK(E397),"2 Add",IF(SHA1Range(E397:J397) = "ac088d3e007cbd44d2d62bd80a536f6fa6c36dcd","0 Original","1 Modify"))))</f>
        <v>0 Original</v>
      </c>
      <c r="D397" s="5" t="s">
        <v>1356</v>
      </c>
      <c r="E397" s="3">
        <v>1109</v>
      </c>
      <c r="F397" s="13">
        <v>41871</v>
      </c>
      <c r="G397" t="s">
        <v>242</v>
      </c>
      <c r="H397" s="9">
        <v>54.93</v>
      </c>
      <c r="I397" s="5" t="s">
        <v>68</v>
      </c>
      <c r="J397" s="15">
        <v>41871.688530092593</v>
      </c>
      <c r="K397" t="str">
        <f t="shared" si="6"/>
        <v>08-2014</v>
      </c>
    </row>
    <row r="398" spans="3:11" x14ac:dyDescent="0.25">
      <c r="C398" t="str">
        <f>IF(COUNTBLANK(E398:J398) = 6,"",IF(AND(NOT(ISBLANK(E398)),COUNTBLANK(E398:J398) = 5),"3 Delete",IF(ISBLANK(E398),"2 Add",IF(SHA1Range(E398:J398) = "fb4152e9652ab67c0bc021e35a17de1c371f1271","0 Original","1 Modify"))))</f>
        <v>0 Original</v>
      </c>
      <c r="D398" s="5" t="s">
        <v>1357</v>
      </c>
      <c r="E398" s="3">
        <v>241</v>
      </c>
      <c r="F398" s="13">
        <v>41871</v>
      </c>
      <c r="G398" t="s">
        <v>86</v>
      </c>
      <c r="H398" s="9">
        <v>58.9</v>
      </c>
      <c r="I398" s="5" t="s">
        <v>68</v>
      </c>
      <c r="J398" s="15">
        <v>41871.788622685184</v>
      </c>
      <c r="K398" t="str">
        <f t="shared" si="6"/>
        <v>08-2014</v>
      </c>
    </row>
    <row r="399" spans="3:11" x14ac:dyDescent="0.25">
      <c r="C399" t="str">
        <f>IF(COUNTBLANK(E399:J399) = 6,"",IF(AND(NOT(ISBLANK(E399)),COUNTBLANK(E399:J399) = 5),"3 Delete",IF(ISBLANK(E399),"2 Add",IF(SHA1Range(E399:J399) = "0d7722d6b98330ac569fd8c2e89b360da9aafb08","0 Original","1 Modify"))))</f>
        <v>0 Original</v>
      </c>
      <c r="D399" s="5" t="s">
        <v>1358</v>
      </c>
      <c r="E399" s="3">
        <v>877</v>
      </c>
      <c r="F399" s="13">
        <v>41873</v>
      </c>
      <c r="G399" t="s">
        <v>302</v>
      </c>
      <c r="H399" s="9">
        <v>67.91</v>
      </c>
      <c r="I399" s="5" t="s">
        <v>68</v>
      </c>
      <c r="J399" s="15">
        <v>41873.391168981485</v>
      </c>
      <c r="K399" t="str">
        <f t="shared" si="6"/>
        <v>08-2014</v>
      </c>
    </row>
    <row r="400" spans="3:11" x14ac:dyDescent="0.25">
      <c r="C400" t="str">
        <f>IF(COUNTBLANK(E400:J400) = 6,"",IF(AND(NOT(ISBLANK(E400)),COUNTBLANK(E400:J400) = 5),"3 Delete",IF(ISBLANK(E400),"2 Add",IF(SHA1Range(E400:J400) = "c7c544229bf6fc035fb0c3ed9cc6cb9c74ae4eed","0 Original","1 Modify"))))</f>
        <v>0 Original</v>
      </c>
      <c r="D400" s="5" t="s">
        <v>1359</v>
      </c>
      <c r="E400" s="3">
        <v>1105</v>
      </c>
      <c r="F400" s="13">
        <v>41873</v>
      </c>
      <c r="G400" t="s">
        <v>245</v>
      </c>
      <c r="H400" s="9">
        <v>19.98</v>
      </c>
      <c r="I400" s="5" t="s">
        <v>68</v>
      </c>
      <c r="J400" s="15">
        <v>41873.453148148146</v>
      </c>
      <c r="K400" t="str">
        <f t="shared" si="6"/>
        <v>08-2014</v>
      </c>
    </row>
    <row r="401" spans="3:11" x14ac:dyDescent="0.25">
      <c r="C401" t="str">
        <f>IF(COUNTBLANK(E401:J401) = 6,"",IF(AND(NOT(ISBLANK(E401)),COUNTBLANK(E401:J401) = 5),"3 Delete",IF(ISBLANK(E401),"2 Add",IF(SHA1Range(E401:J401) = "f10812731cf559ee5b602765065a1d91e5a20ab1","0 Original","1 Modify"))))</f>
        <v>0 Original</v>
      </c>
      <c r="D401" s="5" t="s">
        <v>1360</v>
      </c>
      <c r="E401" s="3">
        <v>167</v>
      </c>
      <c r="F401" s="13">
        <v>41874</v>
      </c>
      <c r="G401" t="s">
        <v>158</v>
      </c>
      <c r="H401" s="9">
        <v>17.98</v>
      </c>
      <c r="I401" s="5" t="s">
        <v>68</v>
      </c>
      <c r="J401" s="15">
        <v>41874.869293981479</v>
      </c>
      <c r="K401" t="str">
        <f t="shared" si="6"/>
        <v>08-2014</v>
      </c>
    </row>
    <row r="402" spans="3:11" x14ac:dyDescent="0.25">
      <c r="C402" t="str">
        <f>IF(COUNTBLANK(E402:J402) = 6,"",IF(AND(NOT(ISBLANK(E402)),COUNTBLANK(E402:J402) = 5),"3 Delete",IF(ISBLANK(E402),"2 Add",IF(SHA1Range(E402:J402) = "1f67fd657c7ca60c137b6b848cde944354c96df9","0 Original","1 Modify"))))</f>
        <v>0 Original</v>
      </c>
      <c r="D402" s="5" t="s">
        <v>1361</v>
      </c>
      <c r="E402" s="3">
        <v>720</v>
      </c>
      <c r="F402" s="13">
        <v>41874</v>
      </c>
      <c r="G402" t="s">
        <v>326</v>
      </c>
      <c r="H402" s="9">
        <v>9.99</v>
      </c>
      <c r="I402" s="5" t="s">
        <v>68</v>
      </c>
      <c r="J402" s="15">
        <v>41874.928923611114</v>
      </c>
      <c r="K402" t="str">
        <f t="shared" si="6"/>
        <v>08-2014</v>
      </c>
    </row>
    <row r="403" spans="3:11" x14ac:dyDescent="0.25">
      <c r="C403" t="str">
        <f>IF(COUNTBLANK(E403:J403) = 6,"",IF(AND(NOT(ISBLANK(E403)),COUNTBLANK(E403:J403) = 5),"3 Delete",IF(ISBLANK(E403),"2 Add",IF(SHA1Range(E403:J403) = "380cbedd0a31eeaf8ca1dc49b92d8d8a6fd304d9","0 Original","1 Modify"))))</f>
        <v>0 Original</v>
      </c>
      <c r="D403" s="5" t="s">
        <v>1362</v>
      </c>
      <c r="E403" s="3">
        <v>50</v>
      </c>
      <c r="F403" s="13">
        <v>41875</v>
      </c>
      <c r="G403" t="s">
        <v>278</v>
      </c>
      <c r="H403" s="9">
        <v>79.900000000000006</v>
      </c>
      <c r="I403" s="5" t="s">
        <v>68</v>
      </c>
      <c r="J403" s="15">
        <v>41875.153298611112</v>
      </c>
      <c r="K403" t="str">
        <f t="shared" si="6"/>
        <v>08-2014</v>
      </c>
    </row>
    <row r="404" spans="3:11" x14ac:dyDescent="0.25">
      <c r="C404" t="str">
        <f>IF(COUNTBLANK(E404:J404) = 6,"",IF(AND(NOT(ISBLANK(E404)),COUNTBLANK(E404:J404) = 5),"3 Delete",IF(ISBLANK(E404),"2 Add",IF(SHA1Range(E404:J404) = "4b5cd86e44b3355ff4b02a9589f378909b5c2e05","0 Original","1 Modify"))))</f>
        <v>0 Original</v>
      </c>
      <c r="D404" s="5" t="s">
        <v>1363</v>
      </c>
      <c r="E404" s="3">
        <v>171</v>
      </c>
      <c r="F404" s="13">
        <v>41875</v>
      </c>
      <c r="G404" t="s">
        <v>86</v>
      </c>
      <c r="H404" s="9">
        <v>20.97</v>
      </c>
      <c r="I404" s="5" t="s">
        <v>68</v>
      </c>
      <c r="J404" s="15">
        <v>41875.872349537036</v>
      </c>
      <c r="K404" t="str">
        <f t="shared" si="6"/>
        <v>08-2014</v>
      </c>
    </row>
    <row r="405" spans="3:11" x14ac:dyDescent="0.25">
      <c r="C405" t="str">
        <f>IF(COUNTBLANK(E405:J405) = 6,"",IF(AND(NOT(ISBLANK(E405)),COUNTBLANK(E405:J405) = 5),"3 Delete",IF(ISBLANK(E405),"2 Add",IF(SHA1Range(E405:J405) = "4d0a86a3ae3a1d31c3e76eefed65b9288b17a7f9","0 Original","1 Modify"))))</f>
        <v>0 Original</v>
      </c>
      <c r="D405" s="5" t="s">
        <v>1364</v>
      </c>
      <c r="E405" s="3">
        <v>14</v>
      </c>
      <c r="F405" s="13">
        <v>41875</v>
      </c>
      <c r="G405" t="s">
        <v>338</v>
      </c>
      <c r="H405" s="9">
        <v>28.96</v>
      </c>
      <c r="I405" s="5" t="s">
        <v>68</v>
      </c>
      <c r="J405" s="15">
        <v>41875.879293981481</v>
      </c>
      <c r="K405" t="str">
        <f t="shared" si="6"/>
        <v>08-2014</v>
      </c>
    </row>
    <row r="406" spans="3:11" x14ac:dyDescent="0.25">
      <c r="C406" t="str">
        <f>IF(COUNTBLANK(E406:J406) = 6,"",IF(AND(NOT(ISBLANK(E406)),COUNTBLANK(E406:J406) = 5),"3 Delete",IF(ISBLANK(E406),"2 Add",IF(SHA1Range(E406:J406) = "a2500b92aec56cdc25ad283d2ab65fee4b421723","0 Original","1 Modify"))))</f>
        <v>0 Original</v>
      </c>
      <c r="D406" s="5" t="s">
        <v>1365</v>
      </c>
      <c r="E406" s="3">
        <v>514</v>
      </c>
      <c r="F406" s="13">
        <v>41876</v>
      </c>
      <c r="G406" t="s">
        <v>119</v>
      </c>
      <c r="H406" s="9">
        <v>43.95</v>
      </c>
      <c r="I406" s="5" t="s">
        <v>68</v>
      </c>
      <c r="J406" s="15">
        <v>41876.419039351851</v>
      </c>
      <c r="K406" t="str">
        <f t="shared" si="6"/>
        <v>08-2014</v>
      </c>
    </row>
    <row r="407" spans="3:11" x14ac:dyDescent="0.25">
      <c r="C407" t="str">
        <f>IF(COUNTBLANK(E407:J407) = 6,"",IF(AND(NOT(ISBLANK(E407)),COUNTBLANK(E407:J407) = 5),"3 Delete",IF(ISBLANK(E407),"2 Add",IF(SHA1Range(E407:J407) = "0e89e8f8fe16567cc86961edd08fdad41545c816","0 Original","1 Modify"))))</f>
        <v>0 Original</v>
      </c>
      <c r="D407" s="5" t="s">
        <v>1366</v>
      </c>
      <c r="E407" s="3">
        <v>425</v>
      </c>
      <c r="F407" s="13">
        <v>41876</v>
      </c>
      <c r="G407" t="s">
        <v>182</v>
      </c>
      <c r="H407" s="9">
        <v>40.950000000000003</v>
      </c>
      <c r="I407" s="5" t="s">
        <v>68</v>
      </c>
      <c r="J407" s="15">
        <v>41876.993715277778</v>
      </c>
      <c r="K407" t="str">
        <f t="shared" si="6"/>
        <v>08-2014</v>
      </c>
    </row>
    <row r="408" spans="3:11" x14ac:dyDescent="0.25">
      <c r="C408" t="str">
        <f>IF(COUNTBLANK(E408:J408) = 6,"",IF(AND(NOT(ISBLANK(E408)),COUNTBLANK(E408:J408) = 5),"3 Delete",IF(ISBLANK(E408),"2 Add",IF(SHA1Range(E408:J408) = "f533660a014f706c2fe829020e732b1dad6bd0a3","0 Original","1 Modify"))))</f>
        <v>0 Original</v>
      </c>
      <c r="D408" s="5" t="s">
        <v>1367</v>
      </c>
      <c r="E408" s="3">
        <v>713</v>
      </c>
      <c r="F408" s="13">
        <v>41877</v>
      </c>
      <c r="G408" t="s">
        <v>170</v>
      </c>
      <c r="H408" s="9">
        <v>9.98</v>
      </c>
      <c r="I408" s="5" t="s">
        <v>68</v>
      </c>
      <c r="J408" s="15">
        <v>41877.451805555553</v>
      </c>
      <c r="K408" t="str">
        <f t="shared" si="6"/>
        <v>08-2014</v>
      </c>
    </row>
    <row r="409" spans="3:11" x14ac:dyDescent="0.25">
      <c r="C409" t="str">
        <f>IF(COUNTBLANK(E409:J409) = 6,"",IF(AND(NOT(ISBLANK(E409)),COUNTBLANK(E409:J409) = 5),"3 Delete",IF(ISBLANK(E409),"2 Add",IF(SHA1Range(E409:J409) = "f6d998d01acc12e56a1f46b7a735ff697886fbea","0 Original","1 Modify"))))</f>
        <v>0 Original</v>
      </c>
      <c r="D409" s="5" t="s">
        <v>1368</v>
      </c>
      <c r="E409" s="3">
        <v>895</v>
      </c>
      <c r="F409" s="13">
        <v>41877</v>
      </c>
      <c r="G409" t="s">
        <v>260</v>
      </c>
      <c r="H409" s="9">
        <v>47.94</v>
      </c>
      <c r="I409" s="5" t="s">
        <v>68</v>
      </c>
      <c r="J409" s="15">
        <v>41877.512499999997</v>
      </c>
      <c r="K409" t="str">
        <f t="shared" si="6"/>
        <v>08-2014</v>
      </c>
    </row>
    <row r="410" spans="3:11" x14ac:dyDescent="0.25">
      <c r="C410" t="str">
        <f>IF(COUNTBLANK(E410:J410) = 6,"",IF(AND(NOT(ISBLANK(E410)),COUNTBLANK(E410:J410) = 5),"3 Delete",IF(ISBLANK(E410),"2 Add",IF(SHA1Range(E410:J410) = "01c6152fe1c3a2240936bcc010a37e4d43a90ee2","0 Original","1 Modify"))))</f>
        <v>0 Original</v>
      </c>
      <c r="D410" s="5" t="s">
        <v>1369</v>
      </c>
      <c r="E410" s="3">
        <v>493</v>
      </c>
      <c r="F410" s="13">
        <v>41877</v>
      </c>
      <c r="G410" t="s">
        <v>281</v>
      </c>
      <c r="H410" s="9">
        <v>17.98</v>
      </c>
      <c r="I410" s="5" t="s">
        <v>68</v>
      </c>
      <c r="J410" s="15">
        <v>41877.610474537039</v>
      </c>
      <c r="K410" t="str">
        <f t="shared" si="6"/>
        <v>08-2014</v>
      </c>
    </row>
    <row r="411" spans="3:11" x14ac:dyDescent="0.25">
      <c r="C411" t="str">
        <f>IF(COUNTBLANK(E411:J411) = 6,"",IF(AND(NOT(ISBLANK(E411)),COUNTBLANK(E411:J411) = 5),"3 Delete",IF(ISBLANK(E411),"2 Add",IF(SHA1Range(E411:J411) = "7393ed208bc8ca8a46e45a4b1a75e989b695f29f","0 Original","1 Modify"))))</f>
        <v>0 Original</v>
      </c>
      <c r="D411" s="5" t="s">
        <v>1370</v>
      </c>
      <c r="E411" s="3">
        <v>466</v>
      </c>
      <c r="F411" s="13">
        <v>41878</v>
      </c>
      <c r="G411" t="s">
        <v>119</v>
      </c>
      <c r="H411" s="9">
        <v>59.92</v>
      </c>
      <c r="I411" s="5" t="s">
        <v>68</v>
      </c>
      <c r="J411" s="15">
        <v>41878.198229166665</v>
      </c>
      <c r="K411" t="str">
        <f t="shared" si="6"/>
        <v>08-2014</v>
      </c>
    </row>
    <row r="412" spans="3:11" x14ac:dyDescent="0.25">
      <c r="C412" t="str">
        <f>IF(COUNTBLANK(E412:J412) = 6,"",IF(AND(NOT(ISBLANK(E412)),COUNTBLANK(E412:J412) = 5),"3 Delete",IF(ISBLANK(E412),"2 Add",IF(SHA1Range(E412:J412) = "66af10f55dc48f86cc37a4eae130b30a10ac4edb","0 Original","1 Modify"))))</f>
        <v>0 Original</v>
      </c>
      <c r="D412" s="5" t="s">
        <v>1371</v>
      </c>
      <c r="E412" s="3">
        <v>560</v>
      </c>
      <c r="F412" s="13">
        <v>41878</v>
      </c>
      <c r="G412" t="s">
        <v>101</v>
      </c>
      <c r="H412" s="9">
        <v>34.96</v>
      </c>
      <c r="I412" s="5" t="s">
        <v>68</v>
      </c>
      <c r="J412" s="15">
        <v>41878.509456018517</v>
      </c>
      <c r="K412" t="str">
        <f t="shared" si="6"/>
        <v>08-2014</v>
      </c>
    </row>
    <row r="413" spans="3:11" x14ac:dyDescent="0.25">
      <c r="C413" t="str">
        <f>IF(COUNTBLANK(E413:J413) = 6,"",IF(AND(NOT(ISBLANK(E413)),COUNTBLANK(E413:J413) = 5),"3 Delete",IF(ISBLANK(E413),"2 Add",IF(SHA1Range(E413:J413) = "384384c4977ae7067f900058c8ec5649c72b8f43","0 Original","1 Modify"))))</f>
        <v>0 Original</v>
      </c>
      <c r="D413" s="5" t="s">
        <v>1372</v>
      </c>
      <c r="E413" s="3">
        <v>860</v>
      </c>
      <c r="F413" s="13">
        <v>41879</v>
      </c>
      <c r="G413" t="s">
        <v>221</v>
      </c>
      <c r="H413" s="9">
        <v>52.93</v>
      </c>
      <c r="I413" s="5" t="s">
        <v>68</v>
      </c>
      <c r="J413" s="15">
        <v>41879.452488425923</v>
      </c>
      <c r="K413" t="str">
        <f t="shared" si="6"/>
        <v>08-2014</v>
      </c>
    </row>
    <row r="414" spans="3:11" x14ac:dyDescent="0.25">
      <c r="C414" t="str">
        <f>IF(COUNTBLANK(E414:J414) = 6,"",IF(AND(NOT(ISBLANK(E414)),COUNTBLANK(E414:J414) = 5),"3 Delete",IF(ISBLANK(E414),"2 Add",IF(SHA1Range(E414:J414) = "34f0b184314ba0cbeb01aef9c240e036ffbc3c05","0 Original","1 Modify"))))</f>
        <v>0 Original</v>
      </c>
      <c r="D414" s="5" t="s">
        <v>1373</v>
      </c>
      <c r="E414" s="3">
        <v>1157</v>
      </c>
      <c r="F414" s="13">
        <v>41879</v>
      </c>
      <c r="G414" t="s">
        <v>170</v>
      </c>
      <c r="H414" s="9">
        <v>34.950000000000003</v>
      </c>
      <c r="I414" s="5" t="s">
        <v>68</v>
      </c>
      <c r="J414" s="15">
        <v>41879.752905092595</v>
      </c>
      <c r="K414" t="str">
        <f t="shared" si="6"/>
        <v>08-2014</v>
      </c>
    </row>
    <row r="415" spans="3:11" x14ac:dyDescent="0.25">
      <c r="C415" t="str">
        <f>IF(COUNTBLANK(E415:J415) = 6,"",IF(AND(NOT(ISBLANK(E415)),COUNTBLANK(E415:J415) = 5),"3 Delete",IF(ISBLANK(E415),"2 Add",IF(SHA1Range(E415:J415) = "fbdda77164ff623661a459026ab709b5f6c6b204","0 Original","1 Modify"))))</f>
        <v>0 Original</v>
      </c>
      <c r="D415" s="5" t="s">
        <v>1374</v>
      </c>
      <c r="E415" s="3">
        <v>761</v>
      </c>
      <c r="F415" s="13">
        <v>41880</v>
      </c>
      <c r="G415" t="s">
        <v>242</v>
      </c>
      <c r="H415" s="9">
        <v>42.94</v>
      </c>
      <c r="I415" s="5" t="s">
        <v>68</v>
      </c>
      <c r="J415" s="15">
        <v>41880.463645833333</v>
      </c>
      <c r="K415" t="str">
        <f t="shared" si="6"/>
        <v>08-2014</v>
      </c>
    </row>
    <row r="416" spans="3:11" x14ac:dyDescent="0.25">
      <c r="C416" t="str">
        <f>IF(COUNTBLANK(E416:J416) = 6,"",IF(AND(NOT(ISBLANK(E416)),COUNTBLANK(E416:J416) = 5),"3 Delete",IF(ISBLANK(E416),"2 Add",IF(SHA1Range(E416:J416) = "1a8ea88ec79a6edc9ea897e443666f2633f77a7d","0 Original","1 Modify"))))</f>
        <v>0 Original</v>
      </c>
      <c r="D416" s="5" t="s">
        <v>1375</v>
      </c>
      <c r="E416" s="3">
        <v>223</v>
      </c>
      <c r="F416" s="13">
        <v>41880</v>
      </c>
      <c r="G416" t="s">
        <v>263</v>
      </c>
      <c r="H416" s="9">
        <v>18.98</v>
      </c>
      <c r="I416" s="5" t="s">
        <v>68</v>
      </c>
      <c r="J416" s="15">
        <v>41880.804386574076</v>
      </c>
      <c r="K416" t="str">
        <f t="shared" si="6"/>
        <v>08-2014</v>
      </c>
    </row>
    <row r="417" spans="3:11" x14ac:dyDescent="0.25">
      <c r="C417" t="str">
        <f>IF(COUNTBLANK(E417:J417) = 6,"",IF(AND(NOT(ISBLANK(E417)),COUNTBLANK(E417:J417) = 5),"3 Delete",IF(ISBLANK(E417),"2 Add",IF(SHA1Range(E417:J417) = "4cdd79719fea40f486e8f036b4ea7d4dc2c3350b","0 Original","1 Modify"))))</f>
        <v>0 Original</v>
      </c>
      <c r="D417" s="5" t="s">
        <v>1376</v>
      </c>
      <c r="E417" s="3">
        <v>908</v>
      </c>
      <c r="F417" s="13">
        <v>41881</v>
      </c>
      <c r="G417" t="s">
        <v>98</v>
      </c>
      <c r="H417" s="9">
        <v>19.98</v>
      </c>
      <c r="I417" s="5" t="s">
        <v>68</v>
      </c>
      <c r="J417" s="15">
        <v>41881.062048611115</v>
      </c>
      <c r="K417" t="str">
        <f t="shared" si="6"/>
        <v>08-2014</v>
      </c>
    </row>
    <row r="418" spans="3:11" x14ac:dyDescent="0.25">
      <c r="C418" t="str">
        <f>IF(COUNTBLANK(E418:J418) = 6,"",IF(AND(NOT(ISBLANK(E418)),COUNTBLANK(E418:J418) = 5),"3 Delete",IF(ISBLANK(E418),"2 Add",IF(SHA1Range(E418:J418) = "9681a2c7bd0e09f7229b23293402070d92d16754","0 Original","1 Modify"))))</f>
        <v>0 Original</v>
      </c>
      <c r="D418" s="5" t="s">
        <v>1377</v>
      </c>
      <c r="E418" s="3">
        <v>799</v>
      </c>
      <c r="F418" s="13">
        <v>41881</v>
      </c>
      <c r="G418" t="s">
        <v>245</v>
      </c>
      <c r="H418" s="9">
        <v>32.96</v>
      </c>
      <c r="I418" s="5" t="s">
        <v>68</v>
      </c>
      <c r="J418" s="15">
        <v>41881.071527777778</v>
      </c>
      <c r="K418" t="str">
        <f t="shared" si="6"/>
        <v>08-2014</v>
      </c>
    </row>
    <row r="419" spans="3:11" x14ac:dyDescent="0.25">
      <c r="C419" t="str">
        <f>IF(COUNTBLANK(E419:J419) = 6,"",IF(AND(NOT(ISBLANK(E419)),COUNTBLANK(E419:J419) = 5),"3 Delete",IF(ISBLANK(E419),"2 Add",IF(SHA1Range(E419:J419) = "52566fac6992216c1a00b66947f1113ca6b24c79","0 Original","1 Modify"))))</f>
        <v>0 Original</v>
      </c>
      <c r="D419" s="5" t="s">
        <v>1378</v>
      </c>
      <c r="E419" s="3">
        <v>1028</v>
      </c>
      <c r="F419" s="13">
        <v>41881</v>
      </c>
      <c r="G419" t="s">
        <v>221</v>
      </c>
      <c r="H419" s="9">
        <v>27.97</v>
      </c>
      <c r="I419" s="5" t="s">
        <v>68</v>
      </c>
      <c r="J419" s="15">
        <v>41881.578125</v>
      </c>
      <c r="K419" t="str">
        <f t="shared" si="6"/>
        <v>08-2014</v>
      </c>
    </row>
    <row r="420" spans="3:11" x14ac:dyDescent="0.25">
      <c r="C420" t="str">
        <f>IF(COUNTBLANK(E420:J420) = 6,"",IF(AND(NOT(ISBLANK(E420)),COUNTBLANK(E420:J420) = 5),"3 Delete",IF(ISBLANK(E420),"2 Add",IF(SHA1Range(E420:J420) = "336da87c629dde1be65811f00904b3e270119b9a","0 Original","1 Modify"))))</f>
        <v>0 Original</v>
      </c>
      <c r="D420" s="5" t="s">
        <v>1379</v>
      </c>
      <c r="E420" s="3">
        <v>1112</v>
      </c>
      <c r="F420" s="13">
        <v>41882</v>
      </c>
      <c r="G420" t="s">
        <v>170</v>
      </c>
      <c r="H420" s="9">
        <v>19.97</v>
      </c>
      <c r="I420" s="5" t="s">
        <v>68</v>
      </c>
      <c r="J420" s="15">
        <v>41882.152129629627</v>
      </c>
      <c r="K420" t="str">
        <f t="shared" si="6"/>
        <v>08-2014</v>
      </c>
    </row>
    <row r="421" spans="3:11" x14ac:dyDescent="0.25">
      <c r="C421" t="str">
        <f>IF(COUNTBLANK(E421:J421) = 6,"",IF(AND(NOT(ISBLANK(E421)),COUNTBLANK(E421:J421) = 5),"3 Delete",IF(ISBLANK(E421),"2 Add",IF(SHA1Range(E421:J421) = "eeeb6403c7cab8e0dff1566a0ab6ce40b16da6ce","0 Original","1 Modify"))))</f>
        <v>0 Original</v>
      </c>
      <c r="D421" s="5" t="s">
        <v>1380</v>
      </c>
      <c r="E421" s="3">
        <v>885</v>
      </c>
      <c r="F421" s="13">
        <v>41882</v>
      </c>
      <c r="G421" t="s">
        <v>242</v>
      </c>
      <c r="H421" s="9">
        <v>9.99</v>
      </c>
      <c r="I421" s="5" t="s">
        <v>68</v>
      </c>
      <c r="J421" s="15">
        <v>41882.214212962965</v>
      </c>
      <c r="K421" t="str">
        <f t="shared" si="6"/>
        <v>08-2014</v>
      </c>
    </row>
    <row r="422" spans="3:11" x14ac:dyDescent="0.25">
      <c r="C422" t="str">
        <f>IF(COUNTBLANK(E422:J422) = 6,"",IF(AND(NOT(ISBLANK(E422)),COUNTBLANK(E422:J422) = 5),"3 Delete",IF(ISBLANK(E422),"2 Add",IF(SHA1Range(E422:J422) = "5ce00a721ee1c0f64e20463dbd3ffff79eb26606","0 Original","1 Modify"))))</f>
        <v>0 Original</v>
      </c>
      <c r="D422" s="5" t="s">
        <v>1381</v>
      </c>
      <c r="E422" s="3">
        <v>47</v>
      </c>
      <c r="F422" s="13">
        <v>41882</v>
      </c>
      <c r="G422" t="s">
        <v>191</v>
      </c>
      <c r="H422" s="9">
        <v>48.93</v>
      </c>
      <c r="I422" s="5" t="s">
        <v>68</v>
      </c>
      <c r="J422" s="15">
        <v>41882.226053240738</v>
      </c>
      <c r="K422" t="str">
        <f t="shared" si="6"/>
        <v>08-2014</v>
      </c>
    </row>
    <row r="423" spans="3:11" x14ac:dyDescent="0.25">
      <c r="C423" t="str">
        <f>IF(COUNTBLANK(E423:J423) = 6,"",IF(AND(NOT(ISBLANK(E423)),COUNTBLANK(E423:J423) = 5),"3 Delete",IF(ISBLANK(E423),"2 Add",IF(SHA1Range(E423:J423) = "b115f3931e4868b324a116f40eaba42d126e2f1e","0 Original","1 Modify"))))</f>
        <v>0 Original</v>
      </c>
      <c r="D423" s="5" t="s">
        <v>1382</v>
      </c>
      <c r="E423" s="3">
        <v>313</v>
      </c>
      <c r="F423" s="13">
        <v>41882</v>
      </c>
      <c r="G423" t="s">
        <v>311</v>
      </c>
      <c r="H423" s="9">
        <v>33.96</v>
      </c>
      <c r="I423" s="5" t="s">
        <v>68</v>
      </c>
      <c r="J423" s="15">
        <v>41882.51190972222</v>
      </c>
      <c r="K423" t="str">
        <f t="shared" si="6"/>
        <v>08-2014</v>
      </c>
    </row>
    <row r="424" spans="3:11" x14ac:dyDescent="0.25">
      <c r="C424" t="str">
        <f>IF(COUNTBLANK(E424:J424) = 6,"",IF(AND(NOT(ISBLANK(E424)),COUNTBLANK(E424:J424) = 5),"3 Delete",IF(ISBLANK(E424),"2 Add",IF(SHA1Range(E424:J424) = "812930ed9239fa2b012e9d6734d7ebe0633d7036","0 Original","1 Modify"))))</f>
        <v>0 Original</v>
      </c>
      <c r="D424" s="5" t="s">
        <v>1383</v>
      </c>
      <c r="E424" s="3">
        <v>508</v>
      </c>
      <c r="F424" s="13">
        <v>41882</v>
      </c>
      <c r="G424" t="s">
        <v>89</v>
      </c>
      <c r="H424" s="9">
        <v>5.99</v>
      </c>
      <c r="I424" s="5" t="s">
        <v>68</v>
      </c>
      <c r="J424" s="15">
        <v>41882.850462962961</v>
      </c>
      <c r="K424" t="str">
        <f t="shared" si="6"/>
        <v>08-2014</v>
      </c>
    </row>
    <row r="425" spans="3:11" x14ac:dyDescent="0.25">
      <c r="C425" t="str">
        <f>IF(COUNTBLANK(E425:J425) = 6,"",IF(AND(NOT(ISBLANK(E425)),COUNTBLANK(E425:J425) = 5),"3 Delete",IF(ISBLANK(E425),"2 Add",IF(SHA1Range(E425:J425) = "06899b96c00ca3cdb58d28651e28a745c0977f4b","0 Original","1 Modify"))))</f>
        <v>0 Original</v>
      </c>
      <c r="D425" s="5" t="s">
        <v>1384</v>
      </c>
      <c r="E425" s="3">
        <v>44</v>
      </c>
      <c r="F425" s="13">
        <v>41883</v>
      </c>
      <c r="G425" t="s">
        <v>200</v>
      </c>
      <c r="H425" s="9">
        <v>63.92</v>
      </c>
      <c r="I425" s="5" t="s">
        <v>68</v>
      </c>
      <c r="J425" s="15">
        <v>41883.154502314814</v>
      </c>
      <c r="K425" t="str">
        <f t="shared" si="6"/>
        <v>09-2014</v>
      </c>
    </row>
    <row r="426" spans="3:11" x14ac:dyDescent="0.25">
      <c r="C426" t="str">
        <f>IF(COUNTBLANK(E426:J426) = 6,"",IF(AND(NOT(ISBLANK(E426)),COUNTBLANK(E426:J426) = 5),"3 Delete",IF(ISBLANK(E426),"2 Add",IF(SHA1Range(E426:J426) = "e7aa684ca4d393e3a56171c79a4c98901c39f4cd","0 Original","1 Modify"))))</f>
        <v>0 Original</v>
      </c>
      <c r="D426" s="5" t="s">
        <v>1385</v>
      </c>
      <c r="E426" s="3">
        <v>615</v>
      </c>
      <c r="F426" s="13">
        <v>41883</v>
      </c>
      <c r="G426" t="s">
        <v>125</v>
      </c>
      <c r="H426" s="9">
        <v>49.94</v>
      </c>
      <c r="I426" s="5" t="s">
        <v>68</v>
      </c>
      <c r="J426" s="15">
        <v>41883.552858796298</v>
      </c>
      <c r="K426" t="str">
        <f t="shared" si="6"/>
        <v>09-2014</v>
      </c>
    </row>
    <row r="427" spans="3:11" x14ac:dyDescent="0.25">
      <c r="C427" t="str">
        <f>IF(COUNTBLANK(E427:J427) = 6,"",IF(AND(NOT(ISBLANK(E427)),COUNTBLANK(E427:J427) = 5),"3 Delete",IF(ISBLANK(E427),"2 Add",IF(SHA1Range(E427:J427) = "8c543f1a3ad452d413182b073bb807d70943803e","0 Original","1 Modify"))))</f>
        <v>0 Original</v>
      </c>
      <c r="D427" s="5" t="s">
        <v>1386</v>
      </c>
      <c r="E427" s="3">
        <v>829</v>
      </c>
      <c r="F427" s="13">
        <v>41883</v>
      </c>
      <c r="G427" t="s">
        <v>260</v>
      </c>
      <c r="H427" s="9">
        <v>43.95</v>
      </c>
      <c r="I427" s="5" t="s">
        <v>68</v>
      </c>
      <c r="J427" s="15">
        <v>41883.777233796296</v>
      </c>
      <c r="K427" t="str">
        <f t="shared" si="6"/>
        <v>09-2014</v>
      </c>
    </row>
    <row r="428" spans="3:11" x14ac:dyDescent="0.25">
      <c r="C428" t="str">
        <f>IF(COUNTBLANK(E428:J428) = 6,"",IF(AND(NOT(ISBLANK(E428)),COUNTBLANK(E428:J428) = 5),"3 Delete",IF(ISBLANK(E428),"2 Add",IF(SHA1Range(E428:J428) = "df420f6f8dd44eaab14636283a256d5c353a5027","0 Original","1 Modify"))))</f>
        <v>0 Original</v>
      </c>
      <c r="D428" s="5" t="s">
        <v>1387</v>
      </c>
      <c r="E428" s="3">
        <v>160</v>
      </c>
      <c r="F428" s="13">
        <v>41884</v>
      </c>
      <c r="G428" t="s">
        <v>317</v>
      </c>
      <c r="H428" s="9">
        <v>24.97</v>
      </c>
      <c r="I428" s="5" t="s">
        <v>68</v>
      </c>
      <c r="J428" s="15">
        <v>41884.109201388892</v>
      </c>
      <c r="K428" t="str">
        <f t="shared" si="6"/>
        <v>09-2014</v>
      </c>
    </row>
    <row r="429" spans="3:11" x14ac:dyDescent="0.25">
      <c r="C429" t="str">
        <f>IF(COUNTBLANK(E429:J429) = 6,"",IF(AND(NOT(ISBLANK(E429)),COUNTBLANK(E429:J429) = 5),"3 Delete",IF(ISBLANK(E429),"2 Add",IF(SHA1Range(E429:J429) = "3ef1fdf133121b394fb8f8fd60b91167fad5531b","0 Original","1 Modify"))))</f>
        <v>0 Original</v>
      </c>
      <c r="D429" s="5" t="s">
        <v>1388</v>
      </c>
      <c r="E429" s="3">
        <v>876</v>
      </c>
      <c r="F429" s="13">
        <v>41884</v>
      </c>
      <c r="G429" t="s">
        <v>245</v>
      </c>
      <c r="H429" s="9">
        <v>7.99</v>
      </c>
      <c r="I429" s="5" t="s">
        <v>68</v>
      </c>
      <c r="J429" s="15">
        <v>41884.245416666665</v>
      </c>
      <c r="K429" t="str">
        <f t="shared" si="6"/>
        <v>09-2014</v>
      </c>
    </row>
    <row r="430" spans="3:11" x14ac:dyDescent="0.25">
      <c r="C430" t="str">
        <f>IF(COUNTBLANK(E430:J430) = 6,"",IF(AND(NOT(ISBLANK(E430)),COUNTBLANK(E430:J430) = 5),"3 Delete",IF(ISBLANK(E430),"2 Add",IF(SHA1Range(E430:J430) = "34a08a424e32e7db0476c58f2b8eb846af4a1525","0 Original","1 Modify"))))</f>
        <v>0 Original</v>
      </c>
      <c r="D430" s="5" t="s">
        <v>1389</v>
      </c>
      <c r="E430" s="3">
        <v>92</v>
      </c>
      <c r="F430" s="13">
        <v>41885</v>
      </c>
      <c r="G430" t="s">
        <v>269</v>
      </c>
      <c r="H430" s="9">
        <v>5.99</v>
      </c>
      <c r="I430" s="5" t="s">
        <v>68</v>
      </c>
      <c r="J430" s="15">
        <v>41885.458703703705</v>
      </c>
      <c r="K430" t="str">
        <f t="shared" si="6"/>
        <v>09-2014</v>
      </c>
    </row>
    <row r="431" spans="3:11" x14ac:dyDescent="0.25">
      <c r="C431" t="str">
        <f>IF(COUNTBLANK(E431:J431) = 6,"",IF(AND(NOT(ISBLANK(E431)),COUNTBLANK(E431:J431) = 5),"3 Delete",IF(ISBLANK(E431),"2 Add",IF(SHA1Range(E431:J431) = "39a24ece1cd06f4703dec21b89b2dd3628363eb9","0 Original","1 Modify"))))</f>
        <v>0 Original</v>
      </c>
      <c r="D431" s="5" t="s">
        <v>1390</v>
      </c>
      <c r="E431" s="3">
        <v>234</v>
      </c>
      <c r="F431" s="13">
        <v>41886</v>
      </c>
      <c r="G431" t="s">
        <v>221</v>
      </c>
      <c r="H431" s="9">
        <v>47.93</v>
      </c>
      <c r="I431" s="5" t="s">
        <v>68</v>
      </c>
      <c r="J431" s="15">
        <v>41886.473182870373</v>
      </c>
      <c r="K431" t="str">
        <f t="shared" si="6"/>
        <v>09-2014</v>
      </c>
    </row>
    <row r="432" spans="3:11" x14ac:dyDescent="0.25">
      <c r="C432" t="str">
        <f>IF(COUNTBLANK(E432:J432) = 6,"",IF(AND(NOT(ISBLANK(E432)),COUNTBLANK(E432:J432) = 5),"3 Delete",IF(ISBLANK(E432),"2 Add",IF(SHA1Range(E432:J432) = "586a66f828edfd7477b012ac208219f017d6ead9","0 Original","1 Modify"))))</f>
        <v>0 Original</v>
      </c>
      <c r="D432" s="5" t="s">
        <v>1391</v>
      </c>
      <c r="E432" s="3">
        <v>659</v>
      </c>
      <c r="F432" s="13">
        <v>41886</v>
      </c>
      <c r="G432" t="s">
        <v>73</v>
      </c>
      <c r="H432" s="9">
        <v>25.97</v>
      </c>
      <c r="I432" s="5" t="s">
        <v>68</v>
      </c>
      <c r="J432" s="15">
        <v>41886.506608796299</v>
      </c>
      <c r="K432" t="str">
        <f t="shared" si="6"/>
        <v>09-2014</v>
      </c>
    </row>
    <row r="433" spans="3:11" x14ac:dyDescent="0.25">
      <c r="C433" t="str">
        <f>IF(COUNTBLANK(E433:J433) = 6,"",IF(AND(NOT(ISBLANK(E433)),COUNTBLANK(E433:J433) = 5),"3 Delete",IF(ISBLANK(E433),"2 Add",IF(SHA1Range(E433:J433) = "4c08f3aa40fd3883cbe0544bd0af44d18a8e7275","0 Original","1 Modify"))))</f>
        <v>0 Original</v>
      </c>
      <c r="D433" s="5" t="s">
        <v>1392</v>
      </c>
      <c r="E433" s="3">
        <v>930</v>
      </c>
      <c r="F433" s="13">
        <v>41886</v>
      </c>
      <c r="G433" t="s">
        <v>302</v>
      </c>
      <c r="H433" s="9">
        <v>15.98</v>
      </c>
      <c r="I433" s="5" t="s">
        <v>68</v>
      </c>
      <c r="J433" s="15">
        <v>41886.609224537038</v>
      </c>
      <c r="K433" t="str">
        <f t="shared" si="6"/>
        <v>09-2014</v>
      </c>
    </row>
    <row r="434" spans="3:11" x14ac:dyDescent="0.25">
      <c r="C434" t="str">
        <f>IF(COUNTBLANK(E434:J434) = 6,"",IF(AND(NOT(ISBLANK(E434)),COUNTBLANK(E434:J434) = 5),"3 Delete",IF(ISBLANK(E434),"2 Add",IF(SHA1Range(E434:J434) = "751842aae7e856f7798aa657ccdb4eeee73676ea","0 Original","1 Modify"))))</f>
        <v>0 Original</v>
      </c>
      <c r="D434" s="5" t="s">
        <v>1393</v>
      </c>
      <c r="E434" s="3">
        <v>312</v>
      </c>
      <c r="F434" s="13">
        <v>41886</v>
      </c>
      <c r="G434" t="s">
        <v>245</v>
      </c>
      <c r="H434" s="9">
        <v>9.99</v>
      </c>
      <c r="I434" s="5" t="s">
        <v>68</v>
      </c>
      <c r="J434" s="15">
        <v>41886.816458333335</v>
      </c>
      <c r="K434" t="str">
        <f t="shared" si="6"/>
        <v>09-2014</v>
      </c>
    </row>
    <row r="435" spans="3:11" x14ac:dyDescent="0.25">
      <c r="C435" t="str">
        <f>IF(COUNTBLANK(E435:J435) = 6,"",IF(AND(NOT(ISBLANK(E435)),COUNTBLANK(E435:J435) = 5),"3 Delete",IF(ISBLANK(E435),"2 Add",IF(SHA1Range(E435:J435) = "5cce672f2991628dc0cc23b9edf979f598aa3121","0 Original","1 Modify"))))</f>
        <v>0 Original</v>
      </c>
      <c r="D435" s="5" t="s">
        <v>1394</v>
      </c>
      <c r="E435" s="3">
        <v>54</v>
      </c>
      <c r="F435" s="13">
        <v>41887</v>
      </c>
      <c r="G435" t="s">
        <v>69</v>
      </c>
      <c r="H435" s="9">
        <v>21.96</v>
      </c>
      <c r="I435" s="5" t="s">
        <v>68</v>
      </c>
      <c r="J435" s="15">
        <v>41887.950821759259</v>
      </c>
      <c r="K435" t="str">
        <f t="shared" si="6"/>
        <v>09-2014</v>
      </c>
    </row>
    <row r="436" spans="3:11" x14ac:dyDescent="0.25">
      <c r="C436" t="str">
        <f>IF(COUNTBLANK(E436:J436) = 6,"",IF(AND(NOT(ISBLANK(E436)),COUNTBLANK(E436:J436) = 5),"3 Delete",IF(ISBLANK(E436),"2 Add",IF(SHA1Range(E436:J436) = "29ad4c98143a1aaf4212753289a35c2b5fd0d7dc","0 Original","1 Modify"))))</f>
        <v>0 Original</v>
      </c>
      <c r="D436" s="5" t="s">
        <v>1395</v>
      </c>
      <c r="E436" s="3">
        <v>637</v>
      </c>
      <c r="F436" s="13">
        <v>41888</v>
      </c>
      <c r="G436" t="s">
        <v>263</v>
      </c>
      <c r="H436" s="9">
        <v>48.94</v>
      </c>
      <c r="I436" s="5" t="s">
        <v>68</v>
      </c>
      <c r="J436" s="15">
        <v>41888.263692129629</v>
      </c>
      <c r="K436" t="str">
        <f t="shared" si="6"/>
        <v>09-2014</v>
      </c>
    </row>
    <row r="437" spans="3:11" x14ac:dyDescent="0.25">
      <c r="C437" t="str">
        <f>IF(COUNTBLANK(E437:J437) = 6,"",IF(AND(NOT(ISBLANK(E437)),COUNTBLANK(E437:J437) = 5),"3 Delete",IF(ISBLANK(E437),"2 Add",IF(SHA1Range(E437:J437) = "87e23019e5487d2604ff1baa81ebffe14267ee13","0 Original","1 Modify"))))</f>
        <v>0 Original</v>
      </c>
      <c r="D437" s="5" t="s">
        <v>1396</v>
      </c>
      <c r="E437" s="3">
        <v>229</v>
      </c>
      <c r="F437" s="13">
        <v>41888</v>
      </c>
      <c r="G437" t="s">
        <v>347</v>
      </c>
      <c r="H437" s="9">
        <v>24.97</v>
      </c>
      <c r="I437" s="5" t="s">
        <v>68</v>
      </c>
      <c r="J437" s="15">
        <v>41888.793333333335</v>
      </c>
      <c r="K437" t="str">
        <f t="shared" si="6"/>
        <v>09-2014</v>
      </c>
    </row>
    <row r="438" spans="3:11" x14ac:dyDescent="0.25">
      <c r="C438" t="str">
        <f>IF(COUNTBLANK(E438:J438) = 6,"",IF(AND(NOT(ISBLANK(E438)),COUNTBLANK(E438:J438) = 5),"3 Delete",IF(ISBLANK(E438),"2 Add",IF(SHA1Range(E438:J438) = "28a9f54fc108cb2711f0b641531f34ae6200b386","0 Original","1 Modify"))))</f>
        <v>0 Original</v>
      </c>
      <c r="D438" s="5" t="s">
        <v>1397</v>
      </c>
      <c r="E438" s="3">
        <v>105</v>
      </c>
      <c r="F438" s="13">
        <v>41889</v>
      </c>
      <c r="G438" t="s">
        <v>116</v>
      </c>
      <c r="H438" s="9">
        <v>33.94</v>
      </c>
      <c r="I438" s="5" t="s">
        <v>68</v>
      </c>
      <c r="J438" s="15">
        <v>41889.542361111111</v>
      </c>
      <c r="K438" t="str">
        <f t="shared" si="6"/>
        <v>09-2014</v>
      </c>
    </row>
    <row r="439" spans="3:11" x14ac:dyDescent="0.25">
      <c r="C439" t="str">
        <f>IF(COUNTBLANK(E439:J439) = 6,"",IF(AND(NOT(ISBLANK(E439)),COUNTBLANK(E439:J439) = 5),"3 Delete",IF(ISBLANK(E439),"2 Add",IF(SHA1Range(E439:J439) = "178a91f5822cf6846e8bd45a4864053b04c0f55e","0 Original","1 Modify"))))</f>
        <v>0 Original</v>
      </c>
      <c r="D439" s="5" t="s">
        <v>1398</v>
      </c>
      <c r="E439" s="3">
        <v>684</v>
      </c>
      <c r="F439" s="13">
        <v>41889</v>
      </c>
      <c r="G439" t="s">
        <v>182</v>
      </c>
      <c r="H439" s="9">
        <v>19.97</v>
      </c>
      <c r="I439" s="5" t="s">
        <v>68</v>
      </c>
      <c r="J439" s="15">
        <v>41889.83326388889</v>
      </c>
      <c r="K439" t="str">
        <f t="shared" si="6"/>
        <v>09-2014</v>
      </c>
    </row>
    <row r="440" spans="3:11" x14ac:dyDescent="0.25">
      <c r="C440" t="str">
        <f>IF(COUNTBLANK(E440:J440) = 6,"",IF(AND(NOT(ISBLANK(E440)),COUNTBLANK(E440:J440) = 5),"3 Delete",IF(ISBLANK(E440),"2 Add",IF(SHA1Range(E440:J440) = "1f98f1bb6255cf74aa722ecb27f72e95f39b5f89","0 Original","1 Modify"))))</f>
        <v>0 Original</v>
      </c>
      <c r="D440" s="5" t="s">
        <v>1399</v>
      </c>
      <c r="E440" s="3">
        <v>327</v>
      </c>
      <c r="F440" s="13">
        <v>41890</v>
      </c>
      <c r="G440" t="s">
        <v>284</v>
      </c>
      <c r="H440" s="9">
        <v>24.97</v>
      </c>
      <c r="I440" s="5" t="s">
        <v>68</v>
      </c>
      <c r="J440" s="15">
        <v>41890.242662037039</v>
      </c>
      <c r="K440" t="str">
        <f t="shared" si="6"/>
        <v>09-2014</v>
      </c>
    </row>
    <row r="441" spans="3:11" x14ac:dyDescent="0.25">
      <c r="C441" t="str">
        <f>IF(COUNTBLANK(E441:J441) = 6,"",IF(AND(NOT(ISBLANK(E441)),COUNTBLANK(E441:J441) = 5),"3 Delete",IF(ISBLANK(E441),"2 Add",IF(SHA1Range(E441:J441) = "f50417cdfd2af3aa6888fb22f578eb787394587e","0 Original","1 Modify"))))</f>
        <v>0 Original</v>
      </c>
      <c r="D441" s="5" t="s">
        <v>1400</v>
      </c>
      <c r="E441" s="3">
        <v>337</v>
      </c>
      <c r="F441" s="13">
        <v>41890</v>
      </c>
      <c r="G441" t="s">
        <v>80</v>
      </c>
      <c r="H441" s="9">
        <v>22.96</v>
      </c>
      <c r="I441" s="5" t="s">
        <v>68</v>
      </c>
      <c r="J441" s="15">
        <v>41890.338854166665</v>
      </c>
      <c r="K441" t="str">
        <f t="shared" si="6"/>
        <v>09-2014</v>
      </c>
    </row>
    <row r="442" spans="3:11" x14ac:dyDescent="0.25">
      <c r="C442" t="str">
        <f>IF(COUNTBLANK(E442:J442) = 6,"",IF(AND(NOT(ISBLANK(E442)),COUNTBLANK(E442:J442) = 5),"3 Delete",IF(ISBLANK(E442),"2 Add",IF(SHA1Range(E442:J442) = "a2dc7309acc05dcdf04d46cef45b87555d370e57","0 Original","1 Modify"))))</f>
        <v>0 Original</v>
      </c>
      <c r="D442" s="5" t="s">
        <v>1401</v>
      </c>
      <c r="E442" s="3">
        <v>428</v>
      </c>
      <c r="F442" s="13">
        <v>41891</v>
      </c>
      <c r="G442" t="s">
        <v>182</v>
      </c>
      <c r="H442" s="9">
        <v>24.97</v>
      </c>
      <c r="I442" s="5" t="s">
        <v>68</v>
      </c>
      <c r="J442" s="15">
        <v>41891.159039351849</v>
      </c>
      <c r="K442" t="str">
        <f t="shared" si="6"/>
        <v>09-2014</v>
      </c>
    </row>
    <row r="443" spans="3:11" x14ac:dyDescent="0.25">
      <c r="C443" t="str">
        <f>IF(COUNTBLANK(E443:J443) = 6,"",IF(AND(NOT(ISBLANK(E443)),COUNTBLANK(E443:J443) = 5),"3 Delete",IF(ISBLANK(E443),"2 Add",IF(SHA1Range(E443:J443) = "020be8bfdec756157adfd5721a7c6485aa7ab708","0 Original","1 Modify"))))</f>
        <v>0 Original</v>
      </c>
      <c r="D443" s="5" t="s">
        <v>1402</v>
      </c>
      <c r="E443" s="3">
        <v>938</v>
      </c>
      <c r="F443" s="13">
        <v>41891</v>
      </c>
      <c r="G443" t="s">
        <v>221</v>
      </c>
      <c r="H443" s="9">
        <v>15.98</v>
      </c>
      <c r="I443" s="5" t="s">
        <v>68</v>
      </c>
      <c r="J443" s="15">
        <v>41891.914004629631</v>
      </c>
      <c r="K443" t="str">
        <f t="shared" si="6"/>
        <v>09-2014</v>
      </c>
    </row>
    <row r="444" spans="3:11" x14ac:dyDescent="0.25">
      <c r="C444" t="str">
        <f>IF(COUNTBLANK(E444:J444) = 6,"",IF(AND(NOT(ISBLANK(E444)),COUNTBLANK(E444:J444) = 5),"3 Delete",IF(ISBLANK(E444),"2 Add",IF(SHA1Range(E444:J444) = "b0653330af35f356f04603d0ca6feb99c89697dd","0 Original","1 Modify"))))</f>
        <v>0 Original</v>
      </c>
      <c r="D444" s="5" t="s">
        <v>1403</v>
      </c>
      <c r="E444" s="3">
        <v>966</v>
      </c>
      <c r="F444" s="13">
        <v>41892</v>
      </c>
      <c r="G444" t="s">
        <v>326</v>
      </c>
      <c r="H444" s="9">
        <v>30.96</v>
      </c>
      <c r="I444" s="5" t="s">
        <v>68</v>
      </c>
      <c r="J444" s="15">
        <v>41892.764849537038</v>
      </c>
      <c r="K444" t="str">
        <f t="shared" si="6"/>
        <v>09-2014</v>
      </c>
    </row>
    <row r="445" spans="3:11" x14ac:dyDescent="0.25">
      <c r="C445" t="str">
        <f>IF(COUNTBLANK(E445:J445) = 6,"",IF(AND(NOT(ISBLANK(E445)),COUNTBLANK(E445:J445) = 5),"3 Delete",IF(ISBLANK(E445),"2 Add",IF(SHA1Range(E445:J445) = "8b3c6339038e3da6da62ae891f01de25b355cfa3","0 Original","1 Modify"))))</f>
        <v>0 Original</v>
      </c>
      <c r="D445" s="5" t="s">
        <v>1404</v>
      </c>
      <c r="E445" s="3">
        <v>52</v>
      </c>
      <c r="F445" s="13">
        <v>41893</v>
      </c>
      <c r="G445" t="s">
        <v>80</v>
      </c>
      <c r="H445" s="9">
        <v>55.93</v>
      </c>
      <c r="I445" s="5" t="s">
        <v>68</v>
      </c>
      <c r="J445" s="15">
        <v>41893.827453703707</v>
      </c>
      <c r="K445" t="str">
        <f t="shared" si="6"/>
        <v>09-2014</v>
      </c>
    </row>
    <row r="446" spans="3:11" x14ac:dyDescent="0.25">
      <c r="C446" t="str">
        <f>IF(COUNTBLANK(E446:J446) = 6,"",IF(AND(NOT(ISBLANK(E446)),COUNTBLANK(E446:J446) = 5),"3 Delete",IF(ISBLANK(E446),"2 Add",IF(SHA1Range(E446:J446) = "bc4bdf1cc3d6de8c0a38fd6fb91454d5dc67dde8","0 Original","1 Modify"))))</f>
        <v>0 Original</v>
      </c>
      <c r="D446" s="5" t="s">
        <v>1405</v>
      </c>
      <c r="E446" s="3">
        <v>459</v>
      </c>
      <c r="F446" s="13">
        <v>41894</v>
      </c>
      <c r="G446" t="s">
        <v>293</v>
      </c>
      <c r="H446" s="9">
        <v>25.96</v>
      </c>
      <c r="I446" s="5" t="s">
        <v>68</v>
      </c>
      <c r="J446" s="15">
        <v>41894.666319444441</v>
      </c>
      <c r="K446" t="str">
        <f t="shared" si="6"/>
        <v>09-2014</v>
      </c>
    </row>
    <row r="447" spans="3:11" x14ac:dyDescent="0.25">
      <c r="C447" t="str">
        <f>IF(COUNTBLANK(E447:J447) = 6,"",IF(AND(NOT(ISBLANK(E447)),COUNTBLANK(E447:J447) = 5),"3 Delete",IF(ISBLANK(E447),"2 Add",IF(SHA1Range(E447:J447) = "73df8e10010fb3b5e925cbf66f621a78e8b5f1ea","0 Original","1 Modify"))))</f>
        <v>0 Original</v>
      </c>
      <c r="D447" s="5" t="s">
        <v>1406</v>
      </c>
      <c r="E447" s="3">
        <v>1190</v>
      </c>
      <c r="F447" s="13">
        <v>41894</v>
      </c>
      <c r="G447" t="s">
        <v>98</v>
      </c>
      <c r="H447" s="9">
        <v>16.97</v>
      </c>
      <c r="I447" s="5" t="s">
        <v>68</v>
      </c>
      <c r="J447" s="15">
        <v>41894.748657407406</v>
      </c>
      <c r="K447" t="str">
        <f t="shared" si="6"/>
        <v>09-2014</v>
      </c>
    </row>
    <row r="448" spans="3:11" x14ac:dyDescent="0.25">
      <c r="C448" t="str">
        <f>IF(COUNTBLANK(E448:J448) = 6,"",IF(AND(NOT(ISBLANK(E448)),COUNTBLANK(E448:J448) = 5),"3 Delete",IF(ISBLANK(E448),"2 Add",IF(SHA1Range(E448:J448) = "d481b392528eb6f909a511c79dc7e7cf67ef2740","0 Original","1 Modify"))))</f>
        <v>0 Original</v>
      </c>
      <c r="D448" s="5" t="s">
        <v>1407</v>
      </c>
      <c r="E448" s="3">
        <v>633</v>
      </c>
      <c r="F448" s="13">
        <v>41895</v>
      </c>
      <c r="G448" t="s">
        <v>203</v>
      </c>
      <c r="H448" s="9">
        <v>5.99</v>
      </c>
      <c r="I448" s="5" t="s">
        <v>68</v>
      </c>
      <c r="J448" s="15">
        <v>41895.709351851852</v>
      </c>
      <c r="K448" t="str">
        <f t="shared" si="6"/>
        <v>09-2014</v>
      </c>
    </row>
    <row r="449" spans="3:11" x14ac:dyDescent="0.25">
      <c r="C449" t="str">
        <f>IF(COUNTBLANK(E449:J449) = 6,"",IF(AND(NOT(ISBLANK(E449)),COUNTBLANK(E449:J449) = 5),"3 Delete",IF(ISBLANK(E449),"2 Add",IF(SHA1Range(E449:J449) = "84797866505ae145663b7246a78425db928b6220","0 Original","1 Modify"))))</f>
        <v>0 Original</v>
      </c>
      <c r="D449" s="5" t="s">
        <v>1408</v>
      </c>
      <c r="E449" s="3">
        <v>24</v>
      </c>
      <c r="F449" s="13">
        <v>41896</v>
      </c>
      <c r="G449" t="s">
        <v>179</v>
      </c>
      <c r="H449" s="9">
        <v>24.97</v>
      </c>
      <c r="I449" s="5" t="s">
        <v>68</v>
      </c>
      <c r="J449" s="15">
        <v>41896.436516203707</v>
      </c>
      <c r="K449" t="str">
        <f t="shared" si="6"/>
        <v>09-2014</v>
      </c>
    </row>
    <row r="450" spans="3:11" x14ac:dyDescent="0.25">
      <c r="C450" t="str">
        <f>IF(COUNTBLANK(E450:J450) = 6,"",IF(AND(NOT(ISBLANK(E450)),COUNTBLANK(E450:J450) = 5),"3 Delete",IF(ISBLANK(E450),"2 Add",IF(SHA1Range(E450:J450) = "fe7d3397c6d02a4ca97b4ef9bbf78e95c2e73747","0 Original","1 Modify"))))</f>
        <v>0 Original</v>
      </c>
      <c r="D450" s="5" t="s">
        <v>1409</v>
      </c>
      <c r="E450" s="3">
        <v>243</v>
      </c>
      <c r="F450" s="13">
        <v>41896</v>
      </c>
      <c r="G450" t="s">
        <v>101</v>
      </c>
      <c r="H450" s="9">
        <v>27.96</v>
      </c>
      <c r="I450" s="5" t="s">
        <v>68</v>
      </c>
      <c r="J450" s="15">
        <v>41896.535995370374</v>
      </c>
      <c r="K450" t="str">
        <f t="shared" si="6"/>
        <v>09-2014</v>
      </c>
    </row>
    <row r="451" spans="3:11" x14ac:dyDescent="0.25">
      <c r="C451" t="str">
        <f>IF(COUNTBLANK(E451:J451) = 6,"",IF(AND(NOT(ISBLANK(E451)),COUNTBLANK(E451:J451) = 5),"3 Delete",IF(ISBLANK(E451),"2 Add",IF(SHA1Range(E451:J451) = "e0b38a909f31912a1093592a801e008cdced351c","0 Original","1 Modify"))))</f>
        <v>0 Original</v>
      </c>
      <c r="D451" s="5" t="s">
        <v>1410</v>
      </c>
      <c r="E451" s="3">
        <v>638</v>
      </c>
      <c r="F451" s="13">
        <v>41896</v>
      </c>
      <c r="G451" t="s">
        <v>281</v>
      </c>
      <c r="H451" s="9">
        <v>23.97</v>
      </c>
      <c r="I451" s="5" t="s">
        <v>68</v>
      </c>
      <c r="J451" s="15">
        <v>41896.817025462966</v>
      </c>
      <c r="K451" t="str">
        <f t="shared" ref="K451:K514" si="7">TEXT(F451,"mm-yyyy")</f>
        <v>09-2014</v>
      </c>
    </row>
    <row r="452" spans="3:11" x14ac:dyDescent="0.25">
      <c r="C452" t="str">
        <f>IF(COUNTBLANK(E452:J452) = 6,"",IF(AND(NOT(ISBLANK(E452)),COUNTBLANK(E452:J452) = 5),"3 Delete",IF(ISBLANK(E452),"2 Add",IF(SHA1Range(E452:J452) = "6f6fef8f04ca7c7b97b0d7ce2e904f22b9485150","0 Original","1 Modify"))))</f>
        <v>0 Original</v>
      </c>
      <c r="D452" s="5" t="s">
        <v>1411</v>
      </c>
      <c r="E452" s="3">
        <v>46</v>
      </c>
      <c r="F452" s="13">
        <v>41898</v>
      </c>
      <c r="G452" t="s">
        <v>206</v>
      </c>
      <c r="H452" s="9">
        <v>79.900000000000006</v>
      </c>
      <c r="I452" s="5" t="s">
        <v>68</v>
      </c>
      <c r="J452" s="15">
        <v>41898.057222222225</v>
      </c>
      <c r="K452" t="str">
        <f t="shared" si="7"/>
        <v>09-2014</v>
      </c>
    </row>
    <row r="453" spans="3:11" x14ac:dyDescent="0.25">
      <c r="C453" t="str">
        <f>IF(COUNTBLANK(E453:J453) = 6,"",IF(AND(NOT(ISBLANK(E453)),COUNTBLANK(E453:J453) = 5),"3 Delete",IF(ISBLANK(E453),"2 Add",IF(SHA1Range(E453:J453) = "6b4fb7ea97da83d689837f4493a9570a6aa0be79","0 Original","1 Modify"))))</f>
        <v>0 Original</v>
      </c>
      <c r="D453" s="5" t="s">
        <v>1412</v>
      </c>
      <c r="E453" s="3">
        <v>415</v>
      </c>
      <c r="F453" s="13">
        <v>41899</v>
      </c>
      <c r="G453" t="s">
        <v>341</v>
      </c>
      <c r="H453" s="9">
        <v>33.950000000000003</v>
      </c>
      <c r="I453" s="5" t="s">
        <v>68</v>
      </c>
      <c r="J453" s="15">
        <v>41899.358668981484</v>
      </c>
      <c r="K453" t="str">
        <f t="shared" si="7"/>
        <v>09-2014</v>
      </c>
    </row>
    <row r="454" spans="3:11" x14ac:dyDescent="0.25">
      <c r="C454" t="str">
        <f>IF(COUNTBLANK(E454:J454) = 6,"",IF(AND(NOT(ISBLANK(E454)),COUNTBLANK(E454:J454) = 5),"3 Delete",IF(ISBLANK(E454),"2 Add",IF(SHA1Range(E454:J454) = "a930329bf9f7a94aaa9adb6f863db6e330b41545","0 Original","1 Modify"))))</f>
        <v>0 Original</v>
      </c>
      <c r="D454" s="5" t="s">
        <v>1413</v>
      </c>
      <c r="E454" s="3">
        <v>297</v>
      </c>
      <c r="F454" s="13">
        <v>41899</v>
      </c>
      <c r="G454" t="s">
        <v>212</v>
      </c>
      <c r="H454" s="9">
        <v>30.96</v>
      </c>
      <c r="I454" s="5" t="s">
        <v>68</v>
      </c>
      <c r="J454" s="15">
        <v>41899.915312500001</v>
      </c>
      <c r="K454" t="str">
        <f t="shared" si="7"/>
        <v>09-2014</v>
      </c>
    </row>
    <row r="455" spans="3:11" x14ac:dyDescent="0.25">
      <c r="C455" t="str">
        <f>IF(COUNTBLANK(E455:J455) = 6,"",IF(AND(NOT(ISBLANK(E455)),COUNTBLANK(E455:J455) = 5),"3 Delete",IF(ISBLANK(E455),"2 Add",IF(SHA1Range(E455:J455) = "c477a3d55450a316d50f4dd6d9d1caa3ee7d274c","0 Original","1 Modify"))))</f>
        <v>0 Original</v>
      </c>
      <c r="D455" s="5" t="s">
        <v>1414</v>
      </c>
      <c r="E455" s="3">
        <v>392</v>
      </c>
      <c r="F455" s="13">
        <v>41900</v>
      </c>
      <c r="G455" t="s">
        <v>317</v>
      </c>
      <c r="H455" s="9">
        <v>20.97</v>
      </c>
      <c r="I455" s="5" t="s">
        <v>68</v>
      </c>
      <c r="J455" s="15">
        <v>41900.034537037034</v>
      </c>
      <c r="K455" t="str">
        <f t="shared" si="7"/>
        <v>09-2014</v>
      </c>
    </row>
    <row r="456" spans="3:11" x14ac:dyDescent="0.25">
      <c r="C456" t="str">
        <f>IF(COUNTBLANK(E456:J456) = 6,"",IF(AND(NOT(ISBLANK(E456)),COUNTBLANK(E456:J456) = 5),"3 Delete",IF(ISBLANK(E456),"2 Add",IF(SHA1Range(E456:J456) = "c9c7119a5a585130e67c82848a1c07b3496b4220","0 Original","1 Modify"))))</f>
        <v>0 Original</v>
      </c>
      <c r="D456" s="5" t="s">
        <v>1415</v>
      </c>
      <c r="E456" s="3">
        <v>98</v>
      </c>
      <c r="F456" s="13">
        <v>41900</v>
      </c>
      <c r="G456" t="s">
        <v>257</v>
      </c>
      <c r="H456" s="9">
        <v>11.98</v>
      </c>
      <c r="I456" s="5" t="s">
        <v>68</v>
      </c>
      <c r="J456" s="15">
        <v>41900.154745370368</v>
      </c>
      <c r="K456" t="str">
        <f t="shared" si="7"/>
        <v>09-2014</v>
      </c>
    </row>
    <row r="457" spans="3:11" x14ac:dyDescent="0.25">
      <c r="C457" t="str">
        <f>IF(COUNTBLANK(E457:J457) = 6,"",IF(AND(NOT(ISBLANK(E457)),COUNTBLANK(E457:J457) = 5),"3 Delete",IF(ISBLANK(E457),"2 Add",IF(SHA1Range(E457:J457) = "9cf7434286a2f3611f4b4e08cb4eb041309dbb0d","0 Original","1 Modify"))))</f>
        <v>0 Original</v>
      </c>
      <c r="D457" s="5" t="s">
        <v>1416</v>
      </c>
      <c r="E457" s="3">
        <v>402</v>
      </c>
      <c r="F457" s="13">
        <v>41900</v>
      </c>
      <c r="G457" t="s">
        <v>149</v>
      </c>
      <c r="H457" s="9">
        <v>21.97</v>
      </c>
      <c r="I457" s="5" t="s">
        <v>68</v>
      </c>
      <c r="J457" s="15">
        <v>41900.383229166669</v>
      </c>
      <c r="K457" t="str">
        <f t="shared" si="7"/>
        <v>09-2014</v>
      </c>
    </row>
    <row r="458" spans="3:11" x14ac:dyDescent="0.25">
      <c r="C458" t="str">
        <f>IF(COUNTBLANK(E458:J458) = 6,"",IF(AND(NOT(ISBLANK(E458)),COUNTBLANK(E458:J458) = 5),"3 Delete",IF(ISBLANK(E458),"2 Add",IF(SHA1Range(E458:J458) = "be14cdb785d684d405a730d89682056109afcd26","0 Original","1 Modify"))))</f>
        <v>0 Original</v>
      </c>
      <c r="D458" s="5" t="s">
        <v>1417</v>
      </c>
      <c r="E458" s="3">
        <v>69</v>
      </c>
      <c r="F458" s="13">
        <v>41903</v>
      </c>
      <c r="G458" t="s">
        <v>212</v>
      </c>
      <c r="H458" s="9">
        <v>9.99</v>
      </c>
      <c r="I458" s="5" t="s">
        <v>68</v>
      </c>
      <c r="J458" s="15">
        <v>41903.27144675926</v>
      </c>
      <c r="K458" t="str">
        <f t="shared" si="7"/>
        <v>09-2014</v>
      </c>
    </row>
    <row r="459" spans="3:11" x14ac:dyDescent="0.25">
      <c r="C459" t="str">
        <f>IF(COUNTBLANK(E459:J459) = 6,"",IF(AND(NOT(ISBLANK(E459)),COUNTBLANK(E459:J459) = 5),"3 Delete",IF(ISBLANK(E459),"2 Add",IF(SHA1Range(E459:J459) = "8cc1406373ff8da2fe83005bee6b8710baa6ed52","0 Original","1 Modify"))))</f>
        <v>0 Original</v>
      </c>
      <c r="D459" s="5" t="s">
        <v>1418</v>
      </c>
      <c r="E459" s="3">
        <v>359</v>
      </c>
      <c r="F459" s="13">
        <v>41903</v>
      </c>
      <c r="G459" t="s">
        <v>125</v>
      </c>
      <c r="H459" s="9">
        <v>43.94</v>
      </c>
      <c r="I459" s="5" t="s">
        <v>68</v>
      </c>
      <c r="J459" s="15">
        <v>41903.926828703705</v>
      </c>
      <c r="K459" t="str">
        <f t="shared" si="7"/>
        <v>09-2014</v>
      </c>
    </row>
    <row r="460" spans="3:11" x14ac:dyDescent="0.25">
      <c r="C460" t="str">
        <f>IF(COUNTBLANK(E460:J460) = 6,"",IF(AND(NOT(ISBLANK(E460)),COUNTBLANK(E460:J460) = 5),"3 Delete",IF(ISBLANK(E460),"2 Add",IF(SHA1Range(E460:J460) = "89c59e29033f6b7a85715f3cf402665b1484d66e","0 Original","1 Modify"))))</f>
        <v>0 Original</v>
      </c>
      <c r="D460" s="5" t="s">
        <v>1419</v>
      </c>
      <c r="E460" s="3">
        <v>990</v>
      </c>
      <c r="F460" s="13">
        <v>41904</v>
      </c>
      <c r="G460" t="s">
        <v>272</v>
      </c>
      <c r="H460" s="9">
        <v>24.97</v>
      </c>
      <c r="I460" s="5" t="s">
        <v>68</v>
      </c>
      <c r="J460" s="15">
        <v>41904.82203703704</v>
      </c>
      <c r="K460" t="str">
        <f t="shared" si="7"/>
        <v>09-2014</v>
      </c>
    </row>
    <row r="461" spans="3:11" x14ac:dyDescent="0.25">
      <c r="C461" t="str">
        <f>IF(COUNTBLANK(E461:J461) = 6,"",IF(AND(NOT(ISBLANK(E461)),COUNTBLANK(E461:J461) = 5),"3 Delete",IF(ISBLANK(E461),"2 Add",IF(SHA1Range(E461:J461) = "02e78ca3c5f3df48d8dc34886504c3e634bb52b7","0 Original","1 Modify"))))</f>
        <v>0 Original</v>
      </c>
      <c r="D461" s="5" t="s">
        <v>1420</v>
      </c>
      <c r="E461" s="3">
        <v>463</v>
      </c>
      <c r="F461" s="13">
        <v>41905</v>
      </c>
      <c r="G461" t="s">
        <v>284</v>
      </c>
      <c r="H461" s="9">
        <v>45.95</v>
      </c>
      <c r="I461" s="5" t="s">
        <v>68</v>
      </c>
      <c r="J461" s="15">
        <v>41905.105358796296</v>
      </c>
      <c r="K461" t="str">
        <f t="shared" si="7"/>
        <v>09-2014</v>
      </c>
    </row>
    <row r="462" spans="3:11" x14ac:dyDescent="0.25">
      <c r="C462" t="str">
        <f>IF(COUNTBLANK(E462:J462) = 6,"",IF(AND(NOT(ISBLANK(E462)),COUNTBLANK(E462:J462) = 5),"3 Delete",IF(ISBLANK(E462),"2 Add",IF(SHA1Range(E462:J462) = "c838d651b5dee252b8c5bb68d0d9729024982be9","0 Original","1 Modify"))))</f>
        <v>0 Original</v>
      </c>
      <c r="D462" s="5" t="s">
        <v>1421</v>
      </c>
      <c r="E462" s="3">
        <v>118</v>
      </c>
      <c r="F462" s="13">
        <v>41905</v>
      </c>
      <c r="G462" t="s">
        <v>344</v>
      </c>
      <c r="H462" s="9">
        <v>45.94</v>
      </c>
      <c r="I462" s="5" t="s">
        <v>68</v>
      </c>
      <c r="J462" s="15">
        <v>41905.535543981481</v>
      </c>
      <c r="K462" t="str">
        <f t="shared" si="7"/>
        <v>09-2014</v>
      </c>
    </row>
    <row r="463" spans="3:11" x14ac:dyDescent="0.25">
      <c r="C463" t="str">
        <f>IF(COUNTBLANK(E463:J463) = 6,"",IF(AND(NOT(ISBLANK(E463)),COUNTBLANK(E463:J463) = 5),"3 Delete",IF(ISBLANK(E463),"2 Add",IF(SHA1Range(E463:J463) = "655a81ad5eb5a21a8b70bf7dbf38240820202178","0 Original","1 Modify"))))</f>
        <v>0 Original</v>
      </c>
      <c r="D463" s="5" t="s">
        <v>1422</v>
      </c>
      <c r="E463" s="3">
        <v>702</v>
      </c>
      <c r="F463" s="13">
        <v>41905</v>
      </c>
      <c r="G463" t="s">
        <v>134</v>
      </c>
      <c r="H463" s="9">
        <v>19.97</v>
      </c>
      <c r="I463" s="5" t="s">
        <v>68</v>
      </c>
      <c r="J463" s="15">
        <v>41905.814918981479</v>
      </c>
      <c r="K463" t="str">
        <f t="shared" si="7"/>
        <v>09-2014</v>
      </c>
    </row>
    <row r="464" spans="3:11" x14ac:dyDescent="0.25">
      <c r="C464" t="str">
        <f>IF(COUNTBLANK(E464:J464) = 6,"",IF(AND(NOT(ISBLANK(E464)),COUNTBLANK(E464:J464) = 5),"3 Delete",IF(ISBLANK(E464),"2 Add",IF(SHA1Range(E464:J464) = "7c6856e081e85bac080415f388d6986c3cde9920","0 Original","1 Modify"))))</f>
        <v>0 Original</v>
      </c>
      <c r="D464" s="5" t="s">
        <v>1423</v>
      </c>
      <c r="E464" s="3">
        <v>903</v>
      </c>
      <c r="F464" s="13">
        <v>41906</v>
      </c>
      <c r="G464" t="s">
        <v>302</v>
      </c>
      <c r="H464" s="9">
        <v>31.96</v>
      </c>
      <c r="I464" s="5" t="s">
        <v>68</v>
      </c>
      <c r="J464" s="15">
        <v>41906.70417824074</v>
      </c>
      <c r="K464" t="str">
        <f t="shared" si="7"/>
        <v>09-2014</v>
      </c>
    </row>
    <row r="465" spans="3:11" x14ac:dyDescent="0.25">
      <c r="C465" t="str">
        <f>IF(COUNTBLANK(E465:J465) = 6,"",IF(AND(NOT(ISBLANK(E465)),COUNTBLANK(E465:J465) = 5),"3 Delete",IF(ISBLANK(E465),"2 Add",IF(SHA1Range(E465:J465) = "12c9e3af65e8a150d5e01177d939aca69670961d","0 Original","1 Modify"))))</f>
        <v>0 Original</v>
      </c>
      <c r="D465" s="5" t="s">
        <v>1424</v>
      </c>
      <c r="E465" s="3">
        <v>726</v>
      </c>
      <c r="F465" s="13">
        <v>41907</v>
      </c>
      <c r="G465" t="s">
        <v>326</v>
      </c>
      <c r="H465" s="9">
        <v>30.95</v>
      </c>
      <c r="I465" s="5" t="s">
        <v>68</v>
      </c>
      <c r="J465" s="15">
        <v>41907.793564814812</v>
      </c>
      <c r="K465" t="str">
        <f t="shared" si="7"/>
        <v>09-2014</v>
      </c>
    </row>
    <row r="466" spans="3:11" x14ac:dyDescent="0.25">
      <c r="C466" t="str">
        <f>IF(COUNTBLANK(E466:J466) = 6,"",IF(AND(NOT(ISBLANK(E466)),COUNTBLANK(E466:J466) = 5),"3 Delete",IF(ISBLANK(E466),"2 Add",IF(SHA1Range(E466:J466) = "cb4fd161390a0b2ff92c5d8ebfde3b0f0f047e5d","0 Original","1 Modify"))))</f>
        <v>0 Original</v>
      </c>
      <c r="D466" s="5" t="s">
        <v>1425</v>
      </c>
      <c r="E466" s="3">
        <v>948</v>
      </c>
      <c r="F466" s="13">
        <v>41907</v>
      </c>
      <c r="G466" t="s">
        <v>242</v>
      </c>
      <c r="H466" s="9">
        <v>15.97</v>
      </c>
      <c r="I466" s="5" t="s">
        <v>68</v>
      </c>
      <c r="J466" s="15">
        <v>41907.822060185186</v>
      </c>
      <c r="K466" t="str">
        <f t="shared" si="7"/>
        <v>09-2014</v>
      </c>
    </row>
    <row r="467" spans="3:11" x14ac:dyDescent="0.25">
      <c r="C467" t="str">
        <f>IF(COUNTBLANK(E467:J467) = 6,"",IF(AND(NOT(ISBLANK(E467)),COUNTBLANK(E467:J467) = 5),"3 Delete",IF(ISBLANK(E467),"2 Add",IF(SHA1Range(E467:J467) = "054b288b2d0aa5a1c1929c385327c32e21a9b518","0 Original","1 Modify"))))</f>
        <v>0 Original</v>
      </c>
      <c r="D467" s="5" t="s">
        <v>1426</v>
      </c>
      <c r="E467" s="3">
        <v>149</v>
      </c>
      <c r="F467" s="13">
        <v>41908</v>
      </c>
      <c r="G467" t="s">
        <v>95</v>
      </c>
      <c r="H467" s="9">
        <v>30.96</v>
      </c>
      <c r="I467" s="5" t="s">
        <v>68</v>
      </c>
      <c r="J467" s="15">
        <v>41908.903738425928</v>
      </c>
      <c r="K467" t="str">
        <f t="shared" si="7"/>
        <v>09-2014</v>
      </c>
    </row>
    <row r="468" spans="3:11" x14ac:dyDescent="0.25">
      <c r="C468" t="str">
        <f>IF(COUNTBLANK(E468:J468) = 6,"",IF(AND(NOT(ISBLANK(E468)),COUNTBLANK(E468:J468) = 5),"3 Delete",IF(ISBLANK(E468),"2 Add",IF(SHA1Range(E468:J468) = "7b4f278c8e41483be30cc9aeaf69ca3a4b198ddd","0 Original","1 Modify"))))</f>
        <v>0 Original</v>
      </c>
      <c r="D468" s="5" t="s">
        <v>1427</v>
      </c>
      <c r="E468" s="3">
        <v>378</v>
      </c>
      <c r="F468" s="13">
        <v>41909</v>
      </c>
      <c r="G468" t="s">
        <v>308</v>
      </c>
      <c r="H468" s="9">
        <v>47.94</v>
      </c>
      <c r="I468" s="5" t="s">
        <v>68</v>
      </c>
      <c r="J468" s="15">
        <v>41909.121064814812</v>
      </c>
      <c r="K468" t="str">
        <f t="shared" si="7"/>
        <v>09-2014</v>
      </c>
    </row>
    <row r="469" spans="3:11" x14ac:dyDescent="0.25">
      <c r="C469" t="str">
        <f>IF(COUNTBLANK(E469:J469) = 6,"",IF(AND(NOT(ISBLANK(E469)),COUNTBLANK(E469:J469) = 5),"3 Delete",IF(ISBLANK(E469),"2 Add",IF(SHA1Range(E469:J469) = "b545dd28245c07f78594af3ae0f75f2cbd597b05","0 Original","1 Modify"))))</f>
        <v>0 Original</v>
      </c>
      <c r="D469" s="5" t="s">
        <v>1428</v>
      </c>
      <c r="E469" s="3">
        <v>955</v>
      </c>
      <c r="F469" s="13">
        <v>41909</v>
      </c>
      <c r="G469" t="s">
        <v>326</v>
      </c>
      <c r="H469" s="9">
        <v>33.96</v>
      </c>
      <c r="I469" s="5" t="s">
        <v>68</v>
      </c>
      <c r="J469" s="15">
        <v>41909.854097222225</v>
      </c>
      <c r="K469" t="str">
        <f t="shared" si="7"/>
        <v>09-2014</v>
      </c>
    </row>
    <row r="470" spans="3:11" x14ac:dyDescent="0.25">
      <c r="C470" t="str">
        <f>IF(COUNTBLANK(E470:J470) = 6,"",IF(AND(NOT(ISBLANK(E470)),COUNTBLANK(E470:J470) = 5),"3 Delete",IF(ISBLANK(E470),"2 Add",IF(SHA1Range(E470:J470) = "54edc5231977a94154e65a9418e3358865f8c843","0 Original","1 Modify"))))</f>
        <v>0 Original</v>
      </c>
      <c r="D470" s="5" t="s">
        <v>1429</v>
      </c>
      <c r="E470" s="3">
        <v>323</v>
      </c>
      <c r="F470" s="13">
        <v>41909</v>
      </c>
      <c r="G470" t="s">
        <v>305</v>
      </c>
      <c r="H470" s="9">
        <v>20.97</v>
      </c>
      <c r="I470" s="5" t="s">
        <v>68</v>
      </c>
      <c r="J470" s="15">
        <v>41909.899664351855</v>
      </c>
      <c r="K470" t="str">
        <f t="shared" si="7"/>
        <v>09-2014</v>
      </c>
    </row>
    <row r="471" spans="3:11" x14ac:dyDescent="0.25">
      <c r="C471" t="str">
        <f>IF(COUNTBLANK(E471:J471) = 6,"",IF(AND(NOT(ISBLANK(E471)),COUNTBLANK(E471:J471) = 5),"3 Delete",IF(ISBLANK(E471),"2 Add",IF(SHA1Range(E471:J471) = "402c2c7e75e7363fe1aad1b4f48a9a7981dbb582","0 Original","1 Modify"))))</f>
        <v>0 Original</v>
      </c>
      <c r="D471" s="5" t="s">
        <v>1430</v>
      </c>
      <c r="E471" s="3">
        <v>394</v>
      </c>
      <c r="F471" s="13">
        <v>41910</v>
      </c>
      <c r="G471" t="s">
        <v>188</v>
      </c>
      <c r="H471" s="9">
        <v>24.96</v>
      </c>
      <c r="I471" s="5" t="s">
        <v>68</v>
      </c>
      <c r="J471" s="15">
        <v>41910.090300925927</v>
      </c>
      <c r="K471" t="str">
        <f t="shared" si="7"/>
        <v>09-2014</v>
      </c>
    </row>
    <row r="472" spans="3:11" x14ac:dyDescent="0.25">
      <c r="C472" t="str">
        <f>IF(COUNTBLANK(E472:J472) = 6,"",IF(AND(NOT(ISBLANK(E472)),COUNTBLANK(E472:J472) = 5),"3 Delete",IF(ISBLANK(E472),"2 Add",IF(SHA1Range(E472:J472) = "cb7f10aff2855473d2e470e7a5f51f12e278877a","0 Original","1 Modify"))))</f>
        <v>0 Original</v>
      </c>
      <c r="D472" s="5" t="s">
        <v>1431</v>
      </c>
      <c r="E472" s="3">
        <v>510</v>
      </c>
      <c r="F472" s="13">
        <v>41910</v>
      </c>
      <c r="G472" t="s">
        <v>338</v>
      </c>
      <c r="H472" s="9">
        <v>38.950000000000003</v>
      </c>
      <c r="I472" s="5" t="s">
        <v>68</v>
      </c>
      <c r="J472" s="15">
        <v>41910.301064814812</v>
      </c>
      <c r="K472" t="str">
        <f t="shared" si="7"/>
        <v>09-2014</v>
      </c>
    </row>
    <row r="473" spans="3:11" x14ac:dyDescent="0.25">
      <c r="C473" t="str">
        <f>IF(COUNTBLANK(E473:J473) = 6,"",IF(AND(NOT(ISBLANK(E473)),COUNTBLANK(E473:J473) = 5),"3 Delete",IF(ISBLANK(E473),"2 Add",IF(SHA1Range(E473:J473) = "2afbb8078a5f288a1c92848c9136890903309b48","0 Original","1 Modify"))))</f>
        <v>0 Original</v>
      </c>
      <c r="D473" s="5" t="s">
        <v>1432</v>
      </c>
      <c r="E473" s="3">
        <v>939</v>
      </c>
      <c r="F473" s="13">
        <v>41910</v>
      </c>
      <c r="G473" t="s">
        <v>134</v>
      </c>
      <c r="H473" s="9">
        <v>35.950000000000003</v>
      </c>
      <c r="I473" s="5" t="s">
        <v>68</v>
      </c>
      <c r="J473" s="15">
        <v>41910.456400462965</v>
      </c>
      <c r="K473" t="str">
        <f t="shared" si="7"/>
        <v>09-2014</v>
      </c>
    </row>
    <row r="474" spans="3:11" x14ac:dyDescent="0.25">
      <c r="C474" t="str">
        <f>IF(COUNTBLANK(E474:J474) = 6,"",IF(AND(NOT(ISBLANK(E474)),COUNTBLANK(E474:J474) = 5),"3 Delete",IF(ISBLANK(E474),"2 Add",IF(SHA1Range(E474:J474) = "5599c76637733151cc1233aae511dc586e70ea53","0 Original","1 Modify"))))</f>
        <v>0 Original</v>
      </c>
      <c r="D474" s="5" t="s">
        <v>1433</v>
      </c>
      <c r="E474" s="3">
        <v>774</v>
      </c>
      <c r="F474" s="13">
        <v>41910</v>
      </c>
      <c r="G474" t="s">
        <v>134</v>
      </c>
      <c r="H474" s="9">
        <v>29.97</v>
      </c>
      <c r="I474" s="5" t="s">
        <v>68</v>
      </c>
      <c r="J474" s="15">
        <v>41910.718726851854</v>
      </c>
      <c r="K474" t="str">
        <f t="shared" si="7"/>
        <v>09-2014</v>
      </c>
    </row>
    <row r="475" spans="3:11" x14ac:dyDescent="0.25">
      <c r="C475" t="str">
        <f>IF(COUNTBLANK(E475:J475) = 6,"",IF(AND(NOT(ISBLANK(E475)),COUNTBLANK(E475:J475) = 5),"3 Delete",IF(ISBLANK(E475),"2 Add",IF(SHA1Range(E475:J475) = "c9d732919188c5c0e6f7719b6c83b0cf27fd3b3c","0 Original","1 Modify"))))</f>
        <v>0 Original</v>
      </c>
      <c r="D475" s="5" t="s">
        <v>1434</v>
      </c>
      <c r="E475" s="3">
        <v>254</v>
      </c>
      <c r="F475" s="13">
        <v>41910</v>
      </c>
      <c r="G475" t="s">
        <v>218</v>
      </c>
      <c r="H475" s="9">
        <v>57.92</v>
      </c>
      <c r="I475" s="5" t="s">
        <v>68</v>
      </c>
      <c r="J475" s="15">
        <v>41910.964999999997</v>
      </c>
      <c r="K475" t="str">
        <f t="shared" si="7"/>
        <v>09-2014</v>
      </c>
    </row>
    <row r="476" spans="3:11" x14ac:dyDescent="0.25">
      <c r="C476" t="str">
        <f>IF(COUNTBLANK(E476:J476) = 6,"",IF(AND(NOT(ISBLANK(E476)),COUNTBLANK(E476:J476) = 5),"3 Delete",IF(ISBLANK(E476),"2 Add",IF(SHA1Range(E476:J476) = "e927c98ac97978333a7bbf9b7f514ef8a8a0a55c","0 Original","1 Modify"))))</f>
        <v>0 Original</v>
      </c>
      <c r="D476" s="5" t="s">
        <v>1435</v>
      </c>
      <c r="E476" s="3">
        <v>483</v>
      </c>
      <c r="F476" s="13">
        <v>41912</v>
      </c>
      <c r="G476" t="s">
        <v>305</v>
      </c>
      <c r="H476" s="9">
        <v>22.97</v>
      </c>
      <c r="I476" s="5" t="s">
        <v>68</v>
      </c>
      <c r="J476" s="15">
        <v>41912.053969907407</v>
      </c>
      <c r="K476" t="str">
        <f t="shared" si="7"/>
        <v>09-2014</v>
      </c>
    </row>
    <row r="477" spans="3:11" x14ac:dyDescent="0.25">
      <c r="C477" t="str">
        <f>IF(COUNTBLANK(E477:J477) = 6,"",IF(AND(NOT(ISBLANK(E477)),COUNTBLANK(E477:J477) = 5),"3 Delete",IF(ISBLANK(E477),"2 Add",IF(SHA1Range(E477:J477) = "9e189f54e7ba6f0634b00c865c01d9106b2f39c5","0 Original","1 Modify"))))</f>
        <v>0 Original</v>
      </c>
      <c r="D477" s="5" t="s">
        <v>1436</v>
      </c>
      <c r="E477" s="3">
        <v>206</v>
      </c>
      <c r="F477" s="13">
        <v>41912</v>
      </c>
      <c r="G477" t="s">
        <v>149</v>
      </c>
      <c r="H477" s="9">
        <v>32.96</v>
      </c>
      <c r="I477" s="5" t="s">
        <v>68</v>
      </c>
      <c r="J477" s="15">
        <v>41912.951331018521</v>
      </c>
      <c r="K477" t="str">
        <f t="shared" si="7"/>
        <v>09-2014</v>
      </c>
    </row>
    <row r="478" spans="3:11" x14ac:dyDescent="0.25">
      <c r="C478" t="str">
        <f>IF(COUNTBLANK(E478:J478) = 6,"",IF(AND(NOT(ISBLANK(E478)),COUNTBLANK(E478:J478) = 5),"3 Delete",IF(ISBLANK(E478),"2 Add",IF(SHA1Range(E478:J478) = "9d705eade1a24d8eaf9fb7b60c3971898d84b8fd","0 Original","1 Modify"))))</f>
        <v>0 Original</v>
      </c>
      <c r="D478" s="5" t="s">
        <v>1437</v>
      </c>
      <c r="E478" s="3">
        <v>405</v>
      </c>
      <c r="F478" s="13">
        <v>41914</v>
      </c>
      <c r="G478" t="s">
        <v>347</v>
      </c>
      <c r="H478" s="9">
        <v>82.89</v>
      </c>
      <c r="I478" s="5" t="s">
        <v>68</v>
      </c>
      <c r="J478" s="15">
        <v>41914.386493055557</v>
      </c>
      <c r="K478" t="str">
        <f t="shared" si="7"/>
        <v>10-2014</v>
      </c>
    </row>
    <row r="479" spans="3:11" x14ac:dyDescent="0.25">
      <c r="C479" t="str">
        <f>IF(COUNTBLANK(E479:J479) = 6,"",IF(AND(NOT(ISBLANK(E479)),COUNTBLANK(E479:J479) = 5),"3 Delete",IF(ISBLANK(E479),"2 Add",IF(SHA1Range(E479:J479) = "04d2a14d55af937ec8601aa4d86dbe39b0101bb9","0 Original","1 Modify"))))</f>
        <v>0 Original</v>
      </c>
      <c r="D479" s="5" t="s">
        <v>1438</v>
      </c>
      <c r="E479" s="3">
        <v>81</v>
      </c>
      <c r="F479" s="13">
        <v>41914</v>
      </c>
      <c r="G479" t="s">
        <v>311</v>
      </c>
      <c r="H479" s="9">
        <v>64.91</v>
      </c>
      <c r="I479" s="5" t="s">
        <v>68</v>
      </c>
      <c r="J479" s="15">
        <v>41914.636030092595</v>
      </c>
      <c r="K479" t="str">
        <f t="shared" si="7"/>
        <v>10-2014</v>
      </c>
    </row>
    <row r="480" spans="3:11" x14ac:dyDescent="0.25">
      <c r="C480" t="str">
        <f>IF(COUNTBLANK(E480:J480) = 6,"",IF(AND(NOT(ISBLANK(E480)),COUNTBLANK(E480:J480) = 5),"3 Delete",IF(ISBLANK(E480),"2 Add",IF(SHA1Range(E480:J480) = "39c219d6b055770d7982fd99d795d175bd29359f","0 Original","1 Modify"))))</f>
        <v>0 Original</v>
      </c>
      <c r="D480" s="5" t="s">
        <v>1439</v>
      </c>
      <c r="E480" s="3">
        <v>1008</v>
      </c>
      <c r="F480" s="13">
        <v>41915</v>
      </c>
      <c r="G480" t="s">
        <v>170</v>
      </c>
      <c r="H480" s="9">
        <v>32.96</v>
      </c>
      <c r="I480" s="5" t="s">
        <v>68</v>
      </c>
      <c r="J480" s="15">
        <v>41915.038831018515</v>
      </c>
      <c r="K480" t="str">
        <f t="shared" si="7"/>
        <v>10-2014</v>
      </c>
    </row>
    <row r="481" spans="3:11" x14ac:dyDescent="0.25">
      <c r="C481" t="str">
        <f>IF(COUNTBLANK(E481:J481) = 6,"",IF(AND(NOT(ISBLANK(E481)),COUNTBLANK(E481:J481) = 5),"3 Delete",IF(ISBLANK(E481),"2 Add",IF(SHA1Range(E481:J481) = "d83b4d9506ef4be5ab6f95bfbf1ae0763b551511","0 Original","1 Modify"))))</f>
        <v>0 Original</v>
      </c>
      <c r="D481" s="5" t="s">
        <v>1440</v>
      </c>
      <c r="E481" s="3">
        <v>759</v>
      </c>
      <c r="F481" s="13">
        <v>41917</v>
      </c>
      <c r="G481" t="s">
        <v>326</v>
      </c>
      <c r="H481" s="9">
        <v>6.99</v>
      </c>
      <c r="I481" s="5" t="s">
        <v>68</v>
      </c>
      <c r="J481" s="15">
        <v>41917.776550925926</v>
      </c>
      <c r="K481" t="str">
        <f t="shared" si="7"/>
        <v>10-2014</v>
      </c>
    </row>
    <row r="482" spans="3:11" x14ac:dyDescent="0.25">
      <c r="C482" t="str">
        <f>IF(COUNTBLANK(E482:J482) = 6,"",IF(AND(NOT(ISBLANK(E482)),COUNTBLANK(E482:J482) = 5),"3 Delete",IF(ISBLANK(E482),"2 Add",IF(SHA1Range(E482:J482) = "3453c860586cd2e45ae6776e8486ea7aa3e965fc","0 Original","1 Modify"))))</f>
        <v>0 Original</v>
      </c>
      <c r="D482" s="5" t="s">
        <v>1441</v>
      </c>
      <c r="E482" s="3">
        <v>958</v>
      </c>
      <c r="F482" s="13">
        <v>41918</v>
      </c>
      <c r="G482" t="s">
        <v>242</v>
      </c>
      <c r="H482" s="9">
        <v>20.97</v>
      </c>
      <c r="I482" s="5" t="s">
        <v>68</v>
      </c>
      <c r="J482" s="15">
        <v>41918.101990740739</v>
      </c>
      <c r="K482" t="str">
        <f t="shared" si="7"/>
        <v>10-2014</v>
      </c>
    </row>
    <row r="483" spans="3:11" x14ac:dyDescent="0.25">
      <c r="C483" t="str">
        <f>IF(COUNTBLANK(E483:J483) = 6,"",IF(AND(NOT(ISBLANK(E483)),COUNTBLANK(E483:J483) = 5),"3 Delete",IF(ISBLANK(E483),"2 Add",IF(SHA1Range(E483:J483) = "d062cd7be6df026476d06752e470b891e4bd3e03","0 Original","1 Modify"))))</f>
        <v>0 Original</v>
      </c>
      <c r="D483" s="5" t="s">
        <v>1442</v>
      </c>
      <c r="E483" s="3">
        <v>1143</v>
      </c>
      <c r="F483" s="13">
        <v>41918</v>
      </c>
      <c r="G483" t="s">
        <v>245</v>
      </c>
      <c r="H483" s="9">
        <v>36.96</v>
      </c>
      <c r="I483" s="5" t="s">
        <v>68</v>
      </c>
      <c r="J483" s="15">
        <v>41918.21434027778</v>
      </c>
      <c r="K483" t="str">
        <f t="shared" si="7"/>
        <v>10-2014</v>
      </c>
    </row>
    <row r="484" spans="3:11" x14ac:dyDescent="0.25">
      <c r="C484" t="str">
        <f>IF(COUNTBLANK(E484:J484) = 6,"",IF(AND(NOT(ISBLANK(E484)),COUNTBLANK(E484:J484) = 5),"3 Delete",IF(ISBLANK(E484),"2 Add",IF(SHA1Range(E484:J484) = "13d8ae40b7aec592ce4d84955cb445867e33026c","0 Original","1 Modify"))))</f>
        <v>0 Original</v>
      </c>
      <c r="D484" s="5" t="s">
        <v>1443</v>
      </c>
      <c r="E484" s="3">
        <v>314</v>
      </c>
      <c r="F484" s="13">
        <v>41918</v>
      </c>
      <c r="G484" t="s">
        <v>224</v>
      </c>
      <c r="H484" s="9">
        <v>4.99</v>
      </c>
      <c r="I484" s="5" t="s">
        <v>68</v>
      </c>
      <c r="J484" s="15">
        <v>41918.461562500001</v>
      </c>
      <c r="K484" t="str">
        <f t="shared" si="7"/>
        <v>10-2014</v>
      </c>
    </row>
    <row r="485" spans="3:11" x14ac:dyDescent="0.25">
      <c r="C485" t="str">
        <f>IF(COUNTBLANK(E485:J485) = 6,"",IF(AND(NOT(ISBLANK(E485)),COUNTBLANK(E485:J485) = 5),"3 Delete",IF(ISBLANK(E485),"2 Add",IF(SHA1Range(E485:J485) = "239d7674cb293dd3982c18118e563ee8a9ebda0c","0 Original","1 Modify"))))</f>
        <v>0 Original</v>
      </c>
      <c r="D485" s="5" t="s">
        <v>1444</v>
      </c>
      <c r="E485" s="3">
        <v>215</v>
      </c>
      <c r="F485" s="13">
        <v>41918</v>
      </c>
      <c r="G485" t="s">
        <v>89</v>
      </c>
      <c r="H485" s="9">
        <v>29.96</v>
      </c>
      <c r="I485" s="5" t="s">
        <v>68</v>
      </c>
      <c r="J485" s="15">
        <v>41918.622858796298</v>
      </c>
      <c r="K485" t="str">
        <f t="shared" si="7"/>
        <v>10-2014</v>
      </c>
    </row>
    <row r="486" spans="3:11" x14ac:dyDescent="0.25">
      <c r="C486" t="str">
        <f>IF(COUNTBLANK(E486:J486) = 6,"",IF(AND(NOT(ISBLANK(E486)),COUNTBLANK(E486:J486) = 5),"3 Delete",IF(ISBLANK(E486),"2 Add",IF(SHA1Range(E486:J486) = "18b5e9ef198fc187026144ceffaab2304f04a295","0 Original","1 Modify"))))</f>
        <v>0 Original</v>
      </c>
      <c r="D486" s="5" t="s">
        <v>1445</v>
      </c>
      <c r="E486" s="3">
        <v>592</v>
      </c>
      <c r="F486" s="13">
        <v>41918</v>
      </c>
      <c r="G486" t="s">
        <v>293</v>
      </c>
      <c r="H486" s="9">
        <v>89.9</v>
      </c>
      <c r="I486" s="5" t="s">
        <v>68</v>
      </c>
      <c r="J486" s="15">
        <v>41918.971250000002</v>
      </c>
      <c r="K486" t="str">
        <f t="shared" si="7"/>
        <v>10-2014</v>
      </c>
    </row>
    <row r="487" spans="3:11" x14ac:dyDescent="0.25">
      <c r="C487" t="str">
        <f>IF(COUNTBLANK(E487:J487) = 6,"",IF(AND(NOT(ISBLANK(E487)),COUNTBLANK(E487:J487) = 5),"3 Delete",IF(ISBLANK(E487),"2 Add",IF(SHA1Range(E487:J487) = "7e3e41a38b5860e62cd28f363d4b5fbf59817336","0 Original","1 Modify"))))</f>
        <v>0 Original</v>
      </c>
      <c r="D487" s="5" t="s">
        <v>1446</v>
      </c>
      <c r="E487" s="3">
        <v>1068</v>
      </c>
      <c r="F487" s="13">
        <v>41920</v>
      </c>
      <c r="G487" t="s">
        <v>272</v>
      </c>
      <c r="H487" s="9">
        <v>31.96</v>
      </c>
      <c r="I487" s="5" t="s">
        <v>68</v>
      </c>
      <c r="J487" s="15">
        <v>41920.827361111114</v>
      </c>
      <c r="K487" t="str">
        <f t="shared" si="7"/>
        <v>10-2014</v>
      </c>
    </row>
    <row r="488" spans="3:11" x14ac:dyDescent="0.25">
      <c r="C488" t="str">
        <f>IF(COUNTBLANK(E488:J488) = 6,"",IF(AND(NOT(ISBLANK(E488)),COUNTBLANK(E488:J488) = 5),"3 Delete",IF(ISBLANK(E488),"2 Add",IF(SHA1Range(E488:J488) = "90f6d5bd9ad2d89c63406d3e844eab02c93ed8ff","0 Original","1 Modify"))))</f>
        <v>0 Original</v>
      </c>
      <c r="D488" s="5" t="s">
        <v>1447</v>
      </c>
      <c r="E488" s="3">
        <v>195</v>
      </c>
      <c r="F488" s="13">
        <v>41921</v>
      </c>
      <c r="G488" t="s">
        <v>125</v>
      </c>
      <c r="H488" s="9">
        <v>52.94</v>
      </c>
      <c r="I488" s="5" t="s">
        <v>68</v>
      </c>
      <c r="J488" s="15">
        <v>41921.88548611111</v>
      </c>
      <c r="K488" t="str">
        <f t="shared" si="7"/>
        <v>10-2014</v>
      </c>
    </row>
    <row r="489" spans="3:11" x14ac:dyDescent="0.25">
      <c r="C489" t="str">
        <f>IF(COUNTBLANK(E489:J489) = 6,"",IF(AND(NOT(ISBLANK(E489)),COUNTBLANK(E489:J489) = 5),"3 Delete",IF(ISBLANK(E489),"2 Add",IF(SHA1Range(E489:J489) = "629ae60bbf7b26813a2ee49e402f777887f1b6dc","0 Original","1 Modify"))))</f>
        <v>0 Original</v>
      </c>
      <c r="D489" s="5" t="s">
        <v>1448</v>
      </c>
      <c r="E489" s="3">
        <v>873</v>
      </c>
      <c r="F489" s="13">
        <v>41922</v>
      </c>
      <c r="G489" t="s">
        <v>98</v>
      </c>
      <c r="H489" s="9">
        <v>37.950000000000003</v>
      </c>
      <c r="I489" s="5" t="s">
        <v>68</v>
      </c>
      <c r="J489" s="15">
        <v>41922.316053240742</v>
      </c>
      <c r="K489" t="str">
        <f t="shared" si="7"/>
        <v>10-2014</v>
      </c>
    </row>
    <row r="490" spans="3:11" x14ac:dyDescent="0.25">
      <c r="C490" t="str">
        <f>IF(COUNTBLANK(E490:J490) = 6,"",IF(AND(NOT(ISBLANK(E490)),COUNTBLANK(E490:J490) = 5),"3 Delete",IF(ISBLANK(E490),"2 Add",IF(SHA1Range(E490:J490) = "c519830b8cb160636cf19aec0de928a06a89433d","0 Original","1 Modify"))))</f>
        <v>0 Original</v>
      </c>
      <c r="D490" s="5" t="s">
        <v>1449</v>
      </c>
      <c r="E490" s="3">
        <v>1025</v>
      </c>
      <c r="F490" s="13">
        <v>41922</v>
      </c>
      <c r="G490" t="s">
        <v>170</v>
      </c>
      <c r="H490" s="9">
        <v>72.91</v>
      </c>
      <c r="I490" s="5" t="s">
        <v>68</v>
      </c>
      <c r="J490" s="15">
        <v>41922.48164351852</v>
      </c>
      <c r="K490" t="str">
        <f t="shared" si="7"/>
        <v>10-2014</v>
      </c>
    </row>
    <row r="491" spans="3:11" x14ac:dyDescent="0.25">
      <c r="C491" t="str">
        <f>IF(COUNTBLANK(E491:J491) = 6,"",IF(AND(NOT(ISBLANK(E491)),COUNTBLANK(E491:J491) = 5),"3 Delete",IF(ISBLANK(E491),"2 Add",IF(SHA1Range(E491:J491) = "d01663e8229b56593d1fe91028b837d08f44263e","0 Original","1 Modify"))))</f>
        <v>0 Original</v>
      </c>
      <c r="D491" s="5" t="s">
        <v>1450</v>
      </c>
      <c r="E491" s="3">
        <v>660</v>
      </c>
      <c r="F491" s="13">
        <v>41922</v>
      </c>
      <c r="G491" t="s">
        <v>221</v>
      </c>
      <c r="H491" s="9">
        <v>31.96</v>
      </c>
      <c r="I491" s="5" t="s">
        <v>68</v>
      </c>
      <c r="J491" s="15">
        <v>41922.665659722225</v>
      </c>
      <c r="K491" t="str">
        <f t="shared" si="7"/>
        <v>10-2014</v>
      </c>
    </row>
    <row r="492" spans="3:11" x14ac:dyDescent="0.25">
      <c r="C492" t="str">
        <f>IF(COUNTBLANK(E492:J492) = 6,"",IF(AND(NOT(ISBLANK(E492)),COUNTBLANK(E492:J492) = 5),"3 Delete",IF(ISBLANK(E492),"2 Add",IF(SHA1Range(E492:J492) = "a249141d58f0e76229250600c65afce34963c393","0 Original","1 Modify"))))</f>
        <v>0 Original</v>
      </c>
      <c r="D492" s="5" t="s">
        <v>1451</v>
      </c>
      <c r="E492" s="3">
        <v>1124</v>
      </c>
      <c r="F492" s="13">
        <v>41923</v>
      </c>
      <c r="G492" t="s">
        <v>272</v>
      </c>
      <c r="H492" s="9">
        <v>41.95</v>
      </c>
      <c r="I492" s="5" t="s">
        <v>68</v>
      </c>
      <c r="J492" s="15">
        <v>41923.006712962961</v>
      </c>
      <c r="K492" t="str">
        <f t="shared" si="7"/>
        <v>10-2014</v>
      </c>
    </row>
    <row r="493" spans="3:11" x14ac:dyDescent="0.25">
      <c r="C493" t="str">
        <f>IF(COUNTBLANK(E493:J493) = 6,"",IF(AND(NOT(ISBLANK(E493)),COUNTBLANK(E493:J493) = 5),"3 Delete",IF(ISBLANK(E493),"2 Add",IF(SHA1Range(E493:J493) = "5086024105f978ea46c336b3370f4e9da495a82c","0 Original","1 Modify"))))</f>
        <v>0 Original</v>
      </c>
      <c r="D493" s="5" t="s">
        <v>1452</v>
      </c>
      <c r="E493" s="3">
        <v>32</v>
      </c>
      <c r="F493" s="13">
        <v>41923</v>
      </c>
      <c r="G493" t="s">
        <v>206</v>
      </c>
      <c r="H493" s="9">
        <v>34.950000000000003</v>
      </c>
      <c r="I493" s="5" t="s">
        <v>68</v>
      </c>
      <c r="J493" s="15">
        <v>41923.390717592592</v>
      </c>
      <c r="K493" t="str">
        <f t="shared" si="7"/>
        <v>10-2014</v>
      </c>
    </row>
    <row r="494" spans="3:11" x14ac:dyDescent="0.25">
      <c r="C494" t="str">
        <f>IF(COUNTBLANK(E494:J494) = 6,"",IF(AND(NOT(ISBLANK(E494)),COUNTBLANK(E494:J494) = 5),"3 Delete",IF(ISBLANK(E494),"2 Add",IF(SHA1Range(E494:J494) = "1dbe18d81f89f46a7757daed95299846f353219f","0 Original","1 Modify"))))</f>
        <v>0 Original</v>
      </c>
      <c r="D494" s="5" t="s">
        <v>1453</v>
      </c>
      <c r="E494" s="3">
        <v>867</v>
      </c>
      <c r="F494" s="13">
        <v>41924</v>
      </c>
      <c r="G494" t="s">
        <v>221</v>
      </c>
      <c r="H494" s="9">
        <v>11.98</v>
      </c>
      <c r="I494" s="5" t="s">
        <v>68</v>
      </c>
      <c r="J494" s="15">
        <v>41924.098645833335</v>
      </c>
      <c r="K494" t="str">
        <f t="shared" si="7"/>
        <v>10-2014</v>
      </c>
    </row>
    <row r="495" spans="3:11" x14ac:dyDescent="0.25">
      <c r="C495" t="str">
        <f>IF(COUNTBLANK(E495:J495) = 6,"",IF(AND(NOT(ISBLANK(E495)),COUNTBLANK(E495:J495) = 5),"3 Delete",IF(ISBLANK(E495),"2 Add",IF(SHA1Range(E495:J495) = "58fa51cea84ef5b977bd5cce2b4d27b02620454a","0 Original","1 Modify"))))</f>
        <v>0 Original</v>
      </c>
      <c r="D495" s="5" t="s">
        <v>1454</v>
      </c>
      <c r="E495" s="3">
        <v>1188</v>
      </c>
      <c r="F495" s="13">
        <v>41925</v>
      </c>
      <c r="G495" t="s">
        <v>134</v>
      </c>
      <c r="H495" s="9">
        <v>21.96</v>
      </c>
      <c r="I495" s="5" t="s">
        <v>68</v>
      </c>
      <c r="J495" s="15">
        <v>41925.54347222222</v>
      </c>
      <c r="K495" t="str">
        <f t="shared" si="7"/>
        <v>10-2014</v>
      </c>
    </row>
    <row r="496" spans="3:11" x14ac:dyDescent="0.25">
      <c r="C496" t="str">
        <f>IF(COUNTBLANK(E496:J496) = 6,"",IF(AND(NOT(ISBLANK(E496)),COUNTBLANK(E496:J496) = 5),"3 Delete",IF(ISBLANK(E496),"2 Add",IF(SHA1Range(E496:J496) = "f3aa812004fca0247c0c9300fab25971334d8180","0 Original","1 Modify"))))</f>
        <v>0 Original</v>
      </c>
      <c r="D496" s="5" t="s">
        <v>1455</v>
      </c>
      <c r="E496" s="3">
        <v>112</v>
      </c>
      <c r="F496" s="13">
        <v>41925</v>
      </c>
      <c r="G496" t="s">
        <v>170</v>
      </c>
      <c r="H496" s="9">
        <v>19.97</v>
      </c>
      <c r="I496" s="5" t="s">
        <v>68</v>
      </c>
      <c r="J496" s="15">
        <v>41925.759444444448</v>
      </c>
      <c r="K496" t="str">
        <f t="shared" si="7"/>
        <v>10-2014</v>
      </c>
    </row>
    <row r="497" spans="3:11" x14ac:dyDescent="0.25">
      <c r="C497" t="str">
        <f>IF(COUNTBLANK(E497:J497) = 6,"",IF(AND(NOT(ISBLANK(E497)),COUNTBLANK(E497:J497) = 5),"3 Delete",IF(ISBLANK(E497),"2 Add",IF(SHA1Range(E497:J497) = "a3f30614b4ae72eae6b7f6222d4be7a4eb6ba0f2","0 Original","1 Modify"))))</f>
        <v>0 Original</v>
      </c>
      <c r="D497" s="5" t="s">
        <v>1456</v>
      </c>
      <c r="E497" s="3">
        <v>1050</v>
      </c>
      <c r="F497" s="13">
        <v>41926</v>
      </c>
      <c r="G497" t="s">
        <v>302</v>
      </c>
      <c r="H497" s="9">
        <v>35.950000000000003</v>
      </c>
      <c r="I497" s="5" t="s">
        <v>68</v>
      </c>
      <c r="J497" s="15">
        <v>41926.131597222222</v>
      </c>
      <c r="K497" t="str">
        <f t="shared" si="7"/>
        <v>10-2014</v>
      </c>
    </row>
    <row r="498" spans="3:11" x14ac:dyDescent="0.25">
      <c r="C498" t="str">
        <f>IF(COUNTBLANK(E498:J498) = 6,"",IF(AND(NOT(ISBLANK(E498)),COUNTBLANK(E498:J498) = 5),"3 Delete",IF(ISBLANK(E498),"2 Add",IF(SHA1Range(E498:J498) = "7edac43259791d7f3d5348b0ef666c9f6736ea1e","0 Original","1 Modify"))))</f>
        <v>0 Original</v>
      </c>
      <c r="D498" s="5" t="s">
        <v>1457</v>
      </c>
      <c r="E498" s="3">
        <v>500</v>
      </c>
      <c r="F498" s="13">
        <v>41926</v>
      </c>
      <c r="G498" t="s">
        <v>65</v>
      </c>
      <c r="H498" s="9">
        <v>7.99</v>
      </c>
      <c r="I498" s="5" t="s">
        <v>68</v>
      </c>
      <c r="J498" s="15">
        <v>41926.387685185182</v>
      </c>
      <c r="K498" t="str">
        <f t="shared" si="7"/>
        <v>10-2014</v>
      </c>
    </row>
    <row r="499" spans="3:11" x14ac:dyDescent="0.25">
      <c r="C499" t="str">
        <f>IF(COUNTBLANK(E499:J499) = 6,"",IF(AND(NOT(ISBLANK(E499)),COUNTBLANK(E499:J499) = 5),"3 Delete",IF(ISBLANK(E499),"2 Add",IF(SHA1Range(E499:J499) = "4b2fa9613f9d411e36eb27c8253bd75ea3806f2b","0 Original","1 Modify"))))</f>
        <v>0 Original</v>
      </c>
      <c r="D499" s="5" t="s">
        <v>1458</v>
      </c>
      <c r="E499" s="3">
        <v>919</v>
      </c>
      <c r="F499" s="13">
        <v>41927</v>
      </c>
      <c r="G499" t="s">
        <v>170</v>
      </c>
      <c r="H499" s="9">
        <v>16.98</v>
      </c>
      <c r="I499" s="5" t="s">
        <v>68</v>
      </c>
      <c r="J499" s="15">
        <v>41927.135868055557</v>
      </c>
      <c r="K499" t="str">
        <f t="shared" si="7"/>
        <v>10-2014</v>
      </c>
    </row>
    <row r="500" spans="3:11" x14ac:dyDescent="0.25">
      <c r="C500" t="str">
        <f>IF(COUNTBLANK(E500:J500) = 6,"",IF(AND(NOT(ISBLANK(E500)),COUNTBLANK(E500:J500) = 5),"3 Delete",IF(ISBLANK(E500),"2 Add",IF(SHA1Range(E500:J500) = "4c7dc8587c902b2c0068a5f1fa274b32a6049f76","0 Original","1 Modify"))))</f>
        <v>0 Original</v>
      </c>
      <c r="D500" s="5" t="s">
        <v>1459</v>
      </c>
      <c r="E500" s="3">
        <v>1033</v>
      </c>
      <c r="F500" s="13">
        <v>41927</v>
      </c>
      <c r="G500" t="s">
        <v>260</v>
      </c>
      <c r="H500" s="9">
        <v>83.9</v>
      </c>
      <c r="I500" s="5" t="s">
        <v>68</v>
      </c>
      <c r="J500" s="15">
        <v>41927.546736111108</v>
      </c>
      <c r="K500" t="str">
        <f t="shared" si="7"/>
        <v>10-2014</v>
      </c>
    </row>
    <row r="501" spans="3:11" x14ac:dyDescent="0.25">
      <c r="C501" t="str">
        <f>IF(COUNTBLANK(E501:J501) = 6,"",IF(AND(NOT(ISBLANK(E501)),COUNTBLANK(E501:J501) = 5),"3 Delete",IF(ISBLANK(E501),"2 Add",IF(SHA1Range(E501:J501) = "0f22aa3fee354fbd247e17f282621134ca2dcdae","0 Original","1 Modify"))))</f>
        <v>0 Original</v>
      </c>
      <c r="D501" s="5" t="s">
        <v>1460</v>
      </c>
      <c r="E501" s="3">
        <v>700</v>
      </c>
      <c r="F501" s="13">
        <v>41927</v>
      </c>
      <c r="G501" t="s">
        <v>293</v>
      </c>
      <c r="H501" s="9">
        <v>28.96</v>
      </c>
      <c r="I501" s="5" t="s">
        <v>68</v>
      </c>
      <c r="J501" s="15">
        <v>41927.939293981479</v>
      </c>
      <c r="K501" t="str">
        <f t="shared" si="7"/>
        <v>10-2014</v>
      </c>
    </row>
    <row r="502" spans="3:11" x14ac:dyDescent="0.25">
      <c r="C502" t="str">
        <f>IF(COUNTBLANK(E502:J502) = 6,"",IF(AND(NOT(ISBLANK(E502)),COUNTBLANK(E502:J502) = 5),"3 Delete",IF(ISBLANK(E502),"2 Add",IF(SHA1Range(E502:J502) = "a99d41b0f639e1b4b0dfec07633d55c43493b6e8","0 Original","1 Modify"))))</f>
        <v>0 Original</v>
      </c>
      <c r="D502" s="5" t="s">
        <v>1461</v>
      </c>
      <c r="E502" s="3">
        <v>763</v>
      </c>
      <c r="F502" s="13">
        <v>41929</v>
      </c>
      <c r="G502" t="s">
        <v>272</v>
      </c>
      <c r="H502" s="9">
        <v>45.94</v>
      </c>
      <c r="I502" s="5" t="s">
        <v>68</v>
      </c>
      <c r="J502" s="15">
        <v>41929.42832175926</v>
      </c>
      <c r="K502" t="str">
        <f t="shared" si="7"/>
        <v>10-2014</v>
      </c>
    </row>
    <row r="503" spans="3:11" x14ac:dyDescent="0.25">
      <c r="C503" t="str">
        <f>IF(COUNTBLANK(E503:J503) = 6,"",IF(AND(NOT(ISBLANK(E503)),COUNTBLANK(E503:J503) = 5),"3 Delete",IF(ISBLANK(E503),"2 Add",IF(SHA1Range(E503:J503) = "989791be202ce366e9cb068a068adfc161e2fe10","0 Original","1 Modify"))))</f>
        <v>0 Original</v>
      </c>
      <c r="D503" s="5" t="s">
        <v>1462</v>
      </c>
      <c r="E503" s="3">
        <v>177</v>
      </c>
      <c r="F503" s="13">
        <v>41929</v>
      </c>
      <c r="G503" t="s">
        <v>86</v>
      </c>
      <c r="H503" s="9">
        <v>39.950000000000003</v>
      </c>
      <c r="I503" s="5" t="s">
        <v>68</v>
      </c>
      <c r="J503" s="15">
        <v>41929.742164351854</v>
      </c>
      <c r="K503" t="str">
        <f t="shared" si="7"/>
        <v>10-2014</v>
      </c>
    </row>
    <row r="504" spans="3:11" x14ac:dyDescent="0.25">
      <c r="C504" t="str">
        <f>IF(COUNTBLANK(E504:J504) = 6,"",IF(AND(NOT(ISBLANK(E504)),COUNTBLANK(E504:J504) = 5),"3 Delete",IF(ISBLANK(E504),"2 Add",IF(SHA1Range(E504:J504) = "732e0e0f77ccfa7109fb27d064b9718a5d3f2a2c","0 Original","1 Modify"))))</f>
        <v>0 Original</v>
      </c>
      <c r="D504" s="5" t="s">
        <v>1463</v>
      </c>
      <c r="E504" s="3">
        <v>991</v>
      </c>
      <c r="F504" s="13">
        <v>41930</v>
      </c>
      <c r="G504" t="s">
        <v>98</v>
      </c>
      <c r="H504" s="9">
        <v>22.97</v>
      </c>
      <c r="I504" s="5" t="s">
        <v>68</v>
      </c>
      <c r="J504" s="15">
        <v>41930.130949074075</v>
      </c>
      <c r="K504" t="str">
        <f t="shared" si="7"/>
        <v>10-2014</v>
      </c>
    </row>
    <row r="505" spans="3:11" x14ac:dyDescent="0.25">
      <c r="C505" t="str">
        <f>IF(COUNTBLANK(E505:J505) = 6,"",IF(AND(NOT(ISBLANK(E505)),COUNTBLANK(E505:J505) = 5),"3 Delete",IF(ISBLANK(E505),"2 Add",IF(SHA1Range(E505:J505) = "ec029374b1b9abe75f83d10c6dc00386238418bc","0 Original","1 Modify"))))</f>
        <v>0 Original</v>
      </c>
      <c r="D505" s="5" t="s">
        <v>1464</v>
      </c>
      <c r="E505" s="3">
        <v>336</v>
      </c>
      <c r="F505" s="13">
        <v>41931</v>
      </c>
      <c r="G505" t="s">
        <v>146</v>
      </c>
      <c r="H505" s="9">
        <v>21.97</v>
      </c>
      <c r="I505" s="5" t="s">
        <v>68</v>
      </c>
      <c r="J505" s="15">
        <v>41931.17</v>
      </c>
      <c r="K505" t="str">
        <f t="shared" si="7"/>
        <v>10-2014</v>
      </c>
    </row>
    <row r="506" spans="3:11" x14ac:dyDescent="0.25">
      <c r="C506" t="str">
        <f>IF(COUNTBLANK(E506:J506) = 6,"",IF(AND(NOT(ISBLANK(E506)),COUNTBLANK(E506:J506) = 5),"3 Delete",IF(ISBLANK(E506),"2 Add",IF(SHA1Range(E506:J506) = "f34df77c5e477d5963db469a25cceaa8b0c05452","0 Original","1 Modify"))))</f>
        <v>0 Original</v>
      </c>
      <c r="D506" s="5" t="s">
        <v>1465</v>
      </c>
      <c r="E506" s="3">
        <v>710</v>
      </c>
      <c r="F506" s="13">
        <v>41931</v>
      </c>
      <c r="G506" t="s">
        <v>326</v>
      </c>
      <c r="H506" s="9">
        <v>16.98</v>
      </c>
      <c r="I506" s="5" t="s">
        <v>68</v>
      </c>
      <c r="J506" s="15">
        <v>41931.615358796298</v>
      </c>
      <c r="K506" t="str">
        <f t="shared" si="7"/>
        <v>10-2014</v>
      </c>
    </row>
    <row r="507" spans="3:11" x14ac:dyDescent="0.25">
      <c r="C507" t="str">
        <f>IF(COUNTBLANK(E507:J507) = 6,"",IF(AND(NOT(ISBLANK(E507)),COUNTBLANK(E507:J507) = 5),"3 Delete",IF(ISBLANK(E507),"2 Add",IF(SHA1Range(E507:J507) = "195fe492e95ac63200213ff6eb2705e3bfa22677","0 Original","1 Modify"))))</f>
        <v>0 Original</v>
      </c>
      <c r="D507" s="5" t="s">
        <v>1466</v>
      </c>
      <c r="E507" s="3">
        <v>279</v>
      </c>
      <c r="F507" s="13">
        <v>41931</v>
      </c>
      <c r="G507" t="s">
        <v>350</v>
      </c>
      <c r="H507" s="9">
        <v>36.950000000000003</v>
      </c>
      <c r="I507" s="5" t="s">
        <v>68</v>
      </c>
      <c r="J507" s="15">
        <v>41931.989965277775</v>
      </c>
      <c r="K507" t="str">
        <f t="shared" si="7"/>
        <v>10-2014</v>
      </c>
    </row>
    <row r="508" spans="3:11" x14ac:dyDescent="0.25">
      <c r="C508" t="str">
        <f>IF(COUNTBLANK(E508:J508) = 6,"",IF(AND(NOT(ISBLANK(E508)),COUNTBLANK(E508:J508) = 5),"3 Delete",IF(ISBLANK(E508),"2 Add",IF(SHA1Range(E508:J508) = "6b446feed801f76b694f022f0c2ad4d4294db49b","0 Original","1 Modify"))))</f>
        <v>0 Original</v>
      </c>
      <c r="D508" s="5" t="s">
        <v>1467</v>
      </c>
      <c r="E508" s="3">
        <v>376</v>
      </c>
      <c r="F508" s="13">
        <v>41932</v>
      </c>
      <c r="G508" t="s">
        <v>360</v>
      </c>
      <c r="H508" s="9">
        <v>45.94</v>
      </c>
      <c r="I508" s="5" t="s">
        <v>68</v>
      </c>
      <c r="J508" s="15">
        <v>41932.042361111111</v>
      </c>
      <c r="K508" t="str">
        <f t="shared" si="7"/>
        <v>10-2014</v>
      </c>
    </row>
    <row r="509" spans="3:11" x14ac:dyDescent="0.25">
      <c r="C509" t="str">
        <f>IF(COUNTBLANK(E509:J509) = 6,"",IF(AND(NOT(ISBLANK(E509)),COUNTBLANK(E509:J509) = 5),"3 Delete",IF(ISBLANK(E509),"2 Add",IF(SHA1Range(E509:J509) = "4f3e62ce9b8dbe185571f14e4c769d29d80b35be","0 Original","1 Modify"))))</f>
        <v>0 Original</v>
      </c>
      <c r="D509" s="5" t="s">
        <v>1468</v>
      </c>
      <c r="E509" s="3">
        <v>1079</v>
      </c>
      <c r="F509" s="13">
        <v>41932</v>
      </c>
      <c r="G509" t="s">
        <v>170</v>
      </c>
      <c r="H509" s="9">
        <v>38.950000000000003</v>
      </c>
      <c r="I509" s="5" t="s">
        <v>68</v>
      </c>
      <c r="J509" s="15">
        <v>41932.099282407406</v>
      </c>
      <c r="K509" t="str">
        <f t="shared" si="7"/>
        <v>10-2014</v>
      </c>
    </row>
    <row r="510" spans="3:11" x14ac:dyDescent="0.25">
      <c r="C510" t="str">
        <f>IF(COUNTBLANK(E510:J510) = 6,"",IF(AND(NOT(ISBLANK(E510)),COUNTBLANK(E510:J510) = 5),"3 Delete",IF(ISBLANK(E510),"2 Add",IF(SHA1Range(E510:J510) = "28b6b13cb4563523e7732a57f9c278704d947a02","0 Original","1 Modify"))))</f>
        <v>0 Original</v>
      </c>
      <c r="D510" s="5" t="s">
        <v>1469</v>
      </c>
      <c r="E510" s="3">
        <v>1095</v>
      </c>
      <c r="F510" s="13">
        <v>41932</v>
      </c>
      <c r="G510" t="s">
        <v>170</v>
      </c>
      <c r="H510" s="9">
        <v>11.98</v>
      </c>
      <c r="I510" s="5" t="s">
        <v>68</v>
      </c>
      <c r="J510" s="15">
        <v>41932.467685185184</v>
      </c>
      <c r="K510" t="str">
        <f t="shared" si="7"/>
        <v>10-2014</v>
      </c>
    </row>
    <row r="511" spans="3:11" x14ac:dyDescent="0.25">
      <c r="C511" t="str">
        <f>IF(COUNTBLANK(E511:J511) = 6,"",IF(AND(NOT(ISBLANK(E511)),COUNTBLANK(E511:J511) = 5),"3 Delete",IF(ISBLANK(E511),"2 Add",IF(SHA1Range(E511:J511) = "72a9869dfdab400459f32ee1546f9bf7e068fef0","0 Original","1 Modify"))))</f>
        <v>0 Original</v>
      </c>
      <c r="D511" s="5" t="s">
        <v>1470</v>
      </c>
      <c r="E511" s="3">
        <v>172</v>
      </c>
      <c r="F511" s="13">
        <v>41932</v>
      </c>
      <c r="G511" t="s">
        <v>329</v>
      </c>
      <c r="H511" s="9">
        <v>85.89</v>
      </c>
      <c r="I511" s="5" t="s">
        <v>68</v>
      </c>
      <c r="J511" s="15">
        <v>41932.948240740741</v>
      </c>
      <c r="K511" t="str">
        <f t="shared" si="7"/>
        <v>10-2014</v>
      </c>
    </row>
    <row r="512" spans="3:11" x14ac:dyDescent="0.25">
      <c r="C512" t="str">
        <f>IF(COUNTBLANK(E512:J512) = 6,"",IF(AND(NOT(ISBLANK(E512)),COUNTBLANK(E512:J512) = 5),"3 Delete",IF(ISBLANK(E512),"2 Add",IF(SHA1Range(E512:J512) = "19ee9defd3a231cbf89987c1d7630d089295f7fd","0 Original","1 Modify"))))</f>
        <v>0 Original</v>
      </c>
      <c r="D512" s="5" t="s">
        <v>1471</v>
      </c>
      <c r="E512" s="3">
        <v>757</v>
      </c>
      <c r="F512" s="13">
        <v>41933</v>
      </c>
      <c r="G512" t="s">
        <v>134</v>
      </c>
      <c r="H512" s="9">
        <v>19.98</v>
      </c>
      <c r="I512" s="5" t="s">
        <v>68</v>
      </c>
      <c r="J512" s="15">
        <v>41933.39402777778</v>
      </c>
      <c r="K512" t="str">
        <f t="shared" si="7"/>
        <v>10-2014</v>
      </c>
    </row>
    <row r="513" spans="3:11" x14ac:dyDescent="0.25">
      <c r="C513" t="str">
        <f>IF(COUNTBLANK(E513:J513) = 6,"",IF(AND(NOT(ISBLANK(E513)),COUNTBLANK(E513:J513) = 5),"3 Delete",IF(ISBLANK(E513),"2 Add",IF(SHA1Range(E513:J513) = "de28ceaf508962345c5ecebba0d1994952fa01b8","0 Original","1 Modify"))))</f>
        <v>0 Original</v>
      </c>
      <c r="D513" s="5" t="s">
        <v>1472</v>
      </c>
      <c r="E513" s="3">
        <v>388</v>
      </c>
      <c r="F513" s="13">
        <v>41934</v>
      </c>
      <c r="G513" t="s">
        <v>347</v>
      </c>
      <c r="H513" s="9">
        <v>22.97</v>
      </c>
      <c r="I513" s="5" t="s">
        <v>68</v>
      </c>
      <c r="J513" s="15">
        <v>41934.802418981482</v>
      </c>
      <c r="K513" t="str">
        <f t="shared" si="7"/>
        <v>10-2014</v>
      </c>
    </row>
    <row r="514" spans="3:11" x14ac:dyDescent="0.25">
      <c r="C514" t="str">
        <f>IF(COUNTBLANK(E514:J514) = 6,"",IF(AND(NOT(ISBLANK(E514)),COUNTBLANK(E514:J514) = 5),"3 Delete",IF(ISBLANK(E514),"2 Add",IF(SHA1Range(E514:J514) = "a22fdd4eafee96bc7715915f03e8f3b60a9e1f61","0 Original","1 Modify"))))</f>
        <v>0 Original</v>
      </c>
      <c r="D514" s="5" t="s">
        <v>1473</v>
      </c>
      <c r="E514" s="3">
        <v>159</v>
      </c>
      <c r="F514" s="13">
        <v>41934</v>
      </c>
      <c r="G514" t="s">
        <v>191</v>
      </c>
      <c r="H514" s="9">
        <v>78.91</v>
      </c>
      <c r="I514" s="5" t="s">
        <v>68</v>
      </c>
      <c r="J514" s="15">
        <v>41934.943564814814</v>
      </c>
      <c r="K514" t="str">
        <f t="shared" si="7"/>
        <v>10-2014</v>
      </c>
    </row>
    <row r="515" spans="3:11" x14ac:dyDescent="0.25">
      <c r="C515" t="str">
        <f>IF(COUNTBLANK(E515:J515) = 6,"",IF(AND(NOT(ISBLANK(E515)),COUNTBLANK(E515:J515) = 5),"3 Delete",IF(ISBLANK(E515),"2 Add",IF(SHA1Range(E515:J515) = "ccb755d110d5f944c99697968b6dc5ac246c4364","0 Original","1 Modify"))))</f>
        <v>0 Original</v>
      </c>
      <c r="D515" s="5" t="s">
        <v>1474</v>
      </c>
      <c r="E515" s="3">
        <v>656</v>
      </c>
      <c r="F515" s="13">
        <v>41935</v>
      </c>
      <c r="G515" t="s">
        <v>245</v>
      </c>
      <c r="H515" s="9">
        <v>38.950000000000003</v>
      </c>
      <c r="I515" s="5" t="s">
        <v>68</v>
      </c>
      <c r="J515" s="15">
        <v>41935.264004629629</v>
      </c>
      <c r="K515" t="str">
        <f t="shared" ref="K515:K578" si="8">TEXT(F515,"mm-yyyy")</f>
        <v>10-2014</v>
      </c>
    </row>
    <row r="516" spans="3:11" x14ac:dyDescent="0.25">
      <c r="C516" t="str">
        <f>IF(COUNTBLANK(E516:J516) = 6,"",IF(AND(NOT(ISBLANK(E516)),COUNTBLANK(E516:J516) = 5),"3 Delete",IF(ISBLANK(E516),"2 Add",IF(SHA1Range(E516:J516) = "d689ddf1da0e1f9bd5ba87034af1dad3e87aedad","0 Original","1 Modify"))))</f>
        <v>0 Original</v>
      </c>
      <c r="D516" s="5" t="s">
        <v>1475</v>
      </c>
      <c r="E516" s="3">
        <v>417</v>
      </c>
      <c r="F516" s="13">
        <v>41936</v>
      </c>
      <c r="G516" t="s">
        <v>83</v>
      </c>
      <c r="H516" s="9">
        <v>27.97</v>
      </c>
      <c r="I516" s="5" t="s">
        <v>68</v>
      </c>
      <c r="J516" s="15">
        <v>41936.078379629631</v>
      </c>
      <c r="K516" t="str">
        <f t="shared" si="8"/>
        <v>10-2014</v>
      </c>
    </row>
    <row r="517" spans="3:11" x14ac:dyDescent="0.25">
      <c r="C517" t="str">
        <f>IF(COUNTBLANK(E517:J517) = 6,"",IF(AND(NOT(ISBLANK(E517)),COUNTBLANK(E517:J517) = 5),"3 Delete",IF(ISBLANK(E517),"2 Add",IF(SHA1Range(E517:J517) = "f5791a07da1b43fa5a5ca03b8bdae799a2c9b51c","0 Original","1 Modify"))))</f>
        <v>0 Original</v>
      </c>
      <c r="D517" s="5" t="s">
        <v>1476</v>
      </c>
      <c r="E517" s="3">
        <v>1166</v>
      </c>
      <c r="F517" s="13">
        <v>41936</v>
      </c>
      <c r="G517" t="s">
        <v>260</v>
      </c>
      <c r="H517" s="9">
        <v>77.91</v>
      </c>
      <c r="I517" s="5" t="s">
        <v>68</v>
      </c>
      <c r="J517" s="15">
        <v>41936.377974537034</v>
      </c>
      <c r="K517" t="str">
        <f t="shared" si="8"/>
        <v>10-2014</v>
      </c>
    </row>
    <row r="518" spans="3:11" x14ac:dyDescent="0.25">
      <c r="C518" t="str">
        <f>IF(COUNTBLANK(E518:J518) = 6,"",IF(AND(NOT(ISBLANK(E518)),COUNTBLANK(E518:J518) = 5),"3 Delete",IF(ISBLANK(E518),"2 Add",IF(SHA1Range(E518:J518) = "cb55c88a926778de12dc5b05469fb828702f21fc","0 Original","1 Modify"))))</f>
        <v>0 Original</v>
      </c>
      <c r="D518" s="5" t="s">
        <v>1477</v>
      </c>
      <c r="E518" s="3">
        <v>629</v>
      </c>
      <c r="F518" s="13">
        <v>41936</v>
      </c>
      <c r="G518" t="s">
        <v>215</v>
      </c>
      <c r="H518" s="9">
        <v>38.950000000000003</v>
      </c>
      <c r="I518" s="5" t="s">
        <v>68</v>
      </c>
      <c r="J518" s="15">
        <v>41936.729733796295</v>
      </c>
      <c r="K518" t="str">
        <f t="shared" si="8"/>
        <v>10-2014</v>
      </c>
    </row>
    <row r="519" spans="3:11" x14ac:dyDescent="0.25">
      <c r="C519" t="str">
        <f>IF(COUNTBLANK(E519:J519) = 6,"",IF(AND(NOT(ISBLANK(E519)),COUNTBLANK(E519:J519) = 5),"3 Delete",IF(ISBLANK(E519),"2 Add",IF(SHA1Range(E519:J519) = "ef26b6f4351dd073dbb9e86d0b28712911cc45b1","0 Original","1 Modify"))))</f>
        <v>0 Original</v>
      </c>
      <c r="D519" s="5" t="s">
        <v>1478</v>
      </c>
      <c r="E519" s="3">
        <v>862</v>
      </c>
      <c r="F519" s="13">
        <v>41938</v>
      </c>
      <c r="G519" t="s">
        <v>98</v>
      </c>
      <c r="H519" s="9">
        <v>20.97</v>
      </c>
      <c r="I519" s="5" t="s">
        <v>68</v>
      </c>
      <c r="J519" s="15">
        <v>41938.399826388886</v>
      </c>
      <c r="K519" t="str">
        <f t="shared" si="8"/>
        <v>10-2014</v>
      </c>
    </row>
    <row r="520" spans="3:11" x14ac:dyDescent="0.25">
      <c r="C520" t="str">
        <f>IF(COUNTBLANK(E520:J520) = 6,"",IF(AND(NOT(ISBLANK(E520)),COUNTBLANK(E520:J520) = 5),"3 Delete",IF(ISBLANK(E520),"2 Add",IF(SHA1Range(E520:J520) = "c7b7740ccee67551f3ca34597a8420a9ada19ac9","0 Original","1 Modify"))))</f>
        <v>0 Original</v>
      </c>
      <c r="D520" s="5" t="s">
        <v>1479</v>
      </c>
      <c r="E520" s="3">
        <v>906</v>
      </c>
      <c r="F520" s="13">
        <v>41938</v>
      </c>
      <c r="G520" t="s">
        <v>98</v>
      </c>
      <c r="H520" s="9">
        <v>15.98</v>
      </c>
      <c r="I520" s="5" t="s">
        <v>68</v>
      </c>
      <c r="J520" s="15">
        <v>41938.707442129627</v>
      </c>
      <c r="K520" t="str">
        <f t="shared" si="8"/>
        <v>10-2014</v>
      </c>
    </row>
    <row r="521" spans="3:11" x14ac:dyDescent="0.25">
      <c r="C521" t="str">
        <f>IF(COUNTBLANK(E521:J521) = 6,"",IF(AND(NOT(ISBLANK(E521)),COUNTBLANK(E521:J521) = 5),"3 Delete",IF(ISBLANK(E521),"2 Add",IF(SHA1Range(E521:J521) = "2c39d064d3452cb31aeaa63ff9080a0afd4b2167","0 Original","1 Modify"))))</f>
        <v>0 Original</v>
      </c>
      <c r="D521" s="5" t="s">
        <v>1480</v>
      </c>
      <c r="E521" s="3">
        <v>972</v>
      </c>
      <c r="F521" s="13">
        <v>41939</v>
      </c>
      <c r="G521" t="s">
        <v>245</v>
      </c>
      <c r="H521" s="9">
        <v>49.92</v>
      </c>
      <c r="I521" s="5" t="s">
        <v>68</v>
      </c>
      <c r="J521" s="15">
        <v>41939.58861111111</v>
      </c>
      <c r="K521" t="str">
        <f t="shared" si="8"/>
        <v>10-2014</v>
      </c>
    </row>
    <row r="522" spans="3:11" x14ac:dyDescent="0.25">
      <c r="C522" t="str">
        <f>IF(COUNTBLANK(E522:J522) = 6,"",IF(AND(NOT(ISBLANK(E522)),COUNTBLANK(E522:J522) = 5),"3 Delete",IF(ISBLANK(E522),"2 Add",IF(SHA1Range(E522:J522) = "ef0a84f3f0771d8471d2888c0cff382c94271930","0 Original","1 Modify"))))</f>
        <v>0 Original</v>
      </c>
      <c r="D522" s="5" t="s">
        <v>1481</v>
      </c>
      <c r="E522" s="3">
        <v>265</v>
      </c>
      <c r="F522" s="13">
        <v>41939</v>
      </c>
      <c r="G522" t="s">
        <v>89</v>
      </c>
      <c r="H522" s="9">
        <v>43.95</v>
      </c>
      <c r="I522" s="5" t="s">
        <v>68</v>
      </c>
      <c r="J522" s="15">
        <v>41939.595891203702</v>
      </c>
      <c r="K522" t="str">
        <f t="shared" si="8"/>
        <v>10-2014</v>
      </c>
    </row>
    <row r="523" spans="3:11" x14ac:dyDescent="0.25">
      <c r="C523" t="str">
        <f>IF(COUNTBLANK(E523:J523) = 6,"",IF(AND(NOT(ISBLANK(E523)),COUNTBLANK(E523:J523) = 5),"3 Delete",IF(ISBLANK(E523),"2 Add",IF(SHA1Range(E523:J523) = "8387e716087b8128319b9cfe7624b96c9487fa03","0 Original","1 Modify"))))</f>
        <v>0 Original</v>
      </c>
      <c r="D523" s="5" t="s">
        <v>1482</v>
      </c>
      <c r="E523" s="3">
        <v>281</v>
      </c>
      <c r="F523" s="13">
        <v>41940</v>
      </c>
      <c r="G523" t="s">
        <v>354</v>
      </c>
      <c r="H523" s="9">
        <v>18.98</v>
      </c>
      <c r="I523" s="5" t="s">
        <v>68</v>
      </c>
      <c r="J523" s="15">
        <v>41940.05091435185</v>
      </c>
      <c r="K523" t="str">
        <f t="shared" si="8"/>
        <v>10-2014</v>
      </c>
    </row>
    <row r="524" spans="3:11" x14ac:dyDescent="0.25">
      <c r="C524" t="str">
        <f>IF(COUNTBLANK(E524:J524) = 6,"",IF(AND(NOT(ISBLANK(E524)),COUNTBLANK(E524:J524) = 5),"3 Delete",IF(ISBLANK(E524),"2 Add",IF(SHA1Range(E524:J524) = "56186eeca261fe95605df7fcea16664cc52169fb","0 Original","1 Modify"))))</f>
        <v>0 Original</v>
      </c>
      <c r="D524" s="5" t="s">
        <v>1483</v>
      </c>
      <c r="E524" s="3">
        <v>1136</v>
      </c>
      <c r="F524" s="13">
        <v>41940</v>
      </c>
      <c r="G524" t="s">
        <v>302</v>
      </c>
      <c r="H524" s="9">
        <v>19.97</v>
      </c>
      <c r="I524" s="5" t="s">
        <v>68</v>
      </c>
      <c r="J524" s="15">
        <v>41940.371076388888</v>
      </c>
      <c r="K524" t="str">
        <f t="shared" si="8"/>
        <v>10-2014</v>
      </c>
    </row>
    <row r="525" spans="3:11" x14ac:dyDescent="0.25">
      <c r="C525" t="str">
        <f>IF(COUNTBLANK(E525:J525) = 6,"",IF(AND(NOT(ISBLANK(E525)),COUNTBLANK(E525:J525) = 5),"3 Delete",IF(ISBLANK(E525),"2 Add",IF(SHA1Range(E525:J525) = "6102e6f4ebe9d7cadd05d48389ae2cf68971ac28","0 Original","1 Modify"))))</f>
        <v>0 Original</v>
      </c>
      <c r="D525" s="5" t="s">
        <v>1484</v>
      </c>
      <c r="E525" s="3">
        <v>130</v>
      </c>
      <c r="F525" s="13">
        <v>41941</v>
      </c>
      <c r="G525" t="s">
        <v>98</v>
      </c>
      <c r="H525" s="9">
        <v>26.97</v>
      </c>
      <c r="I525" s="5" t="s">
        <v>68</v>
      </c>
      <c r="J525" s="15">
        <v>41941.887476851851</v>
      </c>
      <c r="K525" t="str">
        <f t="shared" si="8"/>
        <v>10-2014</v>
      </c>
    </row>
    <row r="526" spans="3:11" x14ac:dyDescent="0.25">
      <c r="C526" t="str">
        <f>IF(COUNTBLANK(E526:J526) = 6,"",IF(AND(NOT(ISBLANK(E526)),COUNTBLANK(E526:J526) = 5),"3 Delete",IF(ISBLANK(E526),"2 Add",IF(SHA1Range(E526:J526) = "fbc7a811131b2f6dabafd95010ff0966d6d57ec6","0 Original","1 Modify"))))</f>
        <v>0 Original</v>
      </c>
      <c r="D526" s="5" t="s">
        <v>1485</v>
      </c>
      <c r="E526" s="3">
        <v>216</v>
      </c>
      <c r="F526" s="13">
        <v>41942</v>
      </c>
      <c r="G526" t="s">
        <v>245</v>
      </c>
      <c r="H526" s="9">
        <v>15.98</v>
      </c>
      <c r="I526" s="5" t="s">
        <v>68</v>
      </c>
      <c r="J526" s="15">
        <v>41942.252106481479</v>
      </c>
      <c r="K526" t="str">
        <f t="shared" si="8"/>
        <v>10-2014</v>
      </c>
    </row>
    <row r="527" spans="3:11" x14ac:dyDescent="0.25">
      <c r="C527" t="str">
        <f>IF(COUNTBLANK(E527:J527) = 6,"",IF(AND(NOT(ISBLANK(E527)),COUNTBLANK(E527:J527) = 5),"3 Delete",IF(ISBLANK(E527),"2 Add",IF(SHA1Range(E527:J527) = "d76139448526f95b4cca511332dacf6ddff3417b","0 Original","1 Modify"))))</f>
        <v>0 Original</v>
      </c>
      <c r="D527" s="5" t="s">
        <v>1486</v>
      </c>
      <c r="E527" s="3">
        <v>1111</v>
      </c>
      <c r="F527" s="13">
        <v>41942</v>
      </c>
      <c r="G527" t="s">
        <v>245</v>
      </c>
      <c r="H527" s="9">
        <v>35.94</v>
      </c>
      <c r="I527" s="5" t="s">
        <v>68</v>
      </c>
      <c r="J527" s="15">
        <v>41942.680752314816</v>
      </c>
      <c r="K527" t="str">
        <f t="shared" si="8"/>
        <v>10-2014</v>
      </c>
    </row>
    <row r="528" spans="3:11" x14ac:dyDescent="0.25">
      <c r="C528" t="str">
        <f>IF(COUNTBLANK(E528:J528) = 6,"",IF(AND(NOT(ISBLANK(E528)),COUNTBLANK(E528:J528) = 5),"3 Delete",IF(ISBLANK(E528),"2 Add",IF(SHA1Range(E528:J528) = "22f8e22be8a727426af08e8954c8efe778c3dbe2","0 Original","1 Modify"))))</f>
        <v>0 Original</v>
      </c>
      <c r="D528" s="5" t="s">
        <v>1487</v>
      </c>
      <c r="E528" s="3">
        <v>489</v>
      </c>
      <c r="F528" s="13">
        <v>41943</v>
      </c>
      <c r="G528" t="s">
        <v>308</v>
      </c>
      <c r="H528" s="9">
        <v>43.95</v>
      </c>
      <c r="I528" s="5" t="s">
        <v>68</v>
      </c>
      <c r="J528" s="15">
        <v>41943.348090277781</v>
      </c>
      <c r="K528" t="str">
        <f t="shared" si="8"/>
        <v>10-2014</v>
      </c>
    </row>
    <row r="529" spans="3:11" x14ac:dyDescent="0.25">
      <c r="C529" t="str">
        <f>IF(COUNTBLANK(E529:J529) = 6,"",IF(AND(NOT(ISBLANK(E529)),COUNTBLANK(E529:J529) = 5),"3 Delete",IF(ISBLANK(E529),"2 Add",IF(SHA1Range(E529:J529) = "7d3f0530152022bcf4fe3699e7e60110cc932f41","0 Original","1 Modify"))))</f>
        <v>0 Original</v>
      </c>
      <c r="D529" s="5" t="s">
        <v>1488</v>
      </c>
      <c r="E529" s="3">
        <v>250</v>
      </c>
      <c r="F529" s="13">
        <v>41945</v>
      </c>
      <c r="G529" t="s">
        <v>128</v>
      </c>
      <c r="H529" s="9">
        <v>16.98</v>
      </c>
      <c r="I529" s="5" t="s">
        <v>68</v>
      </c>
      <c r="J529" s="15">
        <v>41945.526365740741</v>
      </c>
      <c r="K529" t="str">
        <f t="shared" si="8"/>
        <v>11-2014</v>
      </c>
    </row>
    <row r="530" spans="3:11" x14ac:dyDescent="0.25">
      <c r="C530" t="str">
        <f>IF(COUNTBLANK(E530:J530) = 6,"",IF(AND(NOT(ISBLANK(E530)),COUNTBLANK(E530:J530) = 5),"3 Delete",IF(ISBLANK(E530),"2 Add",IF(SHA1Range(E530:J530) = "afdf3dc99842cffe8b864b591d382cff139263bd","0 Original","1 Modify"))))</f>
        <v>0 Original</v>
      </c>
      <c r="D530" s="5" t="s">
        <v>1489</v>
      </c>
      <c r="E530" s="3">
        <v>454</v>
      </c>
      <c r="F530" s="13">
        <v>41946</v>
      </c>
      <c r="G530" t="s">
        <v>281</v>
      </c>
      <c r="H530" s="9">
        <v>5.99</v>
      </c>
      <c r="I530" s="5" t="s">
        <v>68</v>
      </c>
      <c r="J530" s="15">
        <v>41946.359756944446</v>
      </c>
      <c r="K530" t="str">
        <f t="shared" si="8"/>
        <v>11-2014</v>
      </c>
    </row>
    <row r="531" spans="3:11" x14ac:dyDescent="0.25">
      <c r="C531" t="str">
        <f>IF(COUNTBLANK(E531:J531) = 6,"",IF(AND(NOT(ISBLANK(E531)),COUNTBLANK(E531:J531) = 5),"3 Delete",IF(ISBLANK(E531),"2 Add",IF(SHA1Range(E531:J531) = "077c2d9cddce0f6bd08c34728e45de81c93c12c8","0 Original","1 Modify"))))</f>
        <v>0 Original</v>
      </c>
      <c r="D531" s="5" t="s">
        <v>1490</v>
      </c>
      <c r="E531" s="3">
        <v>266</v>
      </c>
      <c r="F531" s="13">
        <v>41946</v>
      </c>
      <c r="G531" t="s">
        <v>360</v>
      </c>
      <c r="H531" s="9">
        <v>11.98</v>
      </c>
      <c r="I531" s="5" t="s">
        <v>68</v>
      </c>
      <c r="J531" s="15">
        <v>41946.658553240741</v>
      </c>
      <c r="K531" t="str">
        <f t="shared" si="8"/>
        <v>11-2014</v>
      </c>
    </row>
    <row r="532" spans="3:11" x14ac:dyDescent="0.25">
      <c r="C532" t="str">
        <f>IF(COUNTBLANK(E532:J532) = 6,"",IF(AND(NOT(ISBLANK(E532)),COUNTBLANK(E532:J532) = 5),"3 Delete",IF(ISBLANK(E532),"2 Add",IF(SHA1Range(E532:J532) = "7d984a11d63773821fd3d5385c4864e39cebefa6","0 Original","1 Modify"))))</f>
        <v>0 Original</v>
      </c>
      <c r="D532" s="5" t="s">
        <v>1491</v>
      </c>
      <c r="E532" s="3">
        <v>228</v>
      </c>
      <c r="F532" s="13">
        <v>41946</v>
      </c>
      <c r="G532" t="s">
        <v>233</v>
      </c>
      <c r="H532" s="9">
        <v>37.950000000000003</v>
      </c>
      <c r="I532" s="5" t="s">
        <v>68</v>
      </c>
      <c r="J532" s="15">
        <v>41946.809363425928</v>
      </c>
      <c r="K532" t="str">
        <f t="shared" si="8"/>
        <v>11-2014</v>
      </c>
    </row>
    <row r="533" spans="3:11" x14ac:dyDescent="0.25">
      <c r="C533" t="str">
        <f>IF(COUNTBLANK(E533:J533) = 6,"",IF(AND(NOT(ISBLANK(E533)),COUNTBLANK(E533:J533) = 5),"3 Delete",IF(ISBLANK(E533),"2 Add",IF(SHA1Range(E533:J533) = "f57b151b4ecafb143841c28f716e078e39996927","0 Original","1 Modify"))))</f>
        <v>0 Original</v>
      </c>
      <c r="D533" s="5" t="s">
        <v>1492</v>
      </c>
      <c r="E533" s="3">
        <v>1012</v>
      </c>
      <c r="F533" s="13">
        <v>41947</v>
      </c>
      <c r="G533" t="s">
        <v>260</v>
      </c>
      <c r="H533" s="9">
        <v>82.89</v>
      </c>
      <c r="I533" s="5" t="s">
        <v>68</v>
      </c>
      <c r="J533" s="15">
        <v>41947.760844907411</v>
      </c>
      <c r="K533" t="str">
        <f t="shared" si="8"/>
        <v>11-2014</v>
      </c>
    </row>
    <row r="534" spans="3:11" x14ac:dyDescent="0.25">
      <c r="C534" t="str">
        <f>IF(COUNTBLANK(E534:J534) = 6,"",IF(AND(NOT(ISBLANK(E534)),COUNTBLANK(E534:J534) = 5),"3 Delete",IF(ISBLANK(E534),"2 Add",IF(SHA1Range(E534:J534) = "afb353f2bc8c78dbcedff64789eb04caa93ea167","0 Original","1 Modify"))))</f>
        <v>0 Original</v>
      </c>
      <c r="D534" s="5" t="s">
        <v>1493</v>
      </c>
      <c r="E534" s="3">
        <v>222</v>
      </c>
      <c r="F534" s="13">
        <v>41948</v>
      </c>
      <c r="G534" t="s">
        <v>302</v>
      </c>
      <c r="H534" s="9">
        <v>32.96</v>
      </c>
      <c r="I534" s="5" t="s">
        <v>68</v>
      </c>
      <c r="J534" s="15">
        <v>41948.432569444441</v>
      </c>
      <c r="K534" t="str">
        <f t="shared" si="8"/>
        <v>11-2014</v>
      </c>
    </row>
    <row r="535" spans="3:11" x14ac:dyDescent="0.25">
      <c r="C535" t="str">
        <f>IF(COUNTBLANK(E535:J535) = 6,"",IF(AND(NOT(ISBLANK(E535)),COUNTBLANK(E535:J535) = 5),"3 Delete",IF(ISBLANK(E535),"2 Add",IF(SHA1Range(E535:J535) = "828afc473739ba133041e80dbeec8fa910bd03ae","0 Original","1 Modify"))))</f>
        <v>0 Original</v>
      </c>
      <c r="D535" s="5" t="s">
        <v>1494</v>
      </c>
      <c r="E535" s="3">
        <v>145</v>
      </c>
      <c r="F535" s="13">
        <v>41948</v>
      </c>
      <c r="G535" t="s">
        <v>320</v>
      </c>
      <c r="H535" s="9">
        <v>7.99</v>
      </c>
      <c r="I535" s="5" t="s">
        <v>68</v>
      </c>
      <c r="J535" s="15">
        <v>41948.510405092595</v>
      </c>
      <c r="K535" t="str">
        <f t="shared" si="8"/>
        <v>11-2014</v>
      </c>
    </row>
    <row r="536" spans="3:11" x14ac:dyDescent="0.25">
      <c r="C536" t="str">
        <f>IF(COUNTBLANK(E536:J536) = 6,"",IF(AND(NOT(ISBLANK(E536)),COUNTBLANK(E536:J536) = 5),"3 Delete",IF(ISBLANK(E536),"2 Add",IF(SHA1Range(E536:J536) = "f5fc952d4c419f38d2e478d918bf3baf11ad7b91","0 Original","1 Modify"))))</f>
        <v>0 Original</v>
      </c>
      <c r="D536" s="5" t="s">
        <v>1495</v>
      </c>
      <c r="E536" s="3">
        <v>914</v>
      </c>
      <c r="F536" s="13">
        <v>41948</v>
      </c>
      <c r="G536" t="s">
        <v>272</v>
      </c>
      <c r="H536" s="9">
        <v>34.950000000000003</v>
      </c>
      <c r="I536" s="5" t="s">
        <v>68</v>
      </c>
      <c r="J536" s="15">
        <v>41948.811724537038</v>
      </c>
      <c r="K536" t="str">
        <f t="shared" si="8"/>
        <v>11-2014</v>
      </c>
    </row>
    <row r="537" spans="3:11" x14ac:dyDescent="0.25">
      <c r="C537" t="str">
        <f>IF(COUNTBLANK(E537:J537) = 6,"",IF(AND(NOT(ISBLANK(E537)),COUNTBLANK(E537:J537) = 5),"3 Delete",IF(ISBLANK(E537),"2 Add",IF(SHA1Range(E537:J537) = "d0ce637e772e6d038a0052e3dcfc18ac69c12fc2","0 Original","1 Modify"))))</f>
        <v>0 Original</v>
      </c>
      <c r="D537" s="5" t="s">
        <v>1496</v>
      </c>
      <c r="E537" s="3">
        <v>689</v>
      </c>
      <c r="F537" s="13">
        <v>41949</v>
      </c>
      <c r="G537" t="s">
        <v>354</v>
      </c>
      <c r="H537" s="9">
        <v>24.97</v>
      </c>
      <c r="I537" s="5" t="s">
        <v>68</v>
      </c>
      <c r="J537" s="15">
        <v>41949.669340277775</v>
      </c>
      <c r="K537" t="str">
        <f t="shared" si="8"/>
        <v>11-2014</v>
      </c>
    </row>
    <row r="538" spans="3:11" x14ac:dyDescent="0.25">
      <c r="C538" t="str">
        <f>IF(COUNTBLANK(E538:J538) = 6,"",IF(AND(NOT(ISBLANK(E538)),COUNTBLANK(E538:J538) = 5),"3 Delete",IF(ISBLANK(E538),"2 Add",IF(SHA1Range(E538:J538) = "1891bc114f89b6384e84c5f5d6e4c3aa69963367","0 Original","1 Modify"))))</f>
        <v>0 Original</v>
      </c>
      <c r="D538" s="5" t="s">
        <v>1497</v>
      </c>
      <c r="E538" s="3">
        <v>528</v>
      </c>
      <c r="F538" s="13">
        <v>41949</v>
      </c>
      <c r="G538" t="s">
        <v>360</v>
      </c>
      <c r="H538" s="9">
        <v>31.96</v>
      </c>
      <c r="I538" s="5" t="s">
        <v>68</v>
      </c>
      <c r="J538" s="15">
        <v>41949.847175925926</v>
      </c>
      <c r="K538" t="str">
        <f t="shared" si="8"/>
        <v>11-2014</v>
      </c>
    </row>
    <row r="539" spans="3:11" x14ac:dyDescent="0.25">
      <c r="C539" t="str">
        <f>IF(COUNTBLANK(E539:J539) = 6,"",IF(AND(NOT(ISBLANK(E539)),COUNTBLANK(E539:J539) = 5),"3 Delete",IF(ISBLANK(E539),"2 Add",IF(SHA1Range(E539:J539) = "c4d6072e91222ac87768a880d88ee7014d4e199d","0 Original","1 Modify"))))</f>
        <v>0 Original</v>
      </c>
      <c r="D539" s="5" t="s">
        <v>1498</v>
      </c>
      <c r="E539" s="3">
        <v>1037</v>
      </c>
      <c r="F539" s="13">
        <v>41950</v>
      </c>
      <c r="G539" t="s">
        <v>326</v>
      </c>
      <c r="H539" s="9">
        <v>23.97</v>
      </c>
      <c r="I539" s="5" t="s">
        <v>68</v>
      </c>
      <c r="J539" s="15">
        <v>41950.126493055555</v>
      </c>
      <c r="K539" t="str">
        <f t="shared" si="8"/>
        <v>11-2014</v>
      </c>
    </row>
    <row r="540" spans="3:11" x14ac:dyDescent="0.25">
      <c r="C540" t="str">
        <f>IF(COUNTBLANK(E540:J540) = 6,"",IF(AND(NOT(ISBLANK(E540)),COUNTBLANK(E540:J540) = 5),"3 Delete",IF(ISBLANK(E540),"2 Add",IF(SHA1Range(E540:J540) = "a5cf723fcc749fdf792b516ec7ec1c8c349438f1","0 Original","1 Modify"))))</f>
        <v>0 Original</v>
      </c>
      <c r="D540" s="5" t="s">
        <v>1499</v>
      </c>
      <c r="E540" s="3">
        <v>543</v>
      </c>
      <c r="F540" s="13">
        <v>41950</v>
      </c>
      <c r="G540" t="s">
        <v>119</v>
      </c>
      <c r="H540" s="9">
        <v>35.96</v>
      </c>
      <c r="I540" s="5" t="s">
        <v>68</v>
      </c>
      <c r="J540" s="15">
        <v>41950.369027777779</v>
      </c>
      <c r="K540" t="str">
        <f t="shared" si="8"/>
        <v>11-2014</v>
      </c>
    </row>
    <row r="541" spans="3:11" x14ac:dyDescent="0.25">
      <c r="C541" t="str">
        <f>IF(COUNTBLANK(E541:J541) = 6,"",IF(AND(NOT(ISBLANK(E541)),COUNTBLANK(E541:J541) = 5),"3 Delete",IF(ISBLANK(E541),"2 Add",IF(SHA1Range(E541:J541) = "8b6ba7bc3f79b62bf3d2bf381119747db635b7ec","0 Original","1 Modify"))))</f>
        <v>0 Original</v>
      </c>
      <c r="D541" s="5" t="s">
        <v>1500</v>
      </c>
      <c r="E541" s="3">
        <v>996</v>
      </c>
      <c r="F541" s="13">
        <v>41951</v>
      </c>
      <c r="G541" t="s">
        <v>260</v>
      </c>
      <c r="H541" s="9">
        <v>39.950000000000003</v>
      </c>
      <c r="I541" s="5" t="s">
        <v>68</v>
      </c>
      <c r="J541" s="15">
        <v>41951.300416666665</v>
      </c>
      <c r="K541" t="str">
        <f t="shared" si="8"/>
        <v>11-2014</v>
      </c>
    </row>
    <row r="542" spans="3:11" x14ac:dyDescent="0.25">
      <c r="C542" t="str">
        <f>IF(COUNTBLANK(E542:J542) = 6,"",IF(AND(NOT(ISBLANK(E542)),COUNTBLANK(E542:J542) = 5),"3 Delete",IF(ISBLANK(E542),"2 Add",IF(SHA1Range(E542:J542) = "5a349c8e4a9cfeb933f879b6fac2b500ebd9b3c0","0 Original","1 Modify"))))</f>
        <v>0 Original</v>
      </c>
      <c r="D542" s="5" t="s">
        <v>1501</v>
      </c>
      <c r="E542" s="3">
        <v>951</v>
      </c>
      <c r="F542" s="13">
        <v>41953</v>
      </c>
      <c r="G542" t="s">
        <v>242</v>
      </c>
      <c r="H542" s="9">
        <v>56.93</v>
      </c>
      <c r="I542" s="5" t="s">
        <v>68</v>
      </c>
      <c r="J542" s="15">
        <v>41953.866296296299</v>
      </c>
      <c r="K542" t="str">
        <f t="shared" si="8"/>
        <v>11-2014</v>
      </c>
    </row>
    <row r="543" spans="3:11" x14ac:dyDescent="0.25">
      <c r="C543" t="str">
        <f>IF(COUNTBLANK(E543:J543) = 6,"",IF(AND(NOT(ISBLANK(E543)),COUNTBLANK(E543:J543) = 5),"3 Delete",IF(ISBLANK(E543),"2 Add",IF(SHA1Range(E543:J543) = "fbfdc72a509dde1d394a8736624af936618c8284","0 Original","1 Modify"))))</f>
        <v>0 Original</v>
      </c>
      <c r="D543" s="5" t="s">
        <v>1502</v>
      </c>
      <c r="E543" s="3">
        <v>42</v>
      </c>
      <c r="F543" s="13">
        <v>41954</v>
      </c>
      <c r="G543" t="s">
        <v>332</v>
      </c>
      <c r="H543" s="9">
        <v>53.94</v>
      </c>
      <c r="I543" s="5" t="s">
        <v>68</v>
      </c>
      <c r="J543" s="15">
        <v>41954.814131944448</v>
      </c>
      <c r="K543" t="str">
        <f t="shared" si="8"/>
        <v>11-2014</v>
      </c>
    </row>
    <row r="544" spans="3:11" x14ac:dyDescent="0.25">
      <c r="C544" t="str">
        <f>IF(COUNTBLANK(E544:J544) = 6,"",IF(AND(NOT(ISBLANK(E544)),COUNTBLANK(E544:J544) = 5),"3 Delete",IF(ISBLANK(E544),"2 Add",IF(SHA1Range(E544:J544) = "1aae8baff94e018b5128e094823c55008d772c75","0 Original","1 Modify"))))</f>
        <v>0 Original</v>
      </c>
      <c r="D544" s="5" t="s">
        <v>1503</v>
      </c>
      <c r="E544" s="3">
        <v>474</v>
      </c>
      <c r="F544" s="13">
        <v>41957</v>
      </c>
      <c r="G544" t="s">
        <v>320</v>
      </c>
      <c r="H544" s="9">
        <v>31.94</v>
      </c>
      <c r="I544" s="5" t="s">
        <v>68</v>
      </c>
      <c r="J544" s="15">
        <v>41957.530231481483</v>
      </c>
      <c r="K544" t="str">
        <f t="shared" si="8"/>
        <v>11-2014</v>
      </c>
    </row>
    <row r="545" spans="3:11" x14ac:dyDescent="0.25">
      <c r="C545" t="str">
        <f>IF(COUNTBLANK(E545:J545) = 6,"",IF(AND(NOT(ISBLANK(E545)),COUNTBLANK(E545:J545) = 5),"3 Delete",IF(ISBLANK(E545),"2 Add",IF(SHA1Range(E545:J545) = "884cf71391d02626b56cdcf69843989f7ee58a03","0 Original","1 Modify"))))</f>
        <v>0 Original</v>
      </c>
      <c r="D545" s="5" t="s">
        <v>1504</v>
      </c>
      <c r="E545" s="3">
        <v>671</v>
      </c>
      <c r="F545" s="13">
        <v>41959</v>
      </c>
      <c r="G545" t="s">
        <v>152</v>
      </c>
      <c r="H545" s="9">
        <v>43.94</v>
      </c>
      <c r="I545" s="5" t="s">
        <v>68</v>
      </c>
      <c r="J545" s="15">
        <v>41959.464814814812</v>
      </c>
      <c r="K545" t="str">
        <f t="shared" si="8"/>
        <v>11-2014</v>
      </c>
    </row>
    <row r="546" spans="3:11" x14ac:dyDescent="0.25">
      <c r="C546" t="str">
        <f>IF(COUNTBLANK(E546:J546) = 6,"",IF(AND(NOT(ISBLANK(E546)),COUNTBLANK(E546:J546) = 5),"3 Delete",IF(ISBLANK(E546),"2 Add",IF(SHA1Range(E546:J546) = "637a183da4961397b8aec848fbc241b5b3a8400d","0 Original","1 Modify"))))</f>
        <v>0 Original</v>
      </c>
      <c r="D546" s="5" t="s">
        <v>1505</v>
      </c>
      <c r="E546" s="3">
        <v>974</v>
      </c>
      <c r="F546" s="13">
        <v>41959</v>
      </c>
      <c r="G546" t="s">
        <v>245</v>
      </c>
      <c r="H546" s="9">
        <v>36.950000000000003</v>
      </c>
      <c r="I546" s="5" t="s">
        <v>68</v>
      </c>
      <c r="J546" s="15">
        <v>41959.53466435185</v>
      </c>
      <c r="K546" t="str">
        <f t="shared" si="8"/>
        <v>11-2014</v>
      </c>
    </row>
    <row r="547" spans="3:11" x14ac:dyDescent="0.25">
      <c r="C547" t="str">
        <f>IF(COUNTBLANK(E547:J547) = 6,"",IF(AND(NOT(ISBLANK(E547)),COUNTBLANK(E547:J547) = 5),"3 Delete",IF(ISBLANK(E547),"2 Add",IF(SHA1Range(E547:J547) = "1a1bf6e08c2db4a839927e591a37863ad7fee014","0 Original","1 Modify"))))</f>
        <v>0 Original</v>
      </c>
      <c r="D547" s="5" t="s">
        <v>1506</v>
      </c>
      <c r="E547" s="3">
        <v>1148</v>
      </c>
      <c r="F547" s="13">
        <v>41959</v>
      </c>
      <c r="G547" t="s">
        <v>260</v>
      </c>
      <c r="H547" s="9">
        <v>21.97</v>
      </c>
      <c r="I547" s="5" t="s">
        <v>68</v>
      </c>
      <c r="J547" s="15">
        <v>41959.704791666663</v>
      </c>
      <c r="K547" t="str">
        <f t="shared" si="8"/>
        <v>11-2014</v>
      </c>
    </row>
    <row r="548" spans="3:11" x14ac:dyDescent="0.25">
      <c r="C548" t="str">
        <f>IF(COUNTBLANK(E548:J548) = 6,"",IF(AND(NOT(ISBLANK(E548)),COUNTBLANK(E548:J548) = 5),"3 Delete",IF(ISBLANK(E548),"2 Add",IF(SHA1Range(E548:J548) = "270a74830de95168cc2e6997cd0f0c2d1817e623","0 Original","1 Modify"))))</f>
        <v>0 Original</v>
      </c>
      <c r="D548" s="5" t="s">
        <v>1507</v>
      </c>
      <c r="E548" s="3">
        <v>83</v>
      </c>
      <c r="F548" s="13">
        <v>41959</v>
      </c>
      <c r="G548" t="s">
        <v>341</v>
      </c>
      <c r="H548" s="9">
        <v>50.93</v>
      </c>
      <c r="I548" s="5" t="s">
        <v>68</v>
      </c>
      <c r="J548" s="15">
        <v>41959.712858796294</v>
      </c>
      <c r="K548" t="str">
        <f t="shared" si="8"/>
        <v>11-2014</v>
      </c>
    </row>
    <row r="549" spans="3:11" x14ac:dyDescent="0.25">
      <c r="C549" t="str">
        <f>IF(COUNTBLANK(E549:J549) = 6,"",IF(AND(NOT(ISBLANK(E549)),COUNTBLANK(E549:J549) = 5),"3 Delete",IF(ISBLANK(E549),"2 Add",IF(SHA1Range(E549:J549) = "cea8fa44e0b7fa4e835c21450d2a13e235299a71","0 Original","1 Modify"))))</f>
        <v>0 Original</v>
      </c>
      <c r="D549" s="5" t="s">
        <v>1508</v>
      </c>
      <c r="E549" s="3">
        <v>525</v>
      </c>
      <c r="F549" s="13">
        <v>41959</v>
      </c>
      <c r="G549" t="s">
        <v>245</v>
      </c>
      <c r="H549" s="9">
        <v>28.97</v>
      </c>
      <c r="I549" s="5" t="s">
        <v>68</v>
      </c>
      <c r="J549" s="15">
        <v>41959.827326388891</v>
      </c>
      <c r="K549" t="str">
        <f t="shared" si="8"/>
        <v>11-2014</v>
      </c>
    </row>
    <row r="550" spans="3:11" x14ac:dyDescent="0.25">
      <c r="C550" t="str">
        <f>IF(COUNTBLANK(E550:J550) = 6,"",IF(AND(NOT(ISBLANK(E550)),COUNTBLANK(E550:J550) = 5),"3 Delete",IF(ISBLANK(E550),"2 Add",IF(SHA1Range(E550:J550) = "0f584b31a3993139fbd459d3a50372173274775c","0 Original","1 Modify"))))</f>
        <v>0 Original</v>
      </c>
      <c r="D550" s="5" t="s">
        <v>1509</v>
      </c>
      <c r="E550" s="3">
        <v>442</v>
      </c>
      <c r="F550" s="13">
        <v>41959</v>
      </c>
      <c r="G550" t="s">
        <v>275</v>
      </c>
      <c r="H550" s="9">
        <v>19.98</v>
      </c>
      <c r="I550" s="5" t="s">
        <v>68</v>
      </c>
      <c r="J550" s="15">
        <v>41959.845682870371</v>
      </c>
      <c r="K550" t="str">
        <f t="shared" si="8"/>
        <v>11-2014</v>
      </c>
    </row>
    <row r="551" spans="3:11" x14ac:dyDescent="0.25">
      <c r="C551" t="str">
        <f>IF(COUNTBLANK(E551:J551) = 6,"",IF(AND(NOT(ISBLANK(E551)),COUNTBLANK(E551:J551) = 5),"3 Delete",IF(ISBLANK(E551),"2 Add",IF(SHA1Range(E551:J551) = "bc72017e8260c5c60f9d972a4275fbcf4c81a333","0 Original","1 Modify"))))</f>
        <v>0 Original</v>
      </c>
      <c r="D551" s="5" t="s">
        <v>1510</v>
      </c>
      <c r="E551" s="3">
        <v>837</v>
      </c>
      <c r="F551" s="13">
        <v>41961</v>
      </c>
      <c r="G551" t="s">
        <v>260</v>
      </c>
      <c r="H551" s="9">
        <v>58.93</v>
      </c>
      <c r="I551" s="5" t="s">
        <v>68</v>
      </c>
      <c r="J551" s="15">
        <v>41961.138090277775</v>
      </c>
      <c r="K551" t="str">
        <f t="shared" si="8"/>
        <v>11-2014</v>
      </c>
    </row>
    <row r="552" spans="3:11" x14ac:dyDescent="0.25">
      <c r="C552" t="str">
        <f>IF(COUNTBLANK(E552:J552) = 6,"",IF(AND(NOT(ISBLANK(E552)),COUNTBLANK(E552:J552) = 5),"3 Delete",IF(ISBLANK(E552),"2 Add",IF(SHA1Range(E552:J552) = "31de1f041ed155e9f8c03b8125ccfeeb59b44989","0 Original","1 Modify"))))</f>
        <v>0 Original</v>
      </c>
      <c r="D552" s="5" t="s">
        <v>1511</v>
      </c>
      <c r="E552" s="3">
        <v>639</v>
      </c>
      <c r="F552" s="13">
        <v>41961</v>
      </c>
      <c r="G552" t="s">
        <v>119</v>
      </c>
      <c r="H552" s="9">
        <v>11.98</v>
      </c>
      <c r="I552" s="5" t="s">
        <v>68</v>
      </c>
      <c r="J552" s="15">
        <v>41961.561412037037</v>
      </c>
      <c r="K552" t="str">
        <f t="shared" si="8"/>
        <v>11-2014</v>
      </c>
    </row>
    <row r="553" spans="3:11" x14ac:dyDescent="0.25">
      <c r="C553" t="str">
        <f>IF(COUNTBLANK(E553:J553) = 6,"",IF(AND(NOT(ISBLANK(E553)),COUNTBLANK(E553:J553) = 5),"3 Delete",IF(ISBLANK(E553),"2 Add",IF(SHA1Range(E553:J553) = "36f92855095184ace53deaf9b0e691b38b86e357","0 Original","1 Modify"))))</f>
        <v>0 Original</v>
      </c>
      <c r="D553" s="5" t="s">
        <v>1512</v>
      </c>
      <c r="E553" s="3">
        <v>704</v>
      </c>
      <c r="F553" s="13">
        <v>41962</v>
      </c>
      <c r="G553" t="s">
        <v>272</v>
      </c>
      <c r="H553" s="9">
        <v>74.91</v>
      </c>
      <c r="I553" s="5" t="s">
        <v>68</v>
      </c>
      <c r="J553" s="15">
        <v>41962.672754629632</v>
      </c>
      <c r="K553" t="str">
        <f t="shared" si="8"/>
        <v>11-2014</v>
      </c>
    </row>
    <row r="554" spans="3:11" x14ac:dyDescent="0.25">
      <c r="C554" t="str">
        <f>IF(COUNTBLANK(E554:J554) = 6,"",IF(AND(NOT(ISBLANK(E554)),COUNTBLANK(E554:J554) = 5),"3 Delete",IF(ISBLANK(E554),"2 Add",IF(SHA1Range(E554:J554) = "08aeb38eda87899777de6c2ad84f261bd792c6db","0 Original","1 Modify"))))</f>
        <v>0 Original</v>
      </c>
      <c r="D554" s="5" t="s">
        <v>1513</v>
      </c>
      <c r="E554" s="3">
        <v>766</v>
      </c>
      <c r="F554" s="13">
        <v>41962</v>
      </c>
      <c r="G554" t="s">
        <v>134</v>
      </c>
      <c r="H554" s="9">
        <v>15.98</v>
      </c>
      <c r="I554" s="5" t="s">
        <v>68</v>
      </c>
      <c r="J554" s="15">
        <v>41962.857893518521</v>
      </c>
      <c r="K554" t="str">
        <f t="shared" si="8"/>
        <v>11-2014</v>
      </c>
    </row>
    <row r="555" spans="3:11" x14ac:dyDescent="0.25">
      <c r="C555" t="str">
        <f>IF(COUNTBLANK(E555:J555) = 6,"",IF(AND(NOT(ISBLANK(E555)),COUNTBLANK(E555:J555) = 5),"3 Delete",IF(ISBLANK(E555),"2 Add",IF(SHA1Range(E555:J555) = "878b239e8cebb00c659d123ac0c2b8258c80ba79","0 Original","1 Modify"))))</f>
        <v>0 Original</v>
      </c>
      <c r="D555" s="5" t="s">
        <v>1514</v>
      </c>
      <c r="E555" s="3">
        <v>1096</v>
      </c>
      <c r="F555" s="13">
        <v>41962</v>
      </c>
      <c r="G555" t="s">
        <v>221</v>
      </c>
      <c r="H555" s="9">
        <v>17.98</v>
      </c>
      <c r="I555" s="5" t="s">
        <v>68</v>
      </c>
      <c r="J555" s="15">
        <v>41962.962245370371</v>
      </c>
      <c r="K555" t="str">
        <f t="shared" si="8"/>
        <v>11-2014</v>
      </c>
    </row>
    <row r="556" spans="3:11" x14ac:dyDescent="0.25">
      <c r="C556" t="str">
        <f>IF(COUNTBLANK(E556:J556) = 6,"",IF(AND(NOT(ISBLANK(E556)),COUNTBLANK(E556:J556) = 5),"3 Delete",IF(ISBLANK(E556),"2 Add",IF(SHA1Range(E556:J556) = "86c6565887f46d07a575a6134fa1a00ab513e774","0 Original","1 Modify"))))</f>
        <v>0 Original</v>
      </c>
      <c r="D556" s="5" t="s">
        <v>1515</v>
      </c>
      <c r="E556" s="3">
        <v>1168</v>
      </c>
      <c r="F556" s="13">
        <v>41964</v>
      </c>
      <c r="G556" t="s">
        <v>326</v>
      </c>
      <c r="H556" s="9">
        <v>62.91</v>
      </c>
      <c r="I556" s="5" t="s">
        <v>68</v>
      </c>
      <c r="J556" s="15">
        <v>41964.428148148145</v>
      </c>
      <c r="K556" t="str">
        <f t="shared" si="8"/>
        <v>11-2014</v>
      </c>
    </row>
    <row r="557" spans="3:11" x14ac:dyDescent="0.25">
      <c r="C557" t="str">
        <f>IF(COUNTBLANK(E557:J557) = 6,"",IF(AND(NOT(ISBLANK(E557)),COUNTBLANK(E557:J557) = 5),"3 Delete",IF(ISBLANK(E557),"2 Add",IF(SHA1Range(E557:J557) = "ba9f34e926a0443ee6734fb87ff7e93110e9ef82","0 Original","1 Modify"))))</f>
        <v>0 Original</v>
      </c>
      <c r="D557" s="5" t="s">
        <v>1516</v>
      </c>
      <c r="E557" s="3">
        <v>53</v>
      </c>
      <c r="F557" s="13">
        <v>41965</v>
      </c>
      <c r="G557" t="s">
        <v>98</v>
      </c>
      <c r="H557" s="9">
        <v>20.96</v>
      </c>
      <c r="I557" s="5" t="s">
        <v>68</v>
      </c>
      <c r="J557" s="15">
        <v>41965.52002314815</v>
      </c>
      <c r="K557" t="str">
        <f t="shared" si="8"/>
        <v>11-2014</v>
      </c>
    </row>
    <row r="558" spans="3:11" x14ac:dyDescent="0.25">
      <c r="C558" t="str">
        <f>IF(COUNTBLANK(E558:J558) = 6,"",IF(AND(NOT(ISBLANK(E558)),COUNTBLANK(E558:J558) = 5),"3 Delete",IF(ISBLANK(E558),"2 Add",IF(SHA1Range(E558:J558) = "b584de5ebdef4585391d69932caa2a9c84b9ec18","0 Original","1 Modify"))))</f>
        <v>0 Original</v>
      </c>
      <c r="D558" s="5" t="s">
        <v>1517</v>
      </c>
      <c r="E558" s="3">
        <v>718</v>
      </c>
      <c r="F558" s="13">
        <v>41968</v>
      </c>
      <c r="G558" t="s">
        <v>134</v>
      </c>
      <c r="H558" s="9">
        <v>48.93</v>
      </c>
      <c r="I558" s="5" t="s">
        <v>68</v>
      </c>
      <c r="J558" s="15">
        <v>41968.780231481483</v>
      </c>
      <c r="K558" t="str">
        <f t="shared" si="8"/>
        <v>11-2014</v>
      </c>
    </row>
    <row r="559" spans="3:11" x14ac:dyDescent="0.25">
      <c r="C559" t="str">
        <f>IF(COUNTBLANK(E559:J559) = 6,"",IF(AND(NOT(ISBLANK(E559)),COUNTBLANK(E559:J559) = 5),"3 Delete",IF(ISBLANK(E559),"2 Add",IF(SHA1Range(E559:J559) = "453843dbca0c409061c2b1572088e65a03407960","0 Original","1 Modify"))))</f>
        <v>0 Original</v>
      </c>
      <c r="D559" s="5" t="s">
        <v>1518</v>
      </c>
      <c r="E559" s="3">
        <v>577</v>
      </c>
      <c r="F559" s="13">
        <v>41968</v>
      </c>
      <c r="G559" t="s">
        <v>293</v>
      </c>
      <c r="H559" s="9">
        <v>25.97</v>
      </c>
      <c r="I559" s="5" t="s">
        <v>68</v>
      </c>
      <c r="J559" s="15">
        <v>41968.789560185185</v>
      </c>
      <c r="K559" t="str">
        <f t="shared" si="8"/>
        <v>11-2014</v>
      </c>
    </row>
    <row r="560" spans="3:11" x14ac:dyDescent="0.25">
      <c r="C560" t="str">
        <f>IF(COUNTBLANK(E560:J560) = 6,"",IF(AND(NOT(ISBLANK(E560)),COUNTBLANK(E560:J560) = 5),"3 Delete",IF(ISBLANK(E560),"2 Add",IF(SHA1Range(E560:J560) = "aec043a08653000755dcc24c2889f27b813da049","0 Original","1 Modify"))))</f>
        <v>0 Original</v>
      </c>
      <c r="D560" s="5" t="s">
        <v>1519</v>
      </c>
      <c r="E560" s="3">
        <v>1179</v>
      </c>
      <c r="F560" s="13">
        <v>41968</v>
      </c>
      <c r="G560" t="s">
        <v>326</v>
      </c>
      <c r="H560" s="9">
        <v>29.95</v>
      </c>
      <c r="I560" s="5" t="s">
        <v>68</v>
      </c>
      <c r="J560" s="15">
        <v>41968.985810185186</v>
      </c>
      <c r="K560" t="str">
        <f t="shared" si="8"/>
        <v>11-2014</v>
      </c>
    </row>
    <row r="561" spans="3:11" x14ac:dyDescent="0.25">
      <c r="C561" t="str">
        <f>IF(COUNTBLANK(E561:J561) = 6,"",IF(AND(NOT(ISBLANK(E561)),COUNTBLANK(E561:J561) = 5),"3 Delete",IF(ISBLANK(E561),"2 Add",IF(SHA1Range(E561:J561) = "f5e9220fe284ba73177c0968d4b381f0360aa3f6","0 Original","1 Modify"))))</f>
        <v>0 Original</v>
      </c>
      <c r="D561" s="5" t="s">
        <v>1520</v>
      </c>
      <c r="E561" s="3">
        <v>1156</v>
      </c>
      <c r="F561" s="13">
        <v>41970</v>
      </c>
      <c r="G561" t="s">
        <v>245</v>
      </c>
      <c r="H561" s="9">
        <v>14.98</v>
      </c>
      <c r="I561" s="5" t="s">
        <v>68</v>
      </c>
      <c r="J561" s="15">
        <v>41970.303773148145</v>
      </c>
      <c r="K561" t="str">
        <f t="shared" si="8"/>
        <v>11-2014</v>
      </c>
    </row>
    <row r="562" spans="3:11" x14ac:dyDescent="0.25">
      <c r="C562" t="str">
        <f>IF(COUNTBLANK(E562:J562) = 6,"",IF(AND(NOT(ISBLANK(E562)),COUNTBLANK(E562:J562) = 5),"3 Delete",IF(ISBLANK(E562),"2 Add",IF(SHA1Range(E562:J562) = "f686f94c9b834d094221838d3db68725827382c7","0 Original","1 Modify"))))</f>
        <v>0 Original</v>
      </c>
      <c r="D562" s="5" t="s">
        <v>1521</v>
      </c>
      <c r="E562" s="3">
        <v>1120</v>
      </c>
      <c r="F562" s="13">
        <v>41971</v>
      </c>
      <c r="G562" t="s">
        <v>170</v>
      </c>
      <c r="H562" s="9">
        <v>17.97</v>
      </c>
      <c r="I562" s="5" t="s">
        <v>68</v>
      </c>
      <c r="J562" s="15">
        <v>41971.272291666668</v>
      </c>
      <c r="K562" t="str">
        <f t="shared" si="8"/>
        <v>11-2014</v>
      </c>
    </row>
    <row r="563" spans="3:11" x14ac:dyDescent="0.25">
      <c r="C563" t="str">
        <f>IF(COUNTBLANK(E563:J563) = 6,"",IF(AND(NOT(ISBLANK(E563)),COUNTBLANK(E563:J563) = 5),"3 Delete",IF(ISBLANK(E563),"2 Add",IF(SHA1Range(E563:J563) = "4d274c05cd9c56a0c5ce6d6a371470ad285ebe93","0 Original","1 Modify"))))</f>
        <v>0 Original</v>
      </c>
      <c r="D563" s="5" t="s">
        <v>1522</v>
      </c>
      <c r="E563" s="3">
        <v>97</v>
      </c>
      <c r="F563" s="13">
        <v>41971</v>
      </c>
      <c r="G563" t="s">
        <v>197</v>
      </c>
      <c r="H563" s="9">
        <v>10.98</v>
      </c>
      <c r="I563" s="5" t="s">
        <v>68</v>
      </c>
      <c r="J563" s="15">
        <v>41971.434305555558</v>
      </c>
      <c r="K563" t="str">
        <f t="shared" si="8"/>
        <v>11-2014</v>
      </c>
    </row>
    <row r="564" spans="3:11" x14ac:dyDescent="0.25">
      <c r="C564" t="str">
        <f>IF(COUNTBLANK(E564:J564) = 6,"",IF(AND(NOT(ISBLANK(E564)),COUNTBLANK(E564:J564) = 5),"3 Delete",IF(ISBLANK(E564),"2 Add",IF(SHA1Range(E564:J564) = "175df6719eb6865890b5b6761778d649fa667251","0 Original","1 Modify"))))</f>
        <v>0 Original</v>
      </c>
      <c r="D564" s="5" t="s">
        <v>1523</v>
      </c>
      <c r="E564" s="3">
        <v>233</v>
      </c>
      <c r="F564" s="13">
        <v>41973</v>
      </c>
      <c r="G564" t="s">
        <v>233</v>
      </c>
      <c r="H564" s="9">
        <v>12.98</v>
      </c>
      <c r="I564" s="5" t="s">
        <v>68</v>
      </c>
      <c r="J564" s="15">
        <v>41973.388888888891</v>
      </c>
      <c r="K564" t="str">
        <f t="shared" si="8"/>
        <v>11-2014</v>
      </c>
    </row>
    <row r="565" spans="3:11" x14ac:dyDescent="0.25">
      <c r="C565" t="str">
        <f>IF(COUNTBLANK(E565:J565) = 6,"",IF(AND(NOT(ISBLANK(E565)),COUNTBLANK(E565:J565) = 5),"3 Delete",IF(ISBLANK(E565),"2 Add",IF(SHA1Range(E565:J565) = "3bab9c2734cfde9bb91efc0d9ca94b3f5bb88733","0 Original","1 Modify"))))</f>
        <v>0 Original</v>
      </c>
      <c r="D565" s="5" t="s">
        <v>1524</v>
      </c>
      <c r="E565" s="3">
        <v>1034</v>
      </c>
      <c r="F565" s="13">
        <v>41975</v>
      </c>
      <c r="G565" t="s">
        <v>272</v>
      </c>
      <c r="H565" s="9">
        <v>26.97</v>
      </c>
      <c r="I565" s="5" t="s">
        <v>68</v>
      </c>
      <c r="J565" s="15">
        <v>41975.105358796296</v>
      </c>
      <c r="K565" t="str">
        <f t="shared" si="8"/>
        <v>12-2014</v>
      </c>
    </row>
    <row r="566" spans="3:11" x14ac:dyDescent="0.25">
      <c r="C566" t="str">
        <f>IF(COUNTBLANK(E566:J566) = 6,"",IF(AND(NOT(ISBLANK(E566)),COUNTBLANK(E566:J566) = 5),"3 Delete",IF(ISBLANK(E566),"2 Add",IF(SHA1Range(E566:J566) = "4da805a0ff4562694ddae5bf46ef7f8600ee92d6","0 Original","1 Modify"))))</f>
        <v>0 Original</v>
      </c>
      <c r="D566" s="5" t="s">
        <v>1525</v>
      </c>
      <c r="E566" s="3">
        <v>843</v>
      </c>
      <c r="F566" s="13">
        <v>41975</v>
      </c>
      <c r="G566" t="s">
        <v>221</v>
      </c>
      <c r="H566" s="9">
        <v>32.96</v>
      </c>
      <c r="I566" s="5" t="s">
        <v>68</v>
      </c>
      <c r="J566" s="15">
        <v>41975.862083333333</v>
      </c>
      <c r="K566" t="str">
        <f t="shared" si="8"/>
        <v>12-2014</v>
      </c>
    </row>
    <row r="567" spans="3:11" x14ac:dyDescent="0.25">
      <c r="C567" t="str">
        <f>IF(COUNTBLANK(E567:J567) = 6,"",IF(AND(NOT(ISBLANK(E567)),COUNTBLANK(E567:J567) = 5),"3 Delete",IF(ISBLANK(E567),"2 Add",IF(SHA1Range(E567:J567) = "48ceda936347151e7ed3bd06c0144d9f417c2ce5","0 Original","1 Modify"))))</f>
        <v>0 Original</v>
      </c>
      <c r="D567" s="5" t="s">
        <v>1526</v>
      </c>
      <c r="E567" s="3">
        <v>477</v>
      </c>
      <c r="F567" s="13">
        <v>41975</v>
      </c>
      <c r="G567" t="s">
        <v>224</v>
      </c>
      <c r="H567" s="9">
        <v>42.95</v>
      </c>
      <c r="I567" s="5" t="s">
        <v>68</v>
      </c>
      <c r="J567" s="15">
        <v>41975.991597222222</v>
      </c>
      <c r="K567" t="str">
        <f t="shared" si="8"/>
        <v>12-2014</v>
      </c>
    </row>
    <row r="568" spans="3:11" x14ac:dyDescent="0.25">
      <c r="C568" t="str">
        <f>IF(COUNTBLANK(E568:J568) = 6,"",IF(AND(NOT(ISBLANK(E568)),COUNTBLANK(E568:J568) = 5),"3 Delete",IF(ISBLANK(E568),"2 Add",IF(SHA1Range(E568:J568) = "c0cba66812d1a827894318bcbafff327fb4acfb0","0 Original","1 Modify"))))</f>
        <v>0 Original</v>
      </c>
      <c r="D568" s="5" t="s">
        <v>1527</v>
      </c>
      <c r="E568" s="3">
        <v>1046</v>
      </c>
      <c r="F568" s="13">
        <v>41976</v>
      </c>
      <c r="G568" t="s">
        <v>272</v>
      </c>
      <c r="H568" s="9">
        <v>54.93</v>
      </c>
      <c r="I568" s="5" t="s">
        <v>68</v>
      </c>
      <c r="J568" s="15">
        <v>41976.385451388887</v>
      </c>
      <c r="K568" t="str">
        <f t="shared" si="8"/>
        <v>12-2014</v>
      </c>
    </row>
    <row r="569" spans="3:11" x14ac:dyDescent="0.25">
      <c r="C569" t="str">
        <f>IF(COUNTBLANK(E569:J569) = 6,"",IF(AND(NOT(ISBLANK(E569)),COUNTBLANK(E569:J569) = 5),"3 Delete",IF(ISBLANK(E569),"2 Add",IF(SHA1Range(E569:J569) = "73b28d6b7b6f26f23dc35613672ae1b71fd833a6","0 Original","1 Modify"))))</f>
        <v>0 Original</v>
      </c>
      <c r="D569" s="5" t="s">
        <v>1528</v>
      </c>
      <c r="E569" s="3">
        <v>691</v>
      </c>
      <c r="F569" s="13">
        <v>41976</v>
      </c>
      <c r="G569" t="s">
        <v>155</v>
      </c>
      <c r="H569" s="9">
        <v>40.94</v>
      </c>
      <c r="I569" s="5" t="s">
        <v>68</v>
      </c>
      <c r="J569" s="15">
        <v>41976.412546296298</v>
      </c>
      <c r="K569" t="str">
        <f t="shared" si="8"/>
        <v>12-2014</v>
      </c>
    </row>
    <row r="570" spans="3:11" x14ac:dyDescent="0.25">
      <c r="C570" t="str">
        <f>IF(COUNTBLANK(E570:J570) = 6,"",IF(AND(NOT(ISBLANK(E570)),COUNTBLANK(E570:J570) = 5),"3 Delete",IF(ISBLANK(E570),"2 Add",IF(SHA1Range(E570:J570) = "8e306c24fb03d3e5cb20e9293ebff0e3b11c55a1","0 Original","1 Modify"))))</f>
        <v>0 Original</v>
      </c>
      <c r="D570" s="5" t="s">
        <v>1529</v>
      </c>
      <c r="E570" s="3">
        <v>1065</v>
      </c>
      <c r="F570" s="13">
        <v>41977</v>
      </c>
      <c r="G570" t="s">
        <v>302</v>
      </c>
      <c r="H570" s="9">
        <v>33.96</v>
      </c>
      <c r="I570" s="5" t="s">
        <v>68</v>
      </c>
      <c r="J570" s="15">
        <v>41977.7421412037</v>
      </c>
      <c r="K570" t="str">
        <f t="shared" si="8"/>
        <v>12-2014</v>
      </c>
    </row>
    <row r="571" spans="3:11" x14ac:dyDescent="0.25">
      <c r="C571" t="str">
        <f>IF(COUNTBLANK(E571:J571) = 6,"",IF(AND(NOT(ISBLANK(E571)),COUNTBLANK(E571:J571) = 5),"3 Delete",IF(ISBLANK(E571),"2 Add",IF(SHA1Range(E571:J571) = "137dac014ec8c8ca80e0e55c32ff799343029e9a","0 Original","1 Modify"))))</f>
        <v>0 Original</v>
      </c>
      <c r="D571" s="5" t="s">
        <v>1530</v>
      </c>
      <c r="E571" s="3">
        <v>727</v>
      </c>
      <c r="F571" s="13">
        <v>41977</v>
      </c>
      <c r="G571" t="s">
        <v>245</v>
      </c>
      <c r="H571" s="9">
        <v>24.97</v>
      </c>
      <c r="I571" s="5" t="s">
        <v>68</v>
      </c>
      <c r="J571" s="15">
        <v>41977.881319444445</v>
      </c>
      <c r="K571" t="str">
        <f t="shared" si="8"/>
        <v>12-2014</v>
      </c>
    </row>
    <row r="572" spans="3:11" x14ac:dyDescent="0.25">
      <c r="C572" t="str">
        <f>IF(COUNTBLANK(E572:J572) = 6,"",IF(AND(NOT(ISBLANK(E572)),COUNTBLANK(E572:J572) = 5),"3 Delete",IF(ISBLANK(E572),"2 Add",IF(SHA1Range(E572:J572) = "c0cf71f10df3aa572de3cfc36ecef7ce4a88857a","0 Original","1 Modify"))))</f>
        <v>0 Original</v>
      </c>
      <c r="D572" s="5" t="s">
        <v>1531</v>
      </c>
      <c r="E572" s="3">
        <v>219</v>
      </c>
      <c r="F572" s="13">
        <v>41978</v>
      </c>
      <c r="G572" t="s">
        <v>293</v>
      </c>
      <c r="H572" s="9">
        <v>18.97</v>
      </c>
      <c r="I572" s="5" t="s">
        <v>68</v>
      </c>
      <c r="J572" s="15">
        <v>41978.887638888889</v>
      </c>
      <c r="K572" t="str">
        <f t="shared" si="8"/>
        <v>12-2014</v>
      </c>
    </row>
    <row r="573" spans="3:11" x14ac:dyDescent="0.25">
      <c r="C573" t="str">
        <f>IF(COUNTBLANK(E573:J573) = 6,"",IF(AND(NOT(ISBLANK(E573)),COUNTBLANK(E573:J573) = 5),"3 Delete",IF(ISBLANK(E573),"2 Add",IF(SHA1Range(E573:J573) = "79d56178ab2029db172ba20df5956425a8f960da","0 Original","1 Modify"))))</f>
        <v>0 Original</v>
      </c>
      <c r="D573" s="5" t="s">
        <v>1532</v>
      </c>
      <c r="E573" s="3">
        <v>920</v>
      </c>
      <c r="F573" s="13">
        <v>41979</v>
      </c>
      <c r="G573" t="s">
        <v>134</v>
      </c>
      <c r="H573" s="9">
        <v>22.97</v>
      </c>
      <c r="I573" s="5" t="s">
        <v>68</v>
      </c>
      <c r="J573" s="15">
        <v>41979.300092592595</v>
      </c>
      <c r="K573" t="str">
        <f t="shared" si="8"/>
        <v>12-2014</v>
      </c>
    </row>
    <row r="574" spans="3:11" x14ac:dyDescent="0.25">
      <c r="C574" t="str">
        <f>IF(COUNTBLANK(E574:J574) = 6,"",IF(AND(NOT(ISBLANK(E574)),COUNTBLANK(E574:J574) = 5),"3 Delete",IF(ISBLANK(E574),"2 Add",IF(SHA1Range(E574:J574) = "351d0f93bab17455fddeb93617cbd5b55603a538","0 Original","1 Modify"))))</f>
        <v>0 Original</v>
      </c>
      <c r="D574" s="5" t="s">
        <v>1533</v>
      </c>
      <c r="E574" s="3">
        <v>1118</v>
      </c>
      <c r="F574" s="13">
        <v>41980</v>
      </c>
      <c r="G574" t="s">
        <v>242</v>
      </c>
      <c r="H574" s="9">
        <v>9.98</v>
      </c>
      <c r="I574" s="5" t="s">
        <v>68</v>
      </c>
      <c r="J574" s="15">
        <v>41980.435219907406</v>
      </c>
      <c r="K574" t="str">
        <f t="shared" si="8"/>
        <v>12-2014</v>
      </c>
    </row>
    <row r="575" spans="3:11" x14ac:dyDescent="0.25">
      <c r="C575" t="str">
        <f>IF(COUNTBLANK(E575:J575) = 6,"",IF(AND(NOT(ISBLANK(E575)),COUNTBLANK(E575:J575) = 5),"3 Delete",IF(ISBLANK(E575),"2 Add",IF(SHA1Range(E575:J575) = "c89fa267ef3b1c129534dd483860dea292ecd15d","0 Original","1 Modify"))))</f>
        <v>0 Original</v>
      </c>
      <c r="D575" s="5" t="s">
        <v>1534</v>
      </c>
      <c r="E575" s="3">
        <v>401</v>
      </c>
      <c r="F575" s="13">
        <v>41980</v>
      </c>
      <c r="G575" t="s">
        <v>86</v>
      </c>
      <c r="H575" s="9">
        <v>51.93</v>
      </c>
      <c r="I575" s="5" t="s">
        <v>68</v>
      </c>
      <c r="J575" s="15">
        <v>41980.733831018515</v>
      </c>
      <c r="K575" t="str">
        <f t="shared" si="8"/>
        <v>12-2014</v>
      </c>
    </row>
    <row r="576" spans="3:11" x14ac:dyDescent="0.25">
      <c r="C576" t="str">
        <f>IF(COUNTBLANK(E576:J576) = 6,"",IF(AND(NOT(ISBLANK(E576)),COUNTBLANK(E576:J576) = 5),"3 Delete",IF(ISBLANK(E576),"2 Add",IF(SHA1Range(E576:J576) = "3396ce661a55ce1ba0e59434244f5b43d349d306","0 Original","1 Modify"))))</f>
        <v>0 Original</v>
      </c>
      <c r="D576" s="5" t="s">
        <v>1535</v>
      </c>
      <c r="E576" s="3">
        <v>1113</v>
      </c>
      <c r="F576" s="13">
        <v>41982</v>
      </c>
      <c r="G576" t="s">
        <v>260</v>
      </c>
      <c r="H576" s="9">
        <v>33.96</v>
      </c>
      <c r="I576" s="5" t="s">
        <v>68</v>
      </c>
      <c r="J576" s="15">
        <v>41982.107997685183</v>
      </c>
      <c r="K576" t="str">
        <f t="shared" si="8"/>
        <v>12-2014</v>
      </c>
    </row>
    <row r="577" spans="3:11" x14ac:dyDescent="0.25">
      <c r="C577" t="str">
        <f>IF(COUNTBLANK(E577:J577) = 6,"",IF(AND(NOT(ISBLANK(E577)),COUNTBLANK(E577:J577) = 5),"3 Delete",IF(ISBLANK(E577),"2 Add",IF(SHA1Range(E577:J577) = "f7323ef75f9fe8f97b130ce3a75cd5d84bdcb8dd","0 Original","1 Modify"))))</f>
        <v>0 Original</v>
      </c>
      <c r="D577" s="5" t="s">
        <v>1536</v>
      </c>
      <c r="E577" s="3">
        <v>85</v>
      </c>
      <c r="F577" s="13">
        <v>41983</v>
      </c>
      <c r="G577" t="s">
        <v>360</v>
      </c>
      <c r="H577" s="9">
        <v>9.99</v>
      </c>
      <c r="I577" s="5" t="s">
        <v>68</v>
      </c>
      <c r="J577" s="15">
        <v>41983.532777777778</v>
      </c>
      <c r="K577" t="str">
        <f t="shared" si="8"/>
        <v>12-2014</v>
      </c>
    </row>
    <row r="578" spans="3:11" x14ac:dyDescent="0.25">
      <c r="C578" t="str">
        <f>IF(COUNTBLANK(E578:J578) = 6,"",IF(AND(NOT(ISBLANK(E578)),COUNTBLANK(E578:J578) = 5),"3 Delete",IF(ISBLANK(E578),"2 Add",IF(SHA1Range(E578:J578) = "c10b8c3e1975998f6e9d43d78c2ec2f63f086b3c","0 Original","1 Modify"))))</f>
        <v>0 Original</v>
      </c>
      <c r="D578" s="5" t="s">
        <v>1537</v>
      </c>
      <c r="E578" s="3">
        <v>975</v>
      </c>
      <c r="F578" s="13">
        <v>41983</v>
      </c>
      <c r="G578" t="s">
        <v>170</v>
      </c>
      <c r="H578" s="9">
        <v>19.96</v>
      </c>
      <c r="I578" s="5" t="s">
        <v>68</v>
      </c>
      <c r="J578" s="15">
        <v>41983.984236111108</v>
      </c>
      <c r="K578" t="str">
        <f t="shared" si="8"/>
        <v>12-2014</v>
      </c>
    </row>
    <row r="579" spans="3:11" x14ac:dyDescent="0.25">
      <c r="C579" t="str">
        <f>IF(COUNTBLANK(E579:J579) = 6,"",IF(AND(NOT(ISBLANK(E579)),COUNTBLANK(E579:J579) = 5),"3 Delete",IF(ISBLANK(E579),"2 Add",IF(SHA1Range(E579:J579) = "42df895518cd52cd026ac9cf7e42ca0814059857","0 Original","1 Modify"))))</f>
        <v>0 Original</v>
      </c>
      <c r="D579" s="5" t="s">
        <v>1538</v>
      </c>
      <c r="E579" s="3">
        <v>1161</v>
      </c>
      <c r="F579" s="13">
        <v>41985</v>
      </c>
      <c r="G579" t="s">
        <v>260</v>
      </c>
      <c r="H579" s="9">
        <v>16.97</v>
      </c>
      <c r="I579" s="5" t="s">
        <v>68</v>
      </c>
      <c r="J579" s="15">
        <v>41985.518333333333</v>
      </c>
      <c r="K579" t="str">
        <f t="shared" ref="K579:K642" si="9">TEXT(F579,"mm-yyyy")</f>
        <v>12-2014</v>
      </c>
    </row>
    <row r="580" spans="3:11" x14ac:dyDescent="0.25">
      <c r="C580" t="str">
        <f>IF(COUNTBLANK(E580:J580) = 6,"",IF(AND(NOT(ISBLANK(E580)),COUNTBLANK(E580:J580) = 5),"3 Delete",IF(ISBLANK(E580),"2 Add",IF(SHA1Range(E580:J580) = "b88a7cab3b315c1778c18faba684f851b54f07a3","0 Original","1 Modify"))))</f>
        <v>0 Original</v>
      </c>
      <c r="D580" s="5" t="s">
        <v>1539</v>
      </c>
      <c r="E580" s="3">
        <v>524</v>
      </c>
      <c r="F580" s="13">
        <v>41986</v>
      </c>
      <c r="G580" t="s">
        <v>239</v>
      </c>
      <c r="H580" s="9">
        <v>78.91</v>
      </c>
      <c r="I580" s="5" t="s">
        <v>68</v>
      </c>
      <c r="J580" s="15">
        <v>41986.441631944443</v>
      </c>
      <c r="K580" t="str">
        <f t="shared" si="9"/>
        <v>12-2014</v>
      </c>
    </row>
    <row r="581" spans="3:11" x14ac:dyDescent="0.25">
      <c r="C581" t="str">
        <f>IF(COUNTBLANK(E581:J581) = 6,"",IF(AND(NOT(ISBLANK(E581)),COUNTBLANK(E581:J581) = 5),"3 Delete",IF(ISBLANK(E581),"2 Add",IF(SHA1Range(E581:J581) = "860dfceeac8cc3ef43424bbf7a7fa3f24a6b52e9","0 Original","1 Modify"))))</f>
        <v>0 Original</v>
      </c>
      <c r="D581" s="5" t="s">
        <v>1540</v>
      </c>
      <c r="E581" s="3">
        <v>562</v>
      </c>
      <c r="F581" s="13">
        <v>41987</v>
      </c>
      <c r="G581" t="s">
        <v>251</v>
      </c>
      <c r="H581" s="9">
        <v>15.98</v>
      </c>
      <c r="I581" s="5" t="s">
        <v>68</v>
      </c>
      <c r="J581" s="15">
        <v>41987.047129629631</v>
      </c>
      <c r="K581" t="str">
        <f t="shared" si="9"/>
        <v>12-2014</v>
      </c>
    </row>
    <row r="582" spans="3:11" x14ac:dyDescent="0.25">
      <c r="C582" t="str">
        <f>IF(COUNTBLANK(E582:J582) = 6,"",IF(AND(NOT(ISBLANK(E582)),COUNTBLANK(E582:J582) = 5),"3 Delete",IF(ISBLANK(E582),"2 Add",IF(SHA1Range(E582:J582) = "5e383ab56cf8af40c755d2834882d482c102fc3a","0 Original","1 Modify"))))</f>
        <v>0 Original</v>
      </c>
      <c r="D582" s="5" t="s">
        <v>1541</v>
      </c>
      <c r="E582" s="3">
        <v>421</v>
      </c>
      <c r="F582" s="13">
        <v>41987</v>
      </c>
      <c r="G582" t="s">
        <v>125</v>
      </c>
      <c r="H582" s="9">
        <v>16.98</v>
      </c>
      <c r="I582" s="5" t="s">
        <v>68</v>
      </c>
      <c r="J582" s="15">
        <v>41987.071851851855</v>
      </c>
      <c r="K582" t="str">
        <f t="shared" si="9"/>
        <v>12-2014</v>
      </c>
    </row>
    <row r="583" spans="3:11" x14ac:dyDescent="0.25">
      <c r="C583" t="str">
        <f>IF(COUNTBLANK(E583:J583) = 6,"",IF(AND(NOT(ISBLANK(E583)),COUNTBLANK(E583:J583) = 5),"3 Delete",IF(ISBLANK(E583),"2 Add",IF(SHA1Range(E583:J583) = "087428be206e5a45fe384117879592c63302db19","0 Original","1 Modify"))))</f>
        <v>0 Original</v>
      </c>
      <c r="D583" s="5" t="s">
        <v>1542</v>
      </c>
      <c r="E583" s="3">
        <v>658</v>
      </c>
      <c r="F583" s="13">
        <v>41988</v>
      </c>
      <c r="G583" t="s">
        <v>263</v>
      </c>
      <c r="H583" s="9">
        <v>78.900000000000006</v>
      </c>
      <c r="I583" s="5" t="s">
        <v>68</v>
      </c>
      <c r="J583" s="15">
        <v>41988.574074074073</v>
      </c>
      <c r="K583" t="str">
        <f t="shared" si="9"/>
        <v>12-2014</v>
      </c>
    </row>
    <row r="584" spans="3:11" x14ac:dyDescent="0.25">
      <c r="C584" t="str">
        <f>IF(COUNTBLANK(E584:J584) = 6,"",IF(AND(NOT(ISBLANK(E584)),COUNTBLANK(E584:J584) = 5),"3 Delete",IF(ISBLANK(E584),"2 Add",IF(SHA1Range(E584:J584) = "ccc34f03fc8bfc6ba90a51cacdabc4bce419e85b","0 Original","1 Modify"))))</f>
        <v>0 Original</v>
      </c>
      <c r="D584" s="5" t="s">
        <v>1543</v>
      </c>
      <c r="E584" s="3">
        <v>1193</v>
      </c>
      <c r="F584" s="13">
        <v>41988</v>
      </c>
      <c r="G584" t="s">
        <v>134</v>
      </c>
      <c r="H584" s="9">
        <v>29.96</v>
      </c>
      <c r="I584" s="5" t="s">
        <v>68</v>
      </c>
      <c r="J584" s="15">
        <v>41988.819131944445</v>
      </c>
      <c r="K584" t="str">
        <f t="shared" si="9"/>
        <v>12-2014</v>
      </c>
    </row>
    <row r="585" spans="3:11" x14ac:dyDescent="0.25">
      <c r="C585" t="str">
        <f>IF(COUNTBLANK(E585:J585) = 6,"",IF(AND(NOT(ISBLANK(E585)),COUNTBLANK(E585:J585) = 5),"3 Delete",IF(ISBLANK(E585),"2 Add",IF(SHA1Range(E585:J585) = "3f13393735e00ad29bfe798b6efb446b4cbfb24f","0 Original","1 Modify"))))</f>
        <v>0 Original</v>
      </c>
      <c r="D585" s="5" t="s">
        <v>1544</v>
      </c>
      <c r="E585" s="3">
        <v>555</v>
      </c>
      <c r="F585" s="13">
        <v>41989</v>
      </c>
      <c r="G585" t="s">
        <v>146</v>
      </c>
      <c r="H585" s="9">
        <v>32.96</v>
      </c>
      <c r="I585" s="5" t="s">
        <v>68</v>
      </c>
      <c r="J585" s="15">
        <v>41989.000509259262</v>
      </c>
      <c r="K585" t="str">
        <f t="shared" si="9"/>
        <v>12-2014</v>
      </c>
    </row>
    <row r="586" spans="3:11" x14ac:dyDescent="0.25">
      <c r="C586" t="str">
        <f>IF(COUNTBLANK(E586:J586) = 6,"",IF(AND(NOT(ISBLANK(E586)),COUNTBLANK(E586:J586) = 5),"3 Delete",IF(ISBLANK(E586),"2 Add",IF(SHA1Range(E586:J586) = "5c2f86d117dd39b3fb574b4f28bb44620223965e","0 Original","1 Modify"))))</f>
        <v>0 Original</v>
      </c>
      <c r="D586" s="5" t="s">
        <v>1545</v>
      </c>
      <c r="E586" s="3">
        <v>949</v>
      </c>
      <c r="F586" s="13">
        <v>41989</v>
      </c>
      <c r="G586" t="s">
        <v>221</v>
      </c>
      <c r="H586" s="9">
        <v>32.950000000000003</v>
      </c>
      <c r="I586" s="5" t="s">
        <v>68</v>
      </c>
      <c r="J586" s="15">
        <v>41989.258333333331</v>
      </c>
      <c r="K586" t="str">
        <f t="shared" si="9"/>
        <v>12-2014</v>
      </c>
    </row>
    <row r="587" spans="3:11" x14ac:dyDescent="0.25">
      <c r="C587" t="str">
        <f>IF(COUNTBLANK(E587:J587) = 6,"",IF(AND(NOT(ISBLANK(E587)),COUNTBLANK(E587:J587) = 5),"3 Delete",IF(ISBLANK(E587),"2 Add",IF(SHA1Range(E587:J587) = "cbc05a95833a4fe56e82a44b7ee78be48dc5ab22","0 Original","1 Modify"))))</f>
        <v>0 Original</v>
      </c>
      <c r="D587" s="5" t="s">
        <v>1546</v>
      </c>
      <c r="E587" s="3">
        <v>309</v>
      </c>
      <c r="F587" s="13">
        <v>41989</v>
      </c>
      <c r="G587" t="s">
        <v>354</v>
      </c>
      <c r="H587" s="9">
        <v>66.92</v>
      </c>
      <c r="I587" s="5" t="s">
        <v>68</v>
      </c>
      <c r="J587" s="15">
        <v>41989.56453703704</v>
      </c>
      <c r="K587" t="str">
        <f t="shared" si="9"/>
        <v>12-2014</v>
      </c>
    </row>
    <row r="588" spans="3:11" x14ac:dyDescent="0.25">
      <c r="C588" t="str">
        <f>IF(COUNTBLANK(E588:J588) = 6,"",IF(AND(NOT(ISBLANK(E588)),COUNTBLANK(E588:J588) = 5),"3 Delete",IF(ISBLANK(E588),"2 Add",IF(SHA1Range(E588:J588) = "4849f91bf43b5c92691022b3656dbc95ad2f3151","0 Original","1 Modify"))))</f>
        <v>0 Original</v>
      </c>
      <c r="D588" s="5" t="s">
        <v>1547</v>
      </c>
      <c r="E588" s="3">
        <v>1040</v>
      </c>
      <c r="F588" s="13">
        <v>41989</v>
      </c>
      <c r="G588" t="s">
        <v>245</v>
      </c>
      <c r="H588" s="9">
        <v>44.94</v>
      </c>
      <c r="I588" s="5" t="s">
        <v>68</v>
      </c>
      <c r="J588" s="15">
        <v>41989.594027777777</v>
      </c>
      <c r="K588" t="str">
        <f t="shared" si="9"/>
        <v>12-2014</v>
      </c>
    </row>
    <row r="589" spans="3:11" x14ac:dyDescent="0.25">
      <c r="C589" t="str">
        <f>IF(COUNTBLANK(E589:J589) = 6,"",IF(AND(NOT(ISBLANK(E589)),COUNTBLANK(E589:J589) = 5),"3 Delete",IF(ISBLANK(E589),"2 Add",IF(SHA1Range(E589:J589) = "25426dea79438617902d18368f7cbd00778e960d","0 Original","1 Modify"))))</f>
        <v>0 Original</v>
      </c>
      <c r="D589" s="5" t="s">
        <v>1548</v>
      </c>
      <c r="E589" s="3">
        <v>605</v>
      </c>
      <c r="F589" s="13">
        <v>41989</v>
      </c>
      <c r="G589" t="s">
        <v>239</v>
      </c>
      <c r="H589" s="9">
        <v>29.96</v>
      </c>
      <c r="I589" s="5" t="s">
        <v>68</v>
      </c>
      <c r="J589" s="15">
        <v>41989.702916666669</v>
      </c>
      <c r="K589" t="str">
        <f t="shared" si="9"/>
        <v>12-2014</v>
      </c>
    </row>
    <row r="590" spans="3:11" x14ac:dyDescent="0.25">
      <c r="C590" t="str">
        <f>IF(COUNTBLANK(E590:J590) = 6,"",IF(AND(NOT(ISBLANK(E590)),COUNTBLANK(E590:J590) = 5),"3 Delete",IF(ISBLANK(E590),"2 Add",IF(SHA1Range(E590:J590) = "4fcce74dcd749f4171dd327fd7771f20b97b25d4","0 Original","1 Modify"))))</f>
        <v>0 Original</v>
      </c>
      <c r="D590" s="5" t="s">
        <v>1549</v>
      </c>
      <c r="E590" s="3">
        <v>688</v>
      </c>
      <c r="F590" s="13">
        <v>41989</v>
      </c>
      <c r="G590" t="s">
        <v>275</v>
      </c>
      <c r="H590" s="9">
        <v>36.96</v>
      </c>
      <c r="I590" s="5" t="s">
        <v>68</v>
      </c>
      <c r="J590" s="15">
        <v>41989.842962962961</v>
      </c>
      <c r="K590" t="str">
        <f t="shared" si="9"/>
        <v>12-2014</v>
      </c>
    </row>
    <row r="591" spans="3:11" x14ac:dyDescent="0.25">
      <c r="C591" t="str">
        <f>IF(COUNTBLANK(E591:J591) = 6,"",IF(AND(NOT(ISBLANK(E591)),COUNTBLANK(E591:J591) = 5),"3 Delete",IF(ISBLANK(E591),"2 Add",IF(SHA1Range(E591:J591) = "dacf82261f4cdada9a5e81ae5f7864e24a14b310","0 Original","1 Modify"))))</f>
        <v>0 Original</v>
      </c>
      <c r="D591" s="5" t="s">
        <v>1550</v>
      </c>
      <c r="E591" s="3">
        <v>549</v>
      </c>
      <c r="F591" s="13">
        <v>41990</v>
      </c>
      <c r="G591" t="s">
        <v>341</v>
      </c>
      <c r="H591" s="9">
        <v>68.91</v>
      </c>
      <c r="I591" s="5" t="s">
        <v>68</v>
      </c>
      <c r="J591" s="15">
        <v>41990.863298611112</v>
      </c>
      <c r="K591" t="str">
        <f t="shared" si="9"/>
        <v>12-2014</v>
      </c>
    </row>
    <row r="592" spans="3:11" x14ac:dyDescent="0.25">
      <c r="C592" t="str">
        <f>IF(COUNTBLANK(E592:J592) = 6,"",IF(AND(NOT(ISBLANK(E592)),COUNTBLANK(E592:J592) = 5),"3 Delete",IF(ISBLANK(E592),"2 Add",IF(SHA1Range(E592:J592) = "f1f3cfb1451d87f82c7499dafd776b848d896c80","0 Original","1 Modify"))))</f>
        <v>0 Original</v>
      </c>
      <c r="D592" s="5" t="s">
        <v>1551</v>
      </c>
      <c r="E592" s="3">
        <v>1022</v>
      </c>
      <c r="F592" s="13">
        <v>41991</v>
      </c>
      <c r="G592" t="s">
        <v>242</v>
      </c>
      <c r="H592" s="9">
        <v>20.97</v>
      </c>
      <c r="I592" s="5" t="s">
        <v>68</v>
      </c>
      <c r="J592" s="15">
        <v>41991.06858796296</v>
      </c>
      <c r="K592" t="str">
        <f t="shared" si="9"/>
        <v>12-2014</v>
      </c>
    </row>
    <row r="593" spans="3:11" x14ac:dyDescent="0.25">
      <c r="C593" t="str">
        <f>IF(COUNTBLANK(E593:J593) = 6,"",IF(AND(NOT(ISBLANK(E593)),COUNTBLANK(E593:J593) = 5),"3 Delete",IF(ISBLANK(E593),"2 Add",IF(SHA1Range(E593:J593) = "502c5abede7d25156e23f86e638600dbf10efe27","0 Original","1 Modify"))))</f>
        <v>0 Original</v>
      </c>
      <c r="D593" s="5" t="s">
        <v>1552</v>
      </c>
      <c r="E593" s="3">
        <v>133</v>
      </c>
      <c r="F593" s="13">
        <v>41991</v>
      </c>
      <c r="G593" t="s">
        <v>173</v>
      </c>
      <c r="H593" s="9">
        <v>33.96</v>
      </c>
      <c r="I593" s="5" t="s">
        <v>68</v>
      </c>
      <c r="J593" s="15">
        <v>41991.133842592593</v>
      </c>
      <c r="K593" t="str">
        <f t="shared" si="9"/>
        <v>12-2014</v>
      </c>
    </row>
    <row r="594" spans="3:11" x14ac:dyDescent="0.25">
      <c r="C594" t="str">
        <f>IF(COUNTBLANK(E594:J594) = 6,"",IF(AND(NOT(ISBLANK(E594)),COUNTBLANK(E594:J594) = 5),"3 Delete",IF(ISBLANK(E594),"2 Add",IF(SHA1Range(E594:J594) = "0bf264b10373e207ce243478da1ee8bee002adc0","0 Original","1 Modify"))))</f>
        <v>0 Original</v>
      </c>
      <c r="D594" s="5" t="s">
        <v>1553</v>
      </c>
      <c r="E594" s="3">
        <v>611</v>
      </c>
      <c r="F594" s="13">
        <v>41991</v>
      </c>
      <c r="G594" t="s">
        <v>182</v>
      </c>
      <c r="H594" s="9">
        <v>57.92</v>
      </c>
      <c r="I594" s="5" t="s">
        <v>68</v>
      </c>
      <c r="J594" s="15">
        <v>41991.645590277774</v>
      </c>
      <c r="K594" t="str">
        <f t="shared" si="9"/>
        <v>12-2014</v>
      </c>
    </row>
    <row r="595" spans="3:11" x14ac:dyDescent="0.25">
      <c r="C595" t="str">
        <f>IF(COUNTBLANK(E595:J595) = 6,"",IF(AND(NOT(ISBLANK(E595)),COUNTBLANK(E595:J595) = 5),"3 Delete",IF(ISBLANK(E595),"2 Add",IF(SHA1Range(E595:J595) = "28601917a2022a2749d757d083e38146825218d5","0 Original","1 Modify"))))</f>
        <v>0 Original</v>
      </c>
      <c r="D595" s="5" t="s">
        <v>1554</v>
      </c>
      <c r="E595" s="3">
        <v>90</v>
      </c>
      <c r="F595" s="13">
        <v>41992</v>
      </c>
      <c r="G595" t="s">
        <v>164</v>
      </c>
      <c r="H595" s="9">
        <v>8.99</v>
      </c>
      <c r="I595" s="5" t="s">
        <v>68</v>
      </c>
      <c r="J595" s="15">
        <v>41992.577604166669</v>
      </c>
      <c r="K595" t="str">
        <f t="shared" si="9"/>
        <v>12-2014</v>
      </c>
    </row>
    <row r="596" spans="3:11" x14ac:dyDescent="0.25">
      <c r="C596" t="str">
        <f>IF(COUNTBLANK(E596:J596) = 6,"",IF(AND(NOT(ISBLANK(E596)),COUNTBLANK(E596:J596) = 5),"3 Delete",IF(ISBLANK(E596),"2 Add",IF(SHA1Range(E596:J596) = "3eae4dc05799a8a1a96955355e7e2fe85bb068cc","0 Original","1 Modify"))))</f>
        <v>0 Original</v>
      </c>
      <c r="D596" s="5" t="s">
        <v>1555</v>
      </c>
      <c r="E596" s="3">
        <v>17</v>
      </c>
      <c r="F596" s="13">
        <v>41992</v>
      </c>
      <c r="G596" t="s">
        <v>77</v>
      </c>
      <c r="H596" s="9">
        <v>54.93</v>
      </c>
      <c r="I596" s="5" t="s">
        <v>68</v>
      </c>
      <c r="J596" s="15">
        <v>41992.606990740744</v>
      </c>
      <c r="K596" t="str">
        <f t="shared" si="9"/>
        <v>12-2014</v>
      </c>
    </row>
    <row r="597" spans="3:11" x14ac:dyDescent="0.25">
      <c r="C597" t="str">
        <f>IF(COUNTBLANK(E597:J597) = 6,"",IF(AND(NOT(ISBLANK(E597)),COUNTBLANK(E597:J597) = 5),"3 Delete",IF(ISBLANK(E597),"2 Add",IF(SHA1Range(E597:J597) = "2e1f3cc249c743064747b2d58d9f3931b8d6bacd","0 Original","1 Modify"))))</f>
        <v>0 Original</v>
      </c>
      <c r="D597" s="5" t="s">
        <v>1556</v>
      </c>
      <c r="E597" s="3">
        <v>846</v>
      </c>
      <c r="F597" s="13">
        <v>41992</v>
      </c>
      <c r="G597" t="s">
        <v>221</v>
      </c>
      <c r="H597" s="9">
        <v>17.98</v>
      </c>
      <c r="I597" s="5" t="s">
        <v>68</v>
      </c>
      <c r="J597" s="15">
        <v>41992.864791666667</v>
      </c>
      <c r="K597" t="str">
        <f t="shared" si="9"/>
        <v>12-2014</v>
      </c>
    </row>
    <row r="598" spans="3:11" x14ac:dyDescent="0.25">
      <c r="C598" t="str">
        <f>IF(COUNTBLANK(E598:J598) = 6,"",IF(AND(NOT(ISBLANK(E598)),COUNTBLANK(E598:J598) = 5),"3 Delete",IF(ISBLANK(E598),"2 Add",IF(SHA1Range(E598:J598) = "d8570a039c42406ed6b041c8a9210376dac5555d","0 Original","1 Modify"))))</f>
        <v>0 Original</v>
      </c>
      <c r="D598" s="5" t="s">
        <v>1557</v>
      </c>
      <c r="E598" s="3">
        <v>1085</v>
      </c>
      <c r="F598" s="13">
        <v>41993</v>
      </c>
      <c r="G598" t="s">
        <v>326</v>
      </c>
      <c r="H598" s="9">
        <v>15.98</v>
      </c>
      <c r="I598" s="5" t="s">
        <v>68</v>
      </c>
      <c r="J598" s="15">
        <v>41993.042199074072</v>
      </c>
      <c r="K598" t="str">
        <f t="shared" si="9"/>
        <v>12-2014</v>
      </c>
    </row>
    <row r="599" spans="3:11" x14ac:dyDescent="0.25">
      <c r="C599" t="str">
        <f>IF(COUNTBLANK(E599:J599) = 6,"",IF(AND(NOT(ISBLANK(E599)),COUNTBLANK(E599:J599) = 5),"3 Delete",IF(ISBLANK(E599),"2 Add",IF(SHA1Range(E599:J599) = "774a4ba6621c97feda05c8b7d11b1bf47cb2b5f9","0 Original","1 Modify"))))</f>
        <v>0 Original</v>
      </c>
      <c r="D599" s="5" t="s">
        <v>1558</v>
      </c>
      <c r="E599" s="3">
        <v>773</v>
      </c>
      <c r="F599" s="13">
        <v>41993</v>
      </c>
      <c r="G599" t="s">
        <v>134</v>
      </c>
      <c r="H599" s="9">
        <v>62.93</v>
      </c>
      <c r="I599" s="5" t="s">
        <v>68</v>
      </c>
      <c r="J599" s="15">
        <v>41993.277337962965</v>
      </c>
      <c r="K599" t="str">
        <f t="shared" si="9"/>
        <v>12-2014</v>
      </c>
    </row>
    <row r="600" spans="3:11" x14ac:dyDescent="0.25">
      <c r="C600" t="str">
        <f>IF(COUNTBLANK(E600:J600) = 6,"",IF(AND(NOT(ISBLANK(E600)),COUNTBLANK(E600:J600) = 5),"3 Delete",IF(ISBLANK(E600),"2 Add",IF(SHA1Range(E600:J600) = "f9a71da5776ed602233384276213d946bfea2acd","0 Original","1 Modify"))))</f>
        <v>0 Original</v>
      </c>
      <c r="D600" s="5" t="s">
        <v>1559</v>
      </c>
      <c r="E600" s="3">
        <v>859</v>
      </c>
      <c r="F600" s="13">
        <v>41993</v>
      </c>
      <c r="G600" t="s">
        <v>272</v>
      </c>
      <c r="H600" s="9">
        <v>6.99</v>
      </c>
      <c r="I600" s="5" t="s">
        <v>68</v>
      </c>
      <c r="J600" s="15">
        <v>41993.383587962962</v>
      </c>
      <c r="K600" t="str">
        <f t="shared" si="9"/>
        <v>12-2014</v>
      </c>
    </row>
    <row r="601" spans="3:11" x14ac:dyDescent="0.25">
      <c r="C601" t="str">
        <f>IF(COUNTBLANK(E601:J601) = 6,"",IF(AND(NOT(ISBLANK(E601)),COUNTBLANK(E601:J601) = 5),"3 Delete",IF(ISBLANK(E601),"2 Add",IF(SHA1Range(E601:J601) = "41611fd6af2b8e5556ac5192e7bc6183ecdb7966","0 Original","1 Modify"))))</f>
        <v>0 Original</v>
      </c>
      <c r="D601" s="5" t="s">
        <v>1560</v>
      </c>
      <c r="E601" s="3">
        <v>976</v>
      </c>
      <c r="F601" s="13">
        <v>41994</v>
      </c>
      <c r="G601" t="s">
        <v>260</v>
      </c>
      <c r="H601" s="9">
        <v>39.94</v>
      </c>
      <c r="I601" s="5" t="s">
        <v>68</v>
      </c>
      <c r="J601" s="15">
        <v>41994.203090277777</v>
      </c>
      <c r="K601" t="str">
        <f t="shared" si="9"/>
        <v>12-2014</v>
      </c>
    </row>
    <row r="602" spans="3:11" x14ac:dyDescent="0.25">
      <c r="C602" t="str">
        <f>IF(COUNTBLANK(E602:J602) = 6,"",IF(AND(NOT(ISBLANK(E602)),COUNTBLANK(E602:J602) = 5),"3 Delete",IF(ISBLANK(E602),"2 Add",IF(SHA1Range(E602:J602) = "2ccbbebc1ed136e576c072f59eca3692ec8450eb","0 Original","1 Modify"))))</f>
        <v>0 Original</v>
      </c>
      <c r="D602" s="5" t="s">
        <v>1561</v>
      </c>
      <c r="E602" s="3">
        <v>304</v>
      </c>
      <c r="F602" s="13">
        <v>41994</v>
      </c>
      <c r="G602" t="s">
        <v>230</v>
      </c>
      <c r="H602" s="9">
        <v>19.98</v>
      </c>
      <c r="I602" s="5" t="s">
        <v>68</v>
      </c>
      <c r="J602" s="15">
        <v>41994.268206018518</v>
      </c>
      <c r="K602" t="str">
        <f t="shared" si="9"/>
        <v>12-2014</v>
      </c>
    </row>
    <row r="603" spans="3:11" x14ac:dyDescent="0.25">
      <c r="C603" t="str">
        <f>IF(COUNTBLANK(E603:J603) = 6,"",IF(AND(NOT(ISBLANK(E603)),COUNTBLANK(E603:J603) = 5),"3 Delete",IF(ISBLANK(E603),"2 Add",IF(SHA1Range(E603:J603) = "311323835ea09f7efbe31b88314110f20192f951","0 Original","1 Modify"))))</f>
        <v>0 Original</v>
      </c>
      <c r="D603" s="5" t="s">
        <v>1562</v>
      </c>
      <c r="E603" s="3">
        <v>945</v>
      </c>
      <c r="F603" s="13">
        <v>41994</v>
      </c>
      <c r="G603" t="s">
        <v>272</v>
      </c>
      <c r="H603" s="9">
        <v>9.98</v>
      </c>
      <c r="I603" s="5" t="s">
        <v>68</v>
      </c>
      <c r="J603" s="15">
        <v>41994.445810185185</v>
      </c>
      <c r="K603" t="str">
        <f t="shared" si="9"/>
        <v>12-2014</v>
      </c>
    </row>
    <row r="604" spans="3:11" x14ac:dyDescent="0.25">
      <c r="C604" t="str">
        <f>IF(COUNTBLANK(E604:J604) = 6,"",IF(AND(NOT(ISBLANK(E604)),COUNTBLANK(E604:J604) = 5),"3 Delete",IF(ISBLANK(E604),"2 Add",IF(SHA1Range(E604:J604) = "2b0eb407794ec5b18735a63a994855781c63aeb4","0 Original","1 Modify"))))</f>
        <v>0 Original</v>
      </c>
      <c r="D604" s="5" t="s">
        <v>1563</v>
      </c>
      <c r="E604" s="3">
        <v>698</v>
      </c>
      <c r="F604" s="13">
        <v>41995</v>
      </c>
      <c r="G604" t="s">
        <v>65</v>
      </c>
      <c r="H604" s="9">
        <v>37.96</v>
      </c>
      <c r="I604" s="5" t="s">
        <v>68</v>
      </c>
      <c r="J604" s="15">
        <v>41995.125219907408</v>
      </c>
      <c r="K604" t="str">
        <f t="shared" si="9"/>
        <v>12-2014</v>
      </c>
    </row>
    <row r="605" spans="3:11" x14ac:dyDescent="0.25">
      <c r="C605" t="str">
        <f>IF(COUNTBLANK(E605:J605) = 6,"",IF(AND(NOT(ISBLANK(E605)),COUNTBLANK(E605:J605) = 5),"3 Delete",IF(ISBLANK(E605),"2 Add",IF(SHA1Range(E605:J605) = "3f3594596c8f577614981ad42d6bf0b654c09226","0 Original","1 Modify"))))</f>
        <v>0 Original</v>
      </c>
      <c r="D605" s="5" t="s">
        <v>1564</v>
      </c>
      <c r="E605" s="3">
        <v>303</v>
      </c>
      <c r="F605" s="13">
        <v>41996</v>
      </c>
      <c r="G605" t="s">
        <v>275</v>
      </c>
      <c r="H605" s="9">
        <v>4.99</v>
      </c>
      <c r="I605" s="5" t="s">
        <v>68</v>
      </c>
      <c r="J605" s="15">
        <v>41996.193391203706</v>
      </c>
      <c r="K605" t="str">
        <f t="shared" si="9"/>
        <v>12-2014</v>
      </c>
    </row>
    <row r="606" spans="3:11" x14ac:dyDescent="0.25">
      <c r="C606" t="str">
        <f>IF(COUNTBLANK(E606:J606) = 6,"",IF(AND(NOT(ISBLANK(E606)),COUNTBLANK(E606:J606) = 5),"3 Delete",IF(ISBLANK(E606),"2 Add",IF(SHA1Range(E606:J606) = "d7c6c37d3af1b223d385167df10a23abe67e8f55","0 Original","1 Modify"))))</f>
        <v>0 Original</v>
      </c>
      <c r="D606" s="5" t="s">
        <v>1565</v>
      </c>
      <c r="E606" s="3">
        <v>981</v>
      </c>
      <c r="F606" s="13">
        <v>41996</v>
      </c>
      <c r="G606" t="s">
        <v>272</v>
      </c>
      <c r="H606" s="9">
        <v>9.99</v>
      </c>
      <c r="I606" s="5" t="s">
        <v>68</v>
      </c>
      <c r="J606" s="15">
        <v>41996.391122685185</v>
      </c>
      <c r="K606" t="str">
        <f t="shared" si="9"/>
        <v>12-2014</v>
      </c>
    </row>
    <row r="607" spans="3:11" x14ac:dyDescent="0.25">
      <c r="C607" t="str">
        <f>IF(COUNTBLANK(E607:J607) = 6,"",IF(AND(NOT(ISBLANK(E607)),COUNTBLANK(E607:J607) = 5),"3 Delete",IF(ISBLANK(E607),"2 Add",IF(SHA1Range(E607:J607) = "af98d21bd450d396cda261b6880c8e5c173db9e7","0 Original","1 Modify"))))</f>
        <v>0 Original</v>
      </c>
      <c r="D607" s="5" t="s">
        <v>1566</v>
      </c>
      <c r="E607" s="3">
        <v>142</v>
      </c>
      <c r="F607" s="13">
        <v>41997</v>
      </c>
      <c r="G607" t="s">
        <v>257</v>
      </c>
      <c r="H607" s="9">
        <v>43.95</v>
      </c>
      <c r="I607" s="5" t="s">
        <v>68</v>
      </c>
      <c r="J607" s="15">
        <v>41997.34814814815</v>
      </c>
      <c r="K607" t="str">
        <f t="shared" si="9"/>
        <v>12-2014</v>
      </c>
    </row>
    <row r="608" spans="3:11" x14ac:dyDescent="0.25">
      <c r="C608" t="str">
        <f>IF(COUNTBLANK(E608:J608) = 6,"",IF(AND(NOT(ISBLANK(E608)),COUNTBLANK(E608:J608) = 5),"3 Delete",IF(ISBLANK(E608),"2 Add",IF(SHA1Range(E608:J608) = "5c369c1b5405ab5db221a27a05efece36b18420f","0 Original","1 Modify"))))</f>
        <v>0 Original</v>
      </c>
      <c r="D608" s="5" t="s">
        <v>1567</v>
      </c>
      <c r="E608" s="3">
        <v>139</v>
      </c>
      <c r="F608" s="13">
        <v>41997</v>
      </c>
      <c r="G608" t="s">
        <v>194</v>
      </c>
      <c r="H608" s="9">
        <v>64.930000000000007</v>
      </c>
      <c r="I608" s="5" t="s">
        <v>68</v>
      </c>
      <c r="J608" s="15">
        <v>41997.718194444446</v>
      </c>
      <c r="K608" t="str">
        <f t="shared" si="9"/>
        <v>12-2014</v>
      </c>
    </row>
    <row r="609" spans="3:11" x14ac:dyDescent="0.25">
      <c r="C609" t="str">
        <f>IF(COUNTBLANK(E609:J609) = 6,"",IF(AND(NOT(ISBLANK(E609)),COUNTBLANK(E609:J609) = 5),"3 Delete",IF(ISBLANK(E609),"2 Add",IF(SHA1Range(E609:J609) = "32f6b0f9f20affebb39fb57eaf5f595417b938a8","0 Original","1 Modify"))))</f>
        <v>0 Original</v>
      </c>
      <c r="D609" s="5" t="s">
        <v>1568</v>
      </c>
      <c r="E609" s="3">
        <v>411</v>
      </c>
      <c r="F609" s="13">
        <v>41998</v>
      </c>
      <c r="G609" t="s">
        <v>251</v>
      </c>
      <c r="H609" s="9">
        <v>41.94</v>
      </c>
      <c r="I609" s="5" t="s">
        <v>68</v>
      </c>
      <c r="J609" s="15">
        <v>41998.109652777777</v>
      </c>
      <c r="K609" t="str">
        <f t="shared" si="9"/>
        <v>12-2014</v>
      </c>
    </row>
    <row r="610" spans="3:11" x14ac:dyDescent="0.25">
      <c r="C610" t="str">
        <f>IF(COUNTBLANK(E610:J610) = 6,"",IF(AND(NOT(ISBLANK(E610)),COUNTBLANK(E610:J610) = 5),"3 Delete",IF(ISBLANK(E610),"2 Add",IF(SHA1Range(E610:J610) = "68fa6eba86fc072da4021d751c52b204fbd9033a","0 Original","1 Modify"))))</f>
        <v>0 Original</v>
      </c>
      <c r="D610" s="5" t="s">
        <v>1569</v>
      </c>
      <c r="E610" s="3">
        <v>38</v>
      </c>
      <c r="F610" s="13">
        <v>41998</v>
      </c>
      <c r="G610" t="s">
        <v>221</v>
      </c>
      <c r="H610" s="9">
        <v>9.99</v>
      </c>
      <c r="I610" s="5" t="s">
        <v>68</v>
      </c>
      <c r="J610" s="15">
        <v>41998.233842592592</v>
      </c>
      <c r="K610" t="str">
        <f t="shared" si="9"/>
        <v>12-2014</v>
      </c>
    </row>
    <row r="611" spans="3:11" x14ac:dyDescent="0.25">
      <c r="C611" t="str">
        <f>IF(COUNTBLANK(E611:J611) = 6,"",IF(AND(NOT(ISBLANK(E611)),COUNTBLANK(E611:J611) = 5),"3 Delete",IF(ISBLANK(E611),"2 Add",IF(SHA1Range(E611:J611) = "c608c91e0394328f50150e16a2efe77d814dc9cf","0 Original","1 Modify"))))</f>
        <v>0 Original</v>
      </c>
      <c r="D611" s="5" t="s">
        <v>1570</v>
      </c>
      <c r="E611" s="3">
        <v>559</v>
      </c>
      <c r="F611" s="13">
        <v>41998</v>
      </c>
      <c r="G611" t="s">
        <v>308</v>
      </c>
      <c r="H611" s="9">
        <v>35.96</v>
      </c>
      <c r="I611" s="5" t="s">
        <v>68</v>
      </c>
      <c r="J611" s="15">
        <v>41998.919525462959</v>
      </c>
      <c r="K611" t="str">
        <f t="shared" si="9"/>
        <v>12-2014</v>
      </c>
    </row>
    <row r="612" spans="3:11" x14ac:dyDescent="0.25">
      <c r="C612" t="str">
        <f>IF(COUNTBLANK(E612:J612) = 6,"",IF(AND(NOT(ISBLANK(E612)),COUNTBLANK(E612:J612) = 5),"3 Delete",IF(ISBLANK(E612),"2 Add",IF(SHA1Range(E612:J612) = "1d08f891d7d3bba5600b12558d47e412291498f1","0 Original","1 Modify"))))</f>
        <v>0 Original</v>
      </c>
      <c r="D612" s="5" t="s">
        <v>1571</v>
      </c>
      <c r="E612" s="3">
        <v>443</v>
      </c>
      <c r="F612" s="13">
        <v>41999</v>
      </c>
      <c r="G612" t="s">
        <v>341</v>
      </c>
      <c r="H612" s="9">
        <v>23.97</v>
      </c>
      <c r="I612" s="5" t="s">
        <v>68</v>
      </c>
      <c r="J612" s="15">
        <v>41999.508425925924</v>
      </c>
      <c r="K612" t="str">
        <f t="shared" si="9"/>
        <v>12-2014</v>
      </c>
    </row>
    <row r="613" spans="3:11" x14ac:dyDescent="0.25">
      <c r="C613" t="str">
        <f>IF(COUNTBLANK(E613:J613) = 6,"",IF(AND(NOT(ISBLANK(E613)),COUNTBLANK(E613:J613) = 5),"3 Delete",IF(ISBLANK(E613),"2 Add",IF(SHA1Range(E613:J613) = "8f836abca03319738b8000ac70f8647bb9dd56f4","0 Original","1 Modify"))))</f>
        <v>0 Original</v>
      </c>
      <c r="D613" s="5" t="s">
        <v>1572</v>
      </c>
      <c r="E613" s="3">
        <v>1044</v>
      </c>
      <c r="F613" s="13">
        <v>41999</v>
      </c>
      <c r="G613" t="s">
        <v>260</v>
      </c>
      <c r="H613" s="9">
        <v>61.93</v>
      </c>
      <c r="I613" s="5" t="s">
        <v>68</v>
      </c>
      <c r="J613" s="15">
        <v>41999.882881944446</v>
      </c>
      <c r="K613" t="str">
        <f t="shared" si="9"/>
        <v>12-2014</v>
      </c>
    </row>
    <row r="614" spans="3:11" x14ac:dyDescent="0.25">
      <c r="C614" t="str">
        <f>IF(COUNTBLANK(E614:J614) = 6,"",IF(AND(NOT(ISBLANK(E614)),COUNTBLANK(E614:J614) = 5),"3 Delete",IF(ISBLANK(E614),"2 Add",IF(SHA1Range(E614:J614) = "306057892d3a04077ce1ee1fd3ca808de722e17c","0 Original","1 Modify"))))</f>
        <v>0 Original</v>
      </c>
      <c r="D614" s="5" t="s">
        <v>1573</v>
      </c>
      <c r="E614" s="3">
        <v>113</v>
      </c>
      <c r="F614" s="13">
        <v>42000</v>
      </c>
      <c r="G614" t="s">
        <v>269</v>
      </c>
      <c r="H614" s="9">
        <v>24.97</v>
      </c>
      <c r="I614" s="5" t="s">
        <v>68</v>
      </c>
      <c r="J614" s="15">
        <v>42000.648182870369</v>
      </c>
      <c r="K614" t="str">
        <f t="shared" si="9"/>
        <v>12-2014</v>
      </c>
    </row>
    <row r="615" spans="3:11" x14ac:dyDescent="0.25">
      <c r="C615" t="str">
        <f>IF(COUNTBLANK(E615:J615) = 6,"",IF(AND(NOT(ISBLANK(E615)),COUNTBLANK(E615:J615) = 5),"3 Delete",IF(ISBLANK(E615),"2 Add",IF(SHA1Range(E615:J615) = "7e6414b24b05a42b9cc275773fba48bd024f52f0","0 Original","1 Modify"))))</f>
        <v>0 Original</v>
      </c>
      <c r="D615" s="5" t="s">
        <v>1574</v>
      </c>
      <c r="E615" s="3">
        <v>636</v>
      </c>
      <c r="F615" s="13">
        <v>42002</v>
      </c>
      <c r="G615" t="s">
        <v>341</v>
      </c>
      <c r="H615" s="9">
        <v>9.98</v>
      </c>
      <c r="I615" s="5" t="s">
        <v>68</v>
      </c>
      <c r="J615" s="15">
        <v>42002.557013888887</v>
      </c>
      <c r="K615" t="str">
        <f t="shared" si="9"/>
        <v>12-2014</v>
      </c>
    </row>
    <row r="616" spans="3:11" x14ac:dyDescent="0.25">
      <c r="C616" t="str">
        <f>IF(COUNTBLANK(E616:J616) = 6,"",IF(AND(NOT(ISBLANK(E616)),COUNTBLANK(E616:J616) = 5),"3 Delete",IF(ISBLANK(E616),"2 Add",IF(SHA1Range(E616:J616) = "0ce58b7a89147970feab762d5849e64855698ca9","0 Original","1 Modify"))))</f>
        <v>0 Original</v>
      </c>
      <c r="D616" s="5" t="s">
        <v>1575</v>
      </c>
      <c r="E616" s="3">
        <v>224</v>
      </c>
      <c r="F616" s="13">
        <v>42002</v>
      </c>
      <c r="G616" t="s">
        <v>354</v>
      </c>
      <c r="H616" s="9">
        <v>69.91</v>
      </c>
      <c r="I616" s="5" t="s">
        <v>68</v>
      </c>
      <c r="J616" s="15">
        <v>42002.577106481483</v>
      </c>
      <c r="K616" t="str">
        <f t="shared" si="9"/>
        <v>12-2014</v>
      </c>
    </row>
    <row r="617" spans="3:11" x14ac:dyDescent="0.25">
      <c r="C617" t="str">
        <f>IF(COUNTBLANK(E617:J617) = 6,"",IF(AND(NOT(ISBLANK(E617)),COUNTBLANK(E617:J617) = 5),"3 Delete",IF(ISBLANK(E617),"2 Add",IF(SHA1Range(E617:J617) = "f72ad54f8aa3ce62140fc5516431d854f8f400a4","0 Original","1 Modify"))))</f>
        <v>0 Original</v>
      </c>
      <c r="D617" s="5" t="s">
        <v>1576</v>
      </c>
      <c r="E617" s="3">
        <v>102</v>
      </c>
      <c r="F617" s="13">
        <v>42002</v>
      </c>
      <c r="G617" t="s">
        <v>65</v>
      </c>
      <c r="H617" s="9">
        <v>25.97</v>
      </c>
      <c r="I617" s="5" t="s">
        <v>68</v>
      </c>
      <c r="J617" s="15">
        <v>42002.754155092596</v>
      </c>
      <c r="K617" t="str">
        <f t="shared" si="9"/>
        <v>12-2014</v>
      </c>
    </row>
    <row r="618" spans="3:11" x14ac:dyDescent="0.25">
      <c r="C618" t="str">
        <f>IF(COUNTBLANK(E618:J618) = 6,"",IF(AND(NOT(ISBLANK(E618)),COUNTBLANK(E618:J618) = 5),"3 Delete",IF(ISBLANK(E618),"2 Add",IF(SHA1Range(E618:J618) = "5d5c6fc1117a35eb8288be1877bd69151e553c77","0 Original","1 Modify"))))</f>
        <v>0 Original</v>
      </c>
      <c r="D618" s="5" t="s">
        <v>1577</v>
      </c>
      <c r="E618" s="3">
        <v>640</v>
      </c>
      <c r="F618" s="13">
        <v>42002</v>
      </c>
      <c r="G618" t="s">
        <v>86</v>
      </c>
      <c r="H618" s="9">
        <v>26.96</v>
      </c>
      <c r="I618" s="5" t="s">
        <v>68</v>
      </c>
      <c r="J618" s="15">
        <v>42002.946944444448</v>
      </c>
      <c r="K618" t="str">
        <f t="shared" si="9"/>
        <v>12-2014</v>
      </c>
    </row>
    <row r="619" spans="3:11" x14ac:dyDescent="0.25">
      <c r="C619" t="str">
        <f>IF(COUNTBLANK(E619:J619) = 6,"",IF(AND(NOT(ISBLANK(E619)),COUNTBLANK(E619:J619) = 5),"3 Delete",IF(ISBLANK(E619),"2 Add",IF(SHA1Range(E619:J619) = "8bd1d3dc6aaeae7b07374f843b1183f5d7c7e319","0 Original","1 Modify"))))</f>
        <v>0 Original</v>
      </c>
      <c r="D619" s="5" t="s">
        <v>1578</v>
      </c>
      <c r="E619" s="3">
        <v>947</v>
      </c>
      <c r="F619" s="13">
        <v>42003</v>
      </c>
      <c r="G619" t="s">
        <v>221</v>
      </c>
      <c r="H619" s="9">
        <v>61.92</v>
      </c>
      <c r="I619" s="5" t="s">
        <v>68</v>
      </c>
      <c r="J619" s="15">
        <v>42003.93677083333</v>
      </c>
      <c r="K619" t="str">
        <f t="shared" si="9"/>
        <v>12-2014</v>
      </c>
    </row>
    <row r="620" spans="3:11" x14ac:dyDescent="0.25">
      <c r="C620" t="str">
        <f>IF(COUNTBLANK(E620:J620) = 6,"",IF(AND(NOT(ISBLANK(E620)),COUNTBLANK(E620:J620) = 5),"3 Delete",IF(ISBLANK(E620),"2 Add",IF(SHA1Range(E620:J620) = "7c8adc93a97146de27d76827b939e80bcffb10fd","0 Original","1 Modify"))))</f>
        <v>0 Original</v>
      </c>
      <c r="D620" s="5" t="s">
        <v>1579</v>
      </c>
      <c r="E620" s="3">
        <v>719</v>
      </c>
      <c r="F620" s="13">
        <v>42004</v>
      </c>
      <c r="G620" t="s">
        <v>221</v>
      </c>
      <c r="H620" s="9">
        <v>26.97</v>
      </c>
      <c r="I620" s="5" t="s">
        <v>68</v>
      </c>
      <c r="J620" s="15">
        <v>42004.44767361111</v>
      </c>
      <c r="K620" t="str">
        <f t="shared" si="9"/>
        <v>12-2014</v>
      </c>
    </row>
    <row r="621" spans="3:11" x14ac:dyDescent="0.25">
      <c r="C621" t="str">
        <f>IF(COUNTBLANK(E621:J621) = 6,"",IF(AND(NOT(ISBLANK(E621)),COUNTBLANK(E621:J621) = 5),"3 Delete",IF(ISBLANK(E621),"2 Add",IF(SHA1Range(E621:J621) = "25cd6c10f2391edccfb534cad264a42c0e4f997d","0 Original","1 Modify"))))</f>
        <v>0 Original</v>
      </c>
      <c r="D621" s="5" t="s">
        <v>1580</v>
      </c>
      <c r="E621" s="3">
        <v>1081</v>
      </c>
      <c r="F621" s="13">
        <v>42004</v>
      </c>
      <c r="G621" t="s">
        <v>260</v>
      </c>
      <c r="H621" s="9">
        <v>44.94</v>
      </c>
      <c r="I621" s="5" t="s">
        <v>68</v>
      </c>
      <c r="J621" s="15">
        <v>42004.668067129627</v>
      </c>
      <c r="K621" t="str">
        <f t="shared" si="9"/>
        <v>12-2014</v>
      </c>
    </row>
    <row r="622" spans="3:11" x14ac:dyDescent="0.25">
      <c r="C622" t="str">
        <f>IF(COUNTBLANK(E622:J622) = 6,"",IF(AND(NOT(ISBLANK(E622)),COUNTBLANK(E622:J622) = 5),"3 Delete",IF(ISBLANK(E622),"2 Add",IF(SHA1Range(E622:J622) = "5c00795980acf4ad5d3bd3a76f3ac2d5ee756a25","0 Original","1 Modify"))))</f>
        <v>0 Original</v>
      </c>
      <c r="D622" s="5" t="s">
        <v>1581</v>
      </c>
      <c r="E622" s="3">
        <v>632</v>
      </c>
      <c r="F622" s="13">
        <v>42004</v>
      </c>
      <c r="G622" t="s">
        <v>86</v>
      </c>
      <c r="H622" s="9">
        <v>31.96</v>
      </c>
      <c r="I622" s="5" t="s">
        <v>68</v>
      </c>
      <c r="J622" s="15">
        <v>42004.858460648145</v>
      </c>
      <c r="K622" t="str">
        <f t="shared" si="9"/>
        <v>12-2014</v>
      </c>
    </row>
    <row r="623" spans="3:11" x14ac:dyDescent="0.25">
      <c r="C623" t="str">
        <f>IF(COUNTBLANK(E623:J623) = 6,"",IF(AND(NOT(ISBLANK(E623)),COUNTBLANK(E623:J623) = 5),"3 Delete",IF(ISBLANK(E623),"2 Add",IF(SHA1Range(E623:J623) = "f007d6fbdfed85214bc050150d9b37b20597d773","0 Original","1 Modify"))))</f>
        <v>0 Original</v>
      </c>
      <c r="D623" s="5" t="s">
        <v>1582</v>
      </c>
      <c r="E623" s="3">
        <v>823</v>
      </c>
      <c r="F623" s="13">
        <v>42007</v>
      </c>
      <c r="G623" t="s">
        <v>134</v>
      </c>
      <c r="H623" s="9">
        <v>33.96</v>
      </c>
      <c r="I623" s="5" t="s">
        <v>68</v>
      </c>
      <c r="J623" s="15">
        <v>42007.264699074076</v>
      </c>
      <c r="K623" t="str">
        <f t="shared" si="9"/>
        <v>01-2015</v>
      </c>
    </row>
    <row r="624" spans="3:11" x14ac:dyDescent="0.25">
      <c r="C624" t="str">
        <f>IF(COUNTBLANK(E624:J624) = 6,"",IF(AND(NOT(ISBLANK(E624)),COUNTBLANK(E624:J624) = 5),"3 Delete",IF(ISBLANK(E624),"2 Add",IF(SHA1Range(E624:J624) = "17975f486c6e551eb3734d7d261ab88b4c5e2c65","0 Original","1 Modify"))))</f>
        <v>0 Original</v>
      </c>
      <c r="D624" s="5" t="s">
        <v>1583</v>
      </c>
      <c r="E624" s="3">
        <v>1134</v>
      </c>
      <c r="F624" s="13">
        <v>42008</v>
      </c>
      <c r="G624" t="s">
        <v>245</v>
      </c>
      <c r="H624" s="9">
        <v>59.92</v>
      </c>
      <c r="I624" s="5" t="s">
        <v>68</v>
      </c>
      <c r="J624" s="15">
        <v>42008.752650462964</v>
      </c>
      <c r="K624" t="str">
        <f t="shared" si="9"/>
        <v>01-2015</v>
      </c>
    </row>
    <row r="625" spans="3:11" x14ac:dyDescent="0.25">
      <c r="C625" t="str">
        <f>IF(COUNTBLANK(E625:J625) = 6,"",IF(AND(NOT(ISBLANK(E625)),COUNTBLANK(E625:J625) = 5),"3 Delete",IF(ISBLANK(E625),"2 Add",IF(SHA1Range(E625:J625) = "fdf19e23bbd5187dcce6bd631dc2869cee04856f","0 Original","1 Modify"))))</f>
        <v>0 Original</v>
      </c>
      <c r="D625" s="5" t="s">
        <v>1584</v>
      </c>
      <c r="E625" s="3">
        <v>1391</v>
      </c>
      <c r="F625" s="13">
        <v>42008</v>
      </c>
      <c r="G625" t="s">
        <v>344</v>
      </c>
      <c r="H625" s="9">
        <v>53.93</v>
      </c>
      <c r="I625" s="5" t="s">
        <v>68</v>
      </c>
      <c r="J625" s="15">
        <v>42008.985092592593</v>
      </c>
      <c r="K625" t="str">
        <f t="shared" si="9"/>
        <v>01-2015</v>
      </c>
    </row>
    <row r="626" spans="3:11" x14ac:dyDescent="0.25">
      <c r="C626" t="str">
        <f>IF(COUNTBLANK(E626:J626) = 6,"",IF(AND(NOT(ISBLANK(E626)),COUNTBLANK(E626:J626) = 5),"3 Delete",IF(ISBLANK(E626),"2 Add",IF(SHA1Range(E626:J626) = "2b86a043809bb254ab8544724f267d99cdd3ce3a","0 Original","1 Modify"))))</f>
        <v>0 Original</v>
      </c>
      <c r="D626" s="5" t="s">
        <v>1585</v>
      </c>
      <c r="E626" s="3">
        <v>1252</v>
      </c>
      <c r="F626" s="13">
        <v>42009</v>
      </c>
      <c r="G626" t="s">
        <v>245</v>
      </c>
      <c r="H626" s="9">
        <v>58.92</v>
      </c>
      <c r="I626" s="5" t="s">
        <v>68</v>
      </c>
      <c r="J626" s="15">
        <v>42009.14744212963</v>
      </c>
      <c r="K626" t="str">
        <f t="shared" si="9"/>
        <v>01-2015</v>
      </c>
    </row>
    <row r="627" spans="3:11" x14ac:dyDescent="0.25">
      <c r="C627" t="str">
        <f>IF(COUNTBLANK(E627:J627) = 6,"",IF(AND(NOT(ISBLANK(E627)),COUNTBLANK(E627:J627) = 5),"3 Delete",IF(ISBLANK(E627),"2 Add",IF(SHA1Range(E627:J627) = "fddd8c8127a7601b140c721b063807449ed6daac","0 Original","1 Modify"))))</f>
        <v>0 Original</v>
      </c>
      <c r="D627" s="5" t="s">
        <v>1586</v>
      </c>
      <c r="E627" s="3">
        <v>1320</v>
      </c>
      <c r="F627" s="13">
        <v>42009</v>
      </c>
      <c r="G627" t="s">
        <v>212</v>
      </c>
      <c r="H627" s="9">
        <v>52.93</v>
      </c>
      <c r="I627" s="5" t="s">
        <v>68</v>
      </c>
      <c r="J627" s="15">
        <v>42009.662465277775</v>
      </c>
      <c r="K627" t="str">
        <f t="shared" si="9"/>
        <v>01-2015</v>
      </c>
    </row>
    <row r="628" spans="3:11" x14ac:dyDescent="0.25">
      <c r="C628" t="str">
        <f>IF(COUNTBLANK(E628:J628) = 6,"",IF(AND(NOT(ISBLANK(E628)),COUNTBLANK(E628:J628) = 5),"3 Delete",IF(ISBLANK(E628),"2 Add",IF(SHA1Range(E628:J628) = "a3eea1d12b4b65e53716c1cb8e602703eda5c023","0 Original","1 Modify"))))</f>
        <v>0 Original</v>
      </c>
      <c r="D628" s="5" t="s">
        <v>1587</v>
      </c>
      <c r="E628" s="3">
        <v>1429</v>
      </c>
      <c r="F628" s="13">
        <v>42009</v>
      </c>
      <c r="G628" t="s">
        <v>272</v>
      </c>
      <c r="H628" s="9">
        <v>26.97</v>
      </c>
      <c r="I628" s="5" t="s">
        <v>68</v>
      </c>
      <c r="J628" s="15">
        <v>42009.866909722223</v>
      </c>
      <c r="K628" t="str">
        <f t="shared" si="9"/>
        <v>01-2015</v>
      </c>
    </row>
    <row r="629" spans="3:11" x14ac:dyDescent="0.25">
      <c r="C629" t="str">
        <f>IF(COUNTBLANK(E629:J629) = 6,"",IF(AND(NOT(ISBLANK(E629)),COUNTBLANK(E629:J629) = 5),"3 Delete",IF(ISBLANK(E629),"2 Add",IF(SHA1Range(E629:J629) = "da78835b331e983d2a1a21a04d71eb98fac6bd23","0 Original","1 Modify"))))</f>
        <v>0 Original</v>
      </c>
      <c r="D629" s="5" t="s">
        <v>1588</v>
      </c>
      <c r="E629" s="3">
        <v>1451</v>
      </c>
      <c r="F629" s="13">
        <v>42010</v>
      </c>
      <c r="G629" t="s">
        <v>161</v>
      </c>
      <c r="H629" s="9">
        <v>11.98</v>
      </c>
      <c r="I629" s="5" t="s">
        <v>68</v>
      </c>
      <c r="J629" s="15">
        <v>42010.143449074072</v>
      </c>
      <c r="K629" t="str">
        <f t="shared" si="9"/>
        <v>01-2015</v>
      </c>
    </row>
    <row r="630" spans="3:11" x14ac:dyDescent="0.25">
      <c r="C630" t="str">
        <f>IF(COUNTBLANK(E630:J630) = 6,"",IF(AND(NOT(ISBLANK(E630)),COUNTBLANK(E630:J630) = 5),"3 Delete",IF(ISBLANK(E630),"2 Add",IF(SHA1Range(E630:J630) = "96d6744ca5a1976662ed028107759296b2e9e495","0 Original","1 Modify"))))</f>
        <v>0 Original</v>
      </c>
      <c r="D630" s="5" t="s">
        <v>1589</v>
      </c>
      <c r="E630" s="3">
        <v>1304</v>
      </c>
      <c r="F630" s="13">
        <v>42010</v>
      </c>
      <c r="G630" t="s">
        <v>278</v>
      </c>
      <c r="H630" s="9">
        <v>22.97</v>
      </c>
      <c r="I630" s="5" t="s">
        <v>68</v>
      </c>
      <c r="J630" s="15">
        <v>42010.408483796295</v>
      </c>
      <c r="K630" t="str">
        <f t="shared" si="9"/>
        <v>01-2015</v>
      </c>
    </row>
    <row r="631" spans="3:11" x14ac:dyDescent="0.25">
      <c r="C631" t="str">
        <f>IF(COUNTBLANK(E631:J631) = 6,"",IF(AND(NOT(ISBLANK(E631)),COUNTBLANK(E631:J631) = 5),"3 Delete",IF(ISBLANK(E631),"2 Add",IF(SHA1Range(E631:J631) = "a7f1edb00c76e100ad42547a39468fb9166b5ac1","0 Original","1 Modify"))))</f>
        <v>0 Original</v>
      </c>
      <c r="D631" s="5" t="s">
        <v>1590</v>
      </c>
      <c r="E631" s="3">
        <v>1257</v>
      </c>
      <c r="F631" s="13">
        <v>42010</v>
      </c>
      <c r="G631" t="s">
        <v>281</v>
      </c>
      <c r="H631" s="9">
        <v>59.91</v>
      </c>
      <c r="I631" s="5" t="s">
        <v>68</v>
      </c>
      <c r="J631" s="15">
        <v>42010.421249999999</v>
      </c>
      <c r="K631" t="str">
        <f t="shared" si="9"/>
        <v>01-2015</v>
      </c>
    </row>
    <row r="632" spans="3:11" x14ac:dyDescent="0.25">
      <c r="C632" t="str">
        <f>IF(COUNTBLANK(E632:J632) = 6,"",IF(AND(NOT(ISBLANK(E632)),COUNTBLANK(E632:J632) = 5),"3 Delete",IF(ISBLANK(E632),"2 Add",IF(SHA1Range(E632:J632) = "8af8cb872ef16843f1726c3f33019d07ebb99f73","0 Original","1 Modify"))))</f>
        <v>0 Original</v>
      </c>
      <c r="D632" s="5" t="s">
        <v>1591</v>
      </c>
      <c r="E632" s="3">
        <v>1305</v>
      </c>
      <c r="F632" s="13">
        <v>42010</v>
      </c>
      <c r="G632" t="s">
        <v>128</v>
      </c>
      <c r="H632" s="9">
        <v>8.99</v>
      </c>
      <c r="I632" s="5" t="s">
        <v>68</v>
      </c>
      <c r="J632" s="15">
        <v>42010.4997337963</v>
      </c>
      <c r="K632" t="str">
        <f t="shared" si="9"/>
        <v>01-2015</v>
      </c>
    </row>
    <row r="633" spans="3:11" x14ac:dyDescent="0.25">
      <c r="C633" t="str">
        <f>IF(COUNTBLANK(E633:J633) = 6,"",IF(AND(NOT(ISBLANK(E633)),COUNTBLANK(E633:J633) = 5),"3 Delete",IF(ISBLANK(E633),"2 Add",IF(SHA1Range(E633:J633) = "b62d52b869e3e57818fd43e230d3b6cfaa8b90cf","0 Original","1 Modify"))))</f>
        <v>0 Original</v>
      </c>
      <c r="D633" s="5" t="s">
        <v>1592</v>
      </c>
      <c r="E633" s="3">
        <v>1390</v>
      </c>
      <c r="F633" s="13">
        <v>42010</v>
      </c>
      <c r="G633" t="s">
        <v>317</v>
      </c>
      <c r="H633" s="9">
        <v>49.94</v>
      </c>
      <c r="I633" s="5" t="s">
        <v>68</v>
      </c>
      <c r="J633" s="15">
        <v>42010.570011574076</v>
      </c>
      <c r="K633" t="str">
        <f t="shared" si="9"/>
        <v>01-2015</v>
      </c>
    </row>
    <row r="634" spans="3:11" x14ac:dyDescent="0.25">
      <c r="C634" t="str">
        <f>IF(COUNTBLANK(E634:J634) = 6,"",IF(AND(NOT(ISBLANK(E634)),COUNTBLANK(E634:J634) = 5),"3 Delete",IF(ISBLANK(E634),"2 Add",IF(SHA1Range(E634:J634) = "111c1d4b8a2894e7e6c36007cb62b67973a6a9e6","0 Original","1 Modify"))))</f>
        <v>0 Original</v>
      </c>
      <c r="D634" s="5" t="s">
        <v>1593</v>
      </c>
      <c r="E634" s="3">
        <v>551</v>
      </c>
      <c r="F634" s="13">
        <v>42010</v>
      </c>
      <c r="G634" t="s">
        <v>248</v>
      </c>
      <c r="H634" s="9">
        <v>69.91</v>
      </c>
      <c r="I634" s="5" t="s">
        <v>68</v>
      </c>
      <c r="J634" s="15">
        <v>42010.72828703704</v>
      </c>
      <c r="K634" t="str">
        <f t="shared" si="9"/>
        <v>01-2015</v>
      </c>
    </row>
    <row r="635" spans="3:11" x14ac:dyDescent="0.25">
      <c r="C635" t="str">
        <f>IF(COUNTBLANK(E635:J635) = 6,"",IF(AND(NOT(ISBLANK(E635)),COUNTBLANK(E635:J635) = 5),"3 Delete",IF(ISBLANK(E635),"2 Add",IF(SHA1Range(E635:J635) = "51284f2201eeef8a3df9af56f1cfc729e783a732","0 Original","1 Modify"))))</f>
        <v>0 Original</v>
      </c>
      <c r="D635" s="5" t="s">
        <v>1594</v>
      </c>
      <c r="E635" s="3">
        <v>1282</v>
      </c>
      <c r="F635" s="13">
        <v>42010</v>
      </c>
      <c r="G635" t="s">
        <v>275</v>
      </c>
      <c r="H635" s="9">
        <v>56.93</v>
      </c>
      <c r="I635" s="5" t="s">
        <v>68</v>
      </c>
      <c r="J635" s="15">
        <v>42010.917060185187</v>
      </c>
      <c r="K635" t="str">
        <f t="shared" si="9"/>
        <v>01-2015</v>
      </c>
    </row>
    <row r="636" spans="3:11" x14ac:dyDescent="0.25">
      <c r="C636" t="str">
        <f>IF(COUNTBLANK(E636:J636) = 6,"",IF(AND(NOT(ISBLANK(E636)),COUNTBLANK(E636:J636) = 5),"3 Delete",IF(ISBLANK(E636),"2 Add",IF(SHA1Range(E636:J636) = "bdf59cd87c683c0bc72f835a4060d3cef2256c70","0 Original","1 Modify"))))</f>
        <v>0 Original</v>
      </c>
      <c r="D636" s="5" t="s">
        <v>1595</v>
      </c>
      <c r="E636" s="3">
        <v>1453</v>
      </c>
      <c r="F636" s="13">
        <v>42010</v>
      </c>
      <c r="G636" t="s">
        <v>182</v>
      </c>
      <c r="H636" s="9">
        <v>58.93</v>
      </c>
      <c r="I636" s="5" t="s">
        <v>68</v>
      </c>
      <c r="J636" s="15">
        <v>42010.922615740739</v>
      </c>
      <c r="K636" t="str">
        <f t="shared" si="9"/>
        <v>01-2015</v>
      </c>
    </row>
    <row r="637" spans="3:11" x14ac:dyDescent="0.25">
      <c r="C637" t="str">
        <f>IF(COUNTBLANK(E637:J637) = 6,"",IF(AND(NOT(ISBLANK(E637)),COUNTBLANK(E637:J637) = 5),"3 Delete",IF(ISBLANK(E637),"2 Add",IF(SHA1Range(E637:J637) = "47cf531a07002e9a48cbcd4a3b2f1d618229df2e","0 Original","1 Modify"))))</f>
        <v>0 Original</v>
      </c>
      <c r="D637" s="5" t="s">
        <v>1596</v>
      </c>
      <c r="E637" s="3">
        <v>769</v>
      </c>
      <c r="F637" s="13">
        <v>42011</v>
      </c>
      <c r="G637" t="s">
        <v>272</v>
      </c>
      <c r="H637" s="9">
        <v>9.99</v>
      </c>
      <c r="I637" s="5" t="s">
        <v>68</v>
      </c>
      <c r="J637" s="15">
        <v>42011.544652777775</v>
      </c>
      <c r="K637" t="str">
        <f t="shared" si="9"/>
        <v>01-2015</v>
      </c>
    </row>
    <row r="638" spans="3:11" x14ac:dyDescent="0.25">
      <c r="C638" t="str">
        <f>IF(COUNTBLANK(E638:J638) = 6,"",IF(AND(NOT(ISBLANK(E638)),COUNTBLANK(E638:J638) = 5),"3 Delete",IF(ISBLANK(E638),"2 Add",IF(SHA1Range(E638:J638) = "9f697f6158b3daa9489bf1874bd80bda45eaccee","0 Original","1 Modify"))))</f>
        <v>0 Original</v>
      </c>
      <c r="D638" s="5" t="s">
        <v>1597</v>
      </c>
      <c r="E638" s="3">
        <v>1418</v>
      </c>
      <c r="F638" s="13">
        <v>42011</v>
      </c>
      <c r="G638" t="s">
        <v>275</v>
      </c>
      <c r="H638" s="9">
        <v>19.97</v>
      </c>
      <c r="I638" s="5" t="s">
        <v>68</v>
      </c>
      <c r="J638" s="15">
        <v>42011.714212962965</v>
      </c>
      <c r="K638" t="str">
        <f t="shared" si="9"/>
        <v>01-2015</v>
      </c>
    </row>
    <row r="639" spans="3:11" x14ac:dyDescent="0.25">
      <c r="C639" t="str">
        <f>IF(COUNTBLANK(E639:J639) = 6,"",IF(AND(NOT(ISBLANK(E639)),COUNTBLANK(E639:J639) = 5),"3 Delete",IF(ISBLANK(E639),"2 Add",IF(SHA1Range(E639:J639) = "73546d6ba97d80bb760e9576f6733672630a14be","0 Original","1 Modify"))))</f>
        <v>0 Original</v>
      </c>
      <c r="D639" s="5" t="s">
        <v>1598</v>
      </c>
      <c r="E639" s="3">
        <v>1484</v>
      </c>
      <c r="F639" s="13">
        <v>42011</v>
      </c>
      <c r="G639" t="s">
        <v>257</v>
      </c>
      <c r="H639" s="9">
        <v>33.96</v>
      </c>
      <c r="I639" s="5" t="s">
        <v>68</v>
      </c>
      <c r="J639" s="15">
        <v>42011.929942129631</v>
      </c>
      <c r="K639" t="str">
        <f t="shared" si="9"/>
        <v>01-2015</v>
      </c>
    </row>
    <row r="640" spans="3:11" x14ac:dyDescent="0.25">
      <c r="C640" t="str">
        <f>IF(COUNTBLANK(E640:J640) = 6,"",IF(AND(NOT(ISBLANK(E640)),COUNTBLANK(E640:J640) = 5),"3 Delete",IF(ISBLANK(E640),"2 Add",IF(SHA1Range(E640:J640) = "fe9dfa91a08d752f5027798966d0319d1ca7daaf","0 Original","1 Modify"))))</f>
        <v>0 Original</v>
      </c>
      <c r="D640" s="5" t="s">
        <v>1599</v>
      </c>
      <c r="E640" s="3">
        <v>288</v>
      </c>
      <c r="F640" s="13">
        <v>42012</v>
      </c>
      <c r="G640" t="s">
        <v>224</v>
      </c>
      <c r="H640" s="9">
        <v>23.97</v>
      </c>
      <c r="I640" s="5" t="s">
        <v>68</v>
      </c>
      <c r="J640" s="15">
        <v>42012.046099537038</v>
      </c>
      <c r="K640" t="str">
        <f t="shared" si="9"/>
        <v>01-2015</v>
      </c>
    </row>
    <row r="641" spans="3:11" x14ac:dyDescent="0.25">
      <c r="C641" t="str">
        <f>IF(COUNTBLANK(E641:J641) = 6,"",IF(AND(NOT(ISBLANK(E641)),COUNTBLANK(E641:J641) = 5),"3 Delete",IF(ISBLANK(E641),"2 Add",IF(SHA1Range(E641:J641) = "6177ffb399da9a2e37a896ac973a8f2fa2e3ceee","0 Original","1 Modify"))))</f>
        <v>0 Original</v>
      </c>
      <c r="D641" s="5" t="s">
        <v>1600</v>
      </c>
      <c r="E641" s="3">
        <v>1364</v>
      </c>
      <c r="F641" s="13">
        <v>42012</v>
      </c>
      <c r="G641" t="s">
        <v>317</v>
      </c>
      <c r="H641" s="9">
        <v>17.97</v>
      </c>
      <c r="I641" s="5" t="s">
        <v>68</v>
      </c>
      <c r="J641" s="15">
        <v>42012.904942129629</v>
      </c>
      <c r="K641" t="str">
        <f t="shared" si="9"/>
        <v>01-2015</v>
      </c>
    </row>
    <row r="642" spans="3:11" x14ac:dyDescent="0.25">
      <c r="C642" t="str">
        <f>IF(COUNTBLANK(E642:J642) = 6,"",IF(AND(NOT(ISBLANK(E642)),COUNTBLANK(E642:J642) = 5),"3 Delete",IF(ISBLANK(E642),"2 Add",IF(SHA1Range(E642:J642) = "0936141a389be2151e6de8dfd45836e137fabc01","0 Original","1 Modify"))))</f>
        <v>0 Original</v>
      </c>
      <c r="D642" s="5" t="s">
        <v>1601</v>
      </c>
      <c r="E642" s="3">
        <v>1430</v>
      </c>
      <c r="F642" s="13">
        <v>42012</v>
      </c>
      <c r="G642" t="s">
        <v>278</v>
      </c>
      <c r="H642" s="9">
        <v>23.97</v>
      </c>
      <c r="I642" s="5" t="s">
        <v>68</v>
      </c>
      <c r="J642" s="15">
        <v>42012.945057870369</v>
      </c>
      <c r="K642" t="str">
        <f t="shared" si="9"/>
        <v>01-2015</v>
      </c>
    </row>
    <row r="643" spans="3:11" x14ac:dyDescent="0.25">
      <c r="C643" t="str">
        <f>IF(COUNTBLANK(E643:J643) = 6,"",IF(AND(NOT(ISBLANK(E643)),COUNTBLANK(E643:J643) = 5),"3 Delete",IF(ISBLANK(E643),"2 Add",IF(SHA1Range(E643:J643) = "45e2fc11dcad9672b7a89be0bfb170863d5857bf","0 Original","1 Modify"))))</f>
        <v>0 Original</v>
      </c>
      <c r="D643" s="5" t="s">
        <v>1602</v>
      </c>
      <c r="E643" s="3">
        <v>1316</v>
      </c>
      <c r="F643" s="13">
        <v>42013</v>
      </c>
      <c r="G643" t="s">
        <v>212</v>
      </c>
      <c r="H643" s="9">
        <v>73.900000000000006</v>
      </c>
      <c r="I643" s="5" t="s">
        <v>68</v>
      </c>
      <c r="J643" s="15">
        <v>42013.215729166666</v>
      </c>
      <c r="K643" t="str">
        <f t="shared" ref="K643:K706" si="10">TEXT(F643,"mm-yyyy")</f>
        <v>01-2015</v>
      </c>
    </row>
    <row r="644" spans="3:11" x14ac:dyDescent="0.25">
      <c r="C644" t="str">
        <f>IF(COUNTBLANK(E644:J644) = 6,"",IF(AND(NOT(ISBLANK(E644)),COUNTBLANK(E644:J644) = 5),"3 Delete",IF(ISBLANK(E644),"2 Add",IF(SHA1Range(E644:J644) = "ebecc8e9c1e67f6b8aa1ef413a741c002da9112a","0 Original","1 Modify"))))</f>
        <v>0 Original</v>
      </c>
      <c r="D644" s="5" t="s">
        <v>1603</v>
      </c>
      <c r="E644" s="3">
        <v>1048</v>
      </c>
      <c r="F644" s="13">
        <v>42013</v>
      </c>
      <c r="G644" t="s">
        <v>326</v>
      </c>
      <c r="H644" s="9">
        <v>21.97</v>
      </c>
      <c r="I644" s="5" t="s">
        <v>68</v>
      </c>
      <c r="J644" s="15">
        <v>42013.246087962965</v>
      </c>
      <c r="K644" t="str">
        <f t="shared" si="10"/>
        <v>01-2015</v>
      </c>
    </row>
    <row r="645" spans="3:11" x14ac:dyDescent="0.25">
      <c r="C645" t="str">
        <f>IF(COUNTBLANK(E645:J645) = 6,"",IF(AND(NOT(ISBLANK(E645)),COUNTBLANK(E645:J645) = 5),"3 Delete",IF(ISBLANK(E645),"2 Add",IF(SHA1Range(E645:J645) = "fe5f3a4128eb84bf04ee6165b62a88f9c01c3050","0 Original","1 Modify"))))</f>
        <v>0 Original</v>
      </c>
      <c r="D645" s="5" t="s">
        <v>1604</v>
      </c>
      <c r="E645" s="3">
        <v>1248</v>
      </c>
      <c r="F645" s="13">
        <v>42013</v>
      </c>
      <c r="G645" t="s">
        <v>323</v>
      </c>
      <c r="H645" s="9">
        <v>30.96</v>
      </c>
      <c r="I645" s="5" t="s">
        <v>68</v>
      </c>
      <c r="J645" s="15">
        <v>42013.472210648149</v>
      </c>
      <c r="K645" t="str">
        <f t="shared" si="10"/>
        <v>01-2015</v>
      </c>
    </row>
    <row r="646" spans="3:11" x14ac:dyDescent="0.25">
      <c r="C646" t="str">
        <f>IF(COUNTBLANK(E646:J646) = 6,"",IF(AND(NOT(ISBLANK(E646)),COUNTBLANK(E646:J646) = 5),"3 Delete",IF(ISBLANK(E646),"2 Add",IF(SHA1Range(E646:J646) = "4f56b25a3218365addc661a813a1e2653c2dbed0","0 Original","1 Modify"))))</f>
        <v>0 Original</v>
      </c>
      <c r="D646" s="5" t="s">
        <v>1605</v>
      </c>
      <c r="E646" s="3">
        <v>1285</v>
      </c>
      <c r="F646" s="13">
        <v>42013</v>
      </c>
      <c r="G646" t="s">
        <v>344</v>
      </c>
      <c r="H646" s="9">
        <v>22.97</v>
      </c>
      <c r="I646" s="5" t="s">
        <v>68</v>
      </c>
      <c r="J646" s="15">
        <v>42013.562962962962</v>
      </c>
      <c r="K646" t="str">
        <f t="shared" si="10"/>
        <v>01-2015</v>
      </c>
    </row>
    <row r="647" spans="3:11" x14ac:dyDescent="0.25">
      <c r="C647" t="str">
        <f>IF(COUNTBLANK(E647:J647) = 6,"",IF(AND(NOT(ISBLANK(E647)),COUNTBLANK(E647:J647) = 5),"3 Delete",IF(ISBLANK(E647),"2 Add",IF(SHA1Range(E647:J647) = "590c435bd9b49c1bc4f679eee7109edc858e4fa7","0 Original","1 Modify"))))</f>
        <v>0 Original</v>
      </c>
      <c r="D647" s="5" t="s">
        <v>1606</v>
      </c>
      <c r="E647" s="3">
        <v>1360</v>
      </c>
      <c r="F647" s="13">
        <v>42014</v>
      </c>
      <c r="G647" t="s">
        <v>161</v>
      </c>
      <c r="H647" s="9">
        <v>32.96</v>
      </c>
      <c r="I647" s="5" t="s">
        <v>68</v>
      </c>
      <c r="J647" s="15">
        <v>42014.591249999998</v>
      </c>
      <c r="K647" t="str">
        <f t="shared" si="10"/>
        <v>01-2015</v>
      </c>
    </row>
    <row r="648" spans="3:11" x14ac:dyDescent="0.25">
      <c r="C648" t="str">
        <f>IF(COUNTBLANK(E648:J648) = 6,"",IF(AND(NOT(ISBLANK(E648)),COUNTBLANK(E648:J648) = 5),"3 Delete",IF(ISBLANK(E648),"2 Add",IF(SHA1Range(E648:J648) = "117b14fa32f6d614f369019f8a85c96543df342f","0 Original","1 Modify"))))</f>
        <v>0 Original</v>
      </c>
      <c r="D648" s="5" t="s">
        <v>1607</v>
      </c>
      <c r="E648" s="3">
        <v>1486</v>
      </c>
      <c r="F648" s="13">
        <v>42014</v>
      </c>
      <c r="G648" t="s">
        <v>182</v>
      </c>
      <c r="H648" s="9">
        <v>63.92</v>
      </c>
      <c r="I648" s="5" t="s">
        <v>68</v>
      </c>
      <c r="J648" s="15">
        <v>42014.909583333334</v>
      </c>
      <c r="K648" t="str">
        <f t="shared" si="10"/>
        <v>01-2015</v>
      </c>
    </row>
    <row r="649" spans="3:11" x14ac:dyDescent="0.25">
      <c r="C649" t="str">
        <f>IF(COUNTBLANK(E649:J649) = 6,"",IF(AND(NOT(ISBLANK(E649)),COUNTBLANK(E649:J649) = 5),"3 Delete",IF(ISBLANK(E649),"2 Add",IF(SHA1Range(E649:J649) = "c8c4a85bd5694cd3faaf955af197876e472ff9a8","0 Original","1 Modify"))))</f>
        <v>0 Original</v>
      </c>
      <c r="D649" s="5" t="s">
        <v>1608</v>
      </c>
      <c r="E649" s="3">
        <v>956</v>
      </c>
      <c r="F649" s="13">
        <v>42015</v>
      </c>
      <c r="G649" t="s">
        <v>134</v>
      </c>
      <c r="H649" s="9">
        <v>59.93</v>
      </c>
      <c r="I649" s="5" t="s">
        <v>68</v>
      </c>
      <c r="J649" s="15">
        <v>42015.183541666665</v>
      </c>
      <c r="K649" t="str">
        <f t="shared" si="10"/>
        <v>01-2015</v>
      </c>
    </row>
    <row r="650" spans="3:11" x14ac:dyDescent="0.25">
      <c r="C650" t="str">
        <f>IF(COUNTBLANK(E650:J650) = 6,"",IF(AND(NOT(ISBLANK(E650)),COUNTBLANK(E650:J650) = 5),"3 Delete",IF(ISBLANK(E650),"2 Add",IF(SHA1Range(E650:J650) = "af606a734a4cbe362ab8bbc3a34cc58c3a0d8330","0 Original","1 Modify"))))</f>
        <v>0 Original</v>
      </c>
      <c r="D650" s="5" t="s">
        <v>1609</v>
      </c>
      <c r="E650" s="3">
        <v>1153</v>
      </c>
      <c r="F650" s="13">
        <v>42015</v>
      </c>
      <c r="G650" t="s">
        <v>260</v>
      </c>
      <c r="H650" s="9">
        <v>13.98</v>
      </c>
      <c r="I650" s="5" t="s">
        <v>68</v>
      </c>
      <c r="J650" s="15">
        <v>42015.198414351849</v>
      </c>
      <c r="K650" t="str">
        <f t="shared" si="10"/>
        <v>01-2015</v>
      </c>
    </row>
    <row r="651" spans="3:11" x14ac:dyDescent="0.25">
      <c r="C651" t="str">
        <f>IF(COUNTBLANK(E651:J651) = 6,"",IF(AND(NOT(ISBLANK(E651)),COUNTBLANK(E651:J651) = 5),"3 Delete",IF(ISBLANK(E651),"2 Add",IF(SHA1Range(E651:J651) = "5ca9ecf7b9104a24a02dd52ab2c5cc2b4bd856bf","0 Original","1 Modify"))))</f>
        <v>0 Original</v>
      </c>
      <c r="D651" s="5" t="s">
        <v>1610</v>
      </c>
      <c r="E651" s="3">
        <v>1222</v>
      </c>
      <c r="F651" s="13">
        <v>42015</v>
      </c>
      <c r="G651" t="s">
        <v>323</v>
      </c>
      <c r="H651" s="9">
        <v>61.92</v>
      </c>
      <c r="I651" s="5" t="s">
        <v>68</v>
      </c>
      <c r="J651" s="15">
        <v>42015.337719907409</v>
      </c>
      <c r="K651" t="str">
        <f t="shared" si="10"/>
        <v>01-2015</v>
      </c>
    </row>
    <row r="652" spans="3:11" x14ac:dyDescent="0.25">
      <c r="C652" t="str">
        <f>IF(COUNTBLANK(E652:J652) = 6,"",IF(AND(NOT(ISBLANK(E652)),COUNTBLANK(E652:J652) = 5),"3 Delete",IF(ISBLANK(E652),"2 Add",IF(SHA1Range(E652:J652) = "ea778bba8445e93f6cd60403a72062f5081c370f","0 Original","1 Modify"))))</f>
        <v>0 Original</v>
      </c>
      <c r="D652" s="5" t="s">
        <v>1611</v>
      </c>
      <c r="E652" s="3">
        <v>574</v>
      </c>
      <c r="F652" s="13">
        <v>42015</v>
      </c>
      <c r="G652" t="s">
        <v>176</v>
      </c>
      <c r="H652" s="9">
        <v>29.96</v>
      </c>
      <c r="I652" s="5" t="s">
        <v>68</v>
      </c>
      <c r="J652" s="15">
        <v>42015.368425925924</v>
      </c>
      <c r="K652" t="str">
        <f t="shared" si="10"/>
        <v>01-2015</v>
      </c>
    </row>
    <row r="653" spans="3:11" x14ac:dyDescent="0.25">
      <c r="C653" t="str">
        <f>IF(COUNTBLANK(E653:J653) = 6,"",IF(AND(NOT(ISBLANK(E653)),COUNTBLANK(E653:J653) = 5),"3 Delete",IF(ISBLANK(E653),"2 Add",IF(SHA1Range(E653:J653) = "6841bd54983132b5b9399205ce6a92237b933524","0 Original","1 Modify"))))</f>
        <v>0 Original</v>
      </c>
      <c r="D653" s="5" t="s">
        <v>1612</v>
      </c>
      <c r="E653" s="3">
        <v>1437</v>
      </c>
      <c r="F653" s="13">
        <v>42015</v>
      </c>
      <c r="G653" t="s">
        <v>311</v>
      </c>
      <c r="H653" s="9">
        <v>15.98</v>
      </c>
      <c r="I653" s="5" t="s">
        <v>68</v>
      </c>
      <c r="J653" s="15">
        <v>42015.44189814815</v>
      </c>
      <c r="K653" t="str">
        <f t="shared" si="10"/>
        <v>01-2015</v>
      </c>
    </row>
    <row r="654" spans="3:11" x14ac:dyDescent="0.25">
      <c r="C654" t="str">
        <f>IF(COUNTBLANK(E654:J654) = 6,"",IF(AND(NOT(ISBLANK(E654)),COUNTBLANK(E654:J654) = 5),"3 Delete",IF(ISBLANK(E654),"2 Add",IF(SHA1Range(E654:J654) = "2bb88937b0b1b29c1d62cbff6ffd971f97a04467","0 Original","1 Modify"))))</f>
        <v>0 Original</v>
      </c>
      <c r="D654" s="5" t="s">
        <v>1613</v>
      </c>
      <c r="E654" s="3">
        <v>1351</v>
      </c>
      <c r="F654" s="13">
        <v>42015</v>
      </c>
      <c r="G654" t="s">
        <v>290</v>
      </c>
      <c r="H654" s="9">
        <v>29.96</v>
      </c>
      <c r="I654" s="5" t="s">
        <v>68</v>
      </c>
      <c r="J654" s="15">
        <v>42015.451956018522</v>
      </c>
      <c r="K654" t="str">
        <f t="shared" si="10"/>
        <v>01-2015</v>
      </c>
    </row>
    <row r="655" spans="3:11" x14ac:dyDescent="0.25">
      <c r="C655" t="str">
        <f>IF(COUNTBLANK(E655:J655) = 6,"",IF(AND(NOT(ISBLANK(E655)),COUNTBLANK(E655:J655) = 5),"3 Delete",IF(ISBLANK(E655),"2 Add",IF(SHA1Range(E655:J655) = "914d21f77749ea242c31fc668f32a70ed03faf2f","0 Original","1 Modify"))))</f>
        <v>0 Original</v>
      </c>
      <c r="D655" s="5" t="s">
        <v>1614</v>
      </c>
      <c r="E655" s="3">
        <v>1221</v>
      </c>
      <c r="F655" s="13">
        <v>42015</v>
      </c>
      <c r="G655" t="s">
        <v>101</v>
      </c>
      <c r="H655" s="9">
        <v>36.950000000000003</v>
      </c>
      <c r="I655" s="5" t="s">
        <v>68</v>
      </c>
      <c r="J655" s="15">
        <v>42015.673750000002</v>
      </c>
      <c r="K655" t="str">
        <f t="shared" si="10"/>
        <v>01-2015</v>
      </c>
    </row>
    <row r="656" spans="3:11" x14ac:dyDescent="0.25">
      <c r="C656" t="str">
        <f>IF(COUNTBLANK(E656:J656) = 6,"",IF(AND(NOT(ISBLANK(E656)),COUNTBLANK(E656:J656) = 5),"3 Delete",IF(ISBLANK(E656),"2 Add",IF(SHA1Range(E656:J656) = "30548a320243dc95fda69d15fb05cd9b39f3392f","0 Original","1 Modify"))))</f>
        <v>0 Original</v>
      </c>
      <c r="D656" s="5" t="s">
        <v>1615</v>
      </c>
      <c r="E656" s="3">
        <v>1378</v>
      </c>
      <c r="F656" s="13">
        <v>42015</v>
      </c>
      <c r="G656" t="s">
        <v>272</v>
      </c>
      <c r="H656" s="9">
        <v>6.99</v>
      </c>
      <c r="I656" s="5" t="s">
        <v>68</v>
      </c>
      <c r="J656" s="15">
        <v>42015.798900462964</v>
      </c>
      <c r="K656" t="str">
        <f t="shared" si="10"/>
        <v>01-2015</v>
      </c>
    </row>
    <row r="657" spans="3:11" x14ac:dyDescent="0.25">
      <c r="C657" t="str">
        <f>IF(COUNTBLANK(E657:J657) = 6,"",IF(AND(NOT(ISBLANK(E657)),COUNTBLANK(E657:J657) = 5),"3 Delete",IF(ISBLANK(E657),"2 Add",IF(SHA1Range(E657:J657) = "6476d98ea71f9fe2c808d170591f94ff033ce361","0 Original","1 Modify"))))</f>
        <v>0 Original</v>
      </c>
      <c r="D657" s="5" t="s">
        <v>1616</v>
      </c>
      <c r="E657" s="3">
        <v>1336</v>
      </c>
      <c r="F657" s="13">
        <v>42016</v>
      </c>
      <c r="G657" t="s">
        <v>98</v>
      </c>
      <c r="H657" s="9">
        <v>43.94</v>
      </c>
      <c r="I657" s="5" t="s">
        <v>68</v>
      </c>
      <c r="J657" s="15">
        <v>42016.257662037038</v>
      </c>
      <c r="K657" t="str">
        <f t="shared" si="10"/>
        <v>01-2015</v>
      </c>
    </row>
    <row r="658" spans="3:11" x14ac:dyDescent="0.25">
      <c r="C658" t="str">
        <f>IF(COUNTBLANK(E658:J658) = 6,"",IF(AND(NOT(ISBLANK(E658)),COUNTBLANK(E658:J658) = 5),"3 Delete",IF(ISBLANK(E658),"2 Add",IF(SHA1Range(E658:J658) = "f7c467d6d5fe2bffb5205312283b5dec902ce536","0 Original","1 Modify"))))</f>
        <v>0 Original</v>
      </c>
      <c r="D658" s="5" t="s">
        <v>1617</v>
      </c>
      <c r="E658" s="3">
        <v>1387</v>
      </c>
      <c r="F658" s="13">
        <v>42016</v>
      </c>
      <c r="G658" t="s">
        <v>161</v>
      </c>
      <c r="H658" s="9">
        <v>45.94</v>
      </c>
      <c r="I658" s="5" t="s">
        <v>68</v>
      </c>
      <c r="J658" s="15">
        <v>42016.407164351855</v>
      </c>
      <c r="K658" t="str">
        <f t="shared" si="10"/>
        <v>01-2015</v>
      </c>
    </row>
    <row r="659" spans="3:11" x14ac:dyDescent="0.25">
      <c r="C659" t="str">
        <f>IF(COUNTBLANK(E659:J659) = 6,"",IF(AND(NOT(ISBLANK(E659)),COUNTBLANK(E659:J659) = 5),"3 Delete",IF(ISBLANK(E659),"2 Add",IF(SHA1Range(E659:J659) = "1ad4fa6e8c3f5f9e718f6ef737ad26dd2423ca61","0 Original","1 Modify"))))</f>
        <v>0 Original</v>
      </c>
      <c r="D659" s="5" t="s">
        <v>1618</v>
      </c>
      <c r="E659" s="3">
        <v>432</v>
      </c>
      <c r="F659" s="13">
        <v>42016</v>
      </c>
      <c r="G659" t="s">
        <v>347</v>
      </c>
      <c r="H659" s="9">
        <v>42.93</v>
      </c>
      <c r="I659" s="5" t="s">
        <v>68</v>
      </c>
      <c r="J659" s="15">
        <v>42016.632893518516</v>
      </c>
      <c r="K659" t="str">
        <f t="shared" si="10"/>
        <v>01-2015</v>
      </c>
    </row>
    <row r="660" spans="3:11" x14ac:dyDescent="0.25">
      <c r="C660" t="str">
        <f>IF(COUNTBLANK(E660:J660) = 6,"",IF(AND(NOT(ISBLANK(E660)),COUNTBLANK(E660:J660) = 5),"3 Delete",IF(ISBLANK(E660),"2 Add",IF(SHA1Range(E660:J660) = "1ace7e25eed9cf4776dd32998b12460253584e19","0 Original","1 Modify"))))</f>
        <v>0 Original</v>
      </c>
      <c r="D660" s="5" t="s">
        <v>1619</v>
      </c>
      <c r="E660" s="3">
        <v>1416</v>
      </c>
      <c r="F660" s="13">
        <v>42016</v>
      </c>
      <c r="G660" t="s">
        <v>92</v>
      </c>
      <c r="H660" s="9">
        <v>24.97</v>
      </c>
      <c r="I660" s="5" t="s">
        <v>68</v>
      </c>
      <c r="J660" s="15">
        <v>42016.67496527778</v>
      </c>
      <c r="K660" t="str">
        <f t="shared" si="10"/>
        <v>01-2015</v>
      </c>
    </row>
    <row r="661" spans="3:11" x14ac:dyDescent="0.25">
      <c r="C661" t="str">
        <f>IF(COUNTBLANK(E661:J661) = 6,"",IF(AND(NOT(ISBLANK(E661)),COUNTBLANK(E661:J661) = 5),"3 Delete",IF(ISBLANK(E661),"2 Add",IF(SHA1Range(E661:J661) = "da0f05f9752dc3524e10c06357b454fe650714ef","0 Original","1 Modify"))))</f>
        <v>0 Original</v>
      </c>
      <c r="D661" s="5" t="s">
        <v>1620</v>
      </c>
      <c r="E661" s="3">
        <v>273</v>
      </c>
      <c r="F661" s="13">
        <v>42016</v>
      </c>
      <c r="G661" t="s">
        <v>188</v>
      </c>
      <c r="H661" s="9">
        <v>61.91</v>
      </c>
      <c r="I661" s="5" t="s">
        <v>68</v>
      </c>
      <c r="J661" s="15">
        <v>42016.676365740743</v>
      </c>
      <c r="K661" t="str">
        <f t="shared" si="10"/>
        <v>01-2015</v>
      </c>
    </row>
    <row r="662" spans="3:11" x14ac:dyDescent="0.25">
      <c r="C662" t="str">
        <f>IF(COUNTBLANK(E662:J662) = 6,"",IF(AND(NOT(ISBLANK(E662)),COUNTBLANK(E662:J662) = 5),"3 Delete",IF(ISBLANK(E662),"2 Add",IF(SHA1Range(E662:J662) = "287216eedd33e2f477bd1880953e8a149c7bcfc3","0 Original","1 Modify"))))</f>
        <v>0 Original</v>
      </c>
      <c r="D662" s="5" t="s">
        <v>1621</v>
      </c>
      <c r="E662" s="3">
        <v>942</v>
      </c>
      <c r="F662" s="13">
        <v>42016</v>
      </c>
      <c r="G662" t="s">
        <v>134</v>
      </c>
      <c r="H662" s="9">
        <v>16.97</v>
      </c>
      <c r="I662" s="5" t="s">
        <v>68</v>
      </c>
      <c r="J662" s="15">
        <v>42016.689097222225</v>
      </c>
      <c r="K662" t="str">
        <f t="shared" si="10"/>
        <v>01-2015</v>
      </c>
    </row>
    <row r="663" spans="3:11" x14ac:dyDescent="0.25">
      <c r="C663" t="str">
        <f>IF(COUNTBLANK(E663:J663) = 6,"",IF(AND(NOT(ISBLANK(E663)),COUNTBLANK(E663:J663) = 5),"3 Delete",IF(ISBLANK(E663),"2 Add",IF(SHA1Range(E663:J663) = "1d009d6763251e31cff271e51bc970558ae2f184","0 Original","1 Modify"))))</f>
        <v>0 Original</v>
      </c>
      <c r="D663" s="5" t="s">
        <v>1622</v>
      </c>
      <c r="E663" s="3">
        <v>791</v>
      </c>
      <c r="F663" s="13">
        <v>42016</v>
      </c>
      <c r="G663" t="s">
        <v>302</v>
      </c>
      <c r="H663" s="9">
        <v>11.98</v>
      </c>
      <c r="I663" s="5" t="s">
        <v>68</v>
      </c>
      <c r="J663" s="15">
        <v>42016.831979166665</v>
      </c>
      <c r="K663" t="str">
        <f t="shared" si="10"/>
        <v>01-2015</v>
      </c>
    </row>
    <row r="664" spans="3:11" x14ac:dyDescent="0.25">
      <c r="C664" t="str">
        <f>IF(COUNTBLANK(E664:J664) = 6,"",IF(AND(NOT(ISBLANK(E664)),COUNTBLANK(E664:J664) = 5),"3 Delete",IF(ISBLANK(E664),"2 Add",IF(SHA1Range(E664:J664) = "eb5cf077f362cdbc9539431cc789e39a29016ec4","0 Original","1 Modify"))))</f>
        <v>0 Original</v>
      </c>
      <c r="D664" s="5" t="s">
        <v>1623</v>
      </c>
      <c r="E664" s="3">
        <v>1449</v>
      </c>
      <c r="F664" s="13">
        <v>42017</v>
      </c>
      <c r="G664" t="s">
        <v>323</v>
      </c>
      <c r="H664" s="9">
        <v>22.97</v>
      </c>
      <c r="I664" s="5" t="s">
        <v>68</v>
      </c>
      <c r="J664" s="15">
        <v>42017.444675925923</v>
      </c>
      <c r="K664" t="str">
        <f t="shared" si="10"/>
        <v>01-2015</v>
      </c>
    </row>
    <row r="665" spans="3:11" x14ac:dyDescent="0.25">
      <c r="C665" t="str">
        <f>IF(COUNTBLANK(E665:J665) = 6,"",IF(AND(NOT(ISBLANK(E665)),COUNTBLANK(E665:J665) = 5),"3 Delete",IF(ISBLANK(E665),"2 Add",IF(SHA1Range(E665:J665) = "75cc8fe052d0fba344fcb572d37dfcdead67f42b","0 Original","1 Modify"))))</f>
        <v>0 Original</v>
      </c>
      <c r="D665" s="5" t="s">
        <v>1624</v>
      </c>
      <c r="E665" s="3">
        <v>1224</v>
      </c>
      <c r="F665" s="13">
        <v>42017</v>
      </c>
      <c r="G665" t="s">
        <v>275</v>
      </c>
      <c r="H665" s="9">
        <v>31.95</v>
      </c>
      <c r="I665" s="5" t="s">
        <v>68</v>
      </c>
      <c r="J665" s="15">
        <v>42017.457951388889</v>
      </c>
      <c r="K665" t="str">
        <f t="shared" si="10"/>
        <v>01-2015</v>
      </c>
    </row>
    <row r="666" spans="3:11" x14ac:dyDescent="0.25">
      <c r="C666" t="str">
        <f>IF(COUNTBLANK(E666:J666) = 6,"",IF(AND(NOT(ISBLANK(E666)),COUNTBLANK(E666:J666) = 5),"3 Delete",IF(ISBLANK(E666),"2 Add",IF(SHA1Range(E666:J666) = "4435444ee6673fbd0715eea725abc26d75466746","0 Original","1 Modify"))))</f>
        <v>0 Original</v>
      </c>
      <c r="D666" s="5" t="s">
        <v>1625</v>
      </c>
      <c r="E666" s="3">
        <v>1394</v>
      </c>
      <c r="F666" s="13">
        <v>42017</v>
      </c>
      <c r="G666" t="s">
        <v>65</v>
      </c>
      <c r="H666" s="9">
        <v>26.97</v>
      </c>
      <c r="I666" s="5" t="s">
        <v>68</v>
      </c>
      <c r="J666" s="15">
        <v>42017.760694444441</v>
      </c>
      <c r="K666" t="str">
        <f t="shared" si="10"/>
        <v>01-2015</v>
      </c>
    </row>
    <row r="667" spans="3:11" x14ac:dyDescent="0.25">
      <c r="C667" t="str">
        <f>IF(COUNTBLANK(E667:J667) = 6,"",IF(AND(NOT(ISBLANK(E667)),COUNTBLANK(E667:J667) = 5),"3 Delete",IF(ISBLANK(E667),"2 Add",IF(SHA1Range(E667:J667) = "72b8009bbd01fd91af98f9a49c71261ec10d317e","0 Original","1 Modify"))))</f>
        <v>0 Original</v>
      </c>
      <c r="D667" s="5" t="s">
        <v>1626</v>
      </c>
      <c r="E667" s="3">
        <v>1001</v>
      </c>
      <c r="F667" s="13">
        <v>42018</v>
      </c>
      <c r="G667" t="s">
        <v>326</v>
      </c>
      <c r="H667" s="9">
        <v>59.93</v>
      </c>
      <c r="I667" s="5" t="s">
        <v>68</v>
      </c>
      <c r="J667" s="15">
        <v>42018.068472222221</v>
      </c>
      <c r="K667" t="str">
        <f t="shared" si="10"/>
        <v>01-2015</v>
      </c>
    </row>
    <row r="668" spans="3:11" x14ac:dyDescent="0.25">
      <c r="C668" t="str">
        <f>IF(COUNTBLANK(E668:J668) = 6,"",IF(AND(NOT(ISBLANK(E668)),COUNTBLANK(E668:J668) = 5),"3 Delete",IF(ISBLANK(E668),"2 Add",IF(SHA1Range(E668:J668) = "65f9c2047b4cf9402614d6c163c455c2616e17c3","0 Original","1 Modify"))))</f>
        <v>0 Original</v>
      </c>
      <c r="D668" s="5" t="s">
        <v>1627</v>
      </c>
      <c r="E668" s="3">
        <v>1268</v>
      </c>
      <c r="F668" s="13">
        <v>42018</v>
      </c>
      <c r="G668" t="s">
        <v>98</v>
      </c>
      <c r="H668" s="9">
        <v>25.96</v>
      </c>
      <c r="I668" s="5" t="s">
        <v>68</v>
      </c>
      <c r="J668" s="15">
        <v>42018.1640625</v>
      </c>
      <c r="K668" t="str">
        <f t="shared" si="10"/>
        <v>01-2015</v>
      </c>
    </row>
    <row r="669" spans="3:11" x14ac:dyDescent="0.25">
      <c r="C669" t="str">
        <f>IF(COUNTBLANK(E669:J669) = 6,"",IF(AND(NOT(ISBLANK(E669)),COUNTBLANK(E669:J669) = 5),"3 Delete",IF(ISBLANK(E669),"2 Add",IF(SHA1Range(E669:J669) = "fddc78ea6b3852f5f6340779d5023bb999cf29c5","0 Original","1 Modify"))))</f>
        <v>0 Original</v>
      </c>
      <c r="D669" s="5" t="s">
        <v>1628</v>
      </c>
      <c r="E669" s="3">
        <v>1375</v>
      </c>
      <c r="F669" s="13">
        <v>42018</v>
      </c>
      <c r="G669" t="s">
        <v>65</v>
      </c>
      <c r="H669" s="9">
        <v>75.900000000000006</v>
      </c>
      <c r="I669" s="5" t="s">
        <v>68</v>
      </c>
      <c r="J669" s="15">
        <v>42018.537673611114</v>
      </c>
      <c r="K669" t="str">
        <f t="shared" si="10"/>
        <v>01-2015</v>
      </c>
    </row>
    <row r="670" spans="3:11" x14ac:dyDescent="0.25">
      <c r="C670" t="str">
        <f>IF(COUNTBLANK(E670:J670) = 6,"",IF(AND(NOT(ISBLANK(E670)),COUNTBLANK(E670:J670) = 5),"3 Delete",IF(ISBLANK(E670),"2 Add",IF(SHA1Range(E670:J670) = "3f46fee3a3970c2752234b5f06c903927278060b","0 Original","1 Modify"))))</f>
        <v>0 Original</v>
      </c>
      <c r="D670" s="5" t="s">
        <v>1629</v>
      </c>
      <c r="E670" s="3">
        <v>1256</v>
      </c>
      <c r="F670" s="13">
        <v>42018</v>
      </c>
      <c r="G670" t="s">
        <v>140</v>
      </c>
      <c r="H670" s="9">
        <v>28.96</v>
      </c>
      <c r="I670" s="5" t="s">
        <v>68</v>
      </c>
      <c r="J670" s="15">
        <v>42018.872476851851</v>
      </c>
      <c r="K670" t="str">
        <f t="shared" si="10"/>
        <v>01-2015</v>
      </c>
    </row>
    <row r="671" spans="3:11" x14ac:dyDescent="0.25">
      <c r="C671" t="str">
        <f>IF(COUNTBLANK(E671:J671) = 6,"",IF(AND(NOT(ISBLANK(E671)),COUNTBLANK(E671:J671) = 5),"3 Delete",IF(ISBLANK(E671),"2 Add",IF(SHA1Range(E671:J671) = "dae5acc0f73396ef35bb327b4719f3136339e7ba","0 Original","1 Modify"))))</f>
        <v>0 Original</v>
      </c>
      <c r="D671" s="5" t="s">
        <v>1630</v>
      </c>
      <c r="E671" s="3">
        <v>1439</v>
      </c>
      <c r="F671" s="13">
        <v>42018</v>
      </c>
      <c r="G671" t="s">
        <v>272</v>
      </c>
      <c r="H671" s="9">
        <v>8.99</v>
      </c>
      <c r="I671" s="5" t="s">
        <v>68</v>
      </c>
      <c r="J671" s="15">
        <v>42018.874328703707</v>
      </c>
      <c r="K671" t="str">
        <f t="shared" si="10"/>
        <v>01-2015</v>
      </c>
    </row>
    <row r="672" spans="3:11" x14ac:dyDescent="0.25">
      <c r="C672" t="str">
        <f>IF(COUNTBLANK(E672:J672) = 6,"",IF(AND(NOT(ISBLANK(E672)),COUNTBLANK(E672:J672) = 5),"3 Delete",IF(ISBLANK(E672),"2 Add",IF(SHA1Range(E672:J672) = "9671caf095b4265d81fbe778891734d5e9fbd165","0 Original","1 Modify"))))</f>
        <v>0 Original</v>
      </c>
      <c r="D672" s="5" t="s">
        <v>1631</v>
      </c>
      <c r="E672" s="3">
        <v>1347</v>
      </c>
      <c r="F672" s="13">
        <v>42018</v>
      </c>
      <c r="G672" t="s">
        <v>128</v>
      </c>
      <c r="H672" s="9">
        <v>45.95</v>
      </c>
      <c r="I672" s="5" t="s">
        <v>68</v>
      </c>
      <c r="J672" s="15">
        <v>42018.939618055556</v>
      </c>
      <c r="K672" t="str">
        <f t="shared" si="10"/>
        <v>01-2015</v>
      </c>
    </row>
    <row r="673" spans="3:11" x14ac:dyDescent="0.25">
      <c r="C673" t="str">
        <f>IF(COUNTBLANK(E673:J673) = 6,"",IF(AND(NOT(ISBLANK(E673)),COUNTBLANK(E673:J673) = 5),"3 Delete",IF(ISBLANK(E673),"2 Add",IF(SHA1Range(E673:J673) = "1975a9bab2fe5aee8e6a31590b1a869e127f0f7c","0 Original","1 Modify"))))</f>
        <v>0 Original</v>
      </c>
      <c r="D673" s="5" t="s">
        <v>1632</v>
      </c>
      <c r="E673" s="3">
        <v>1462</v>
      </c>
      <c r="F673" s="13">
        <v>42019</v>
      </c>
      <c r="G673" t="s">
        <v>128</v>
      </c>
      <c r="H673" s="9">
        <v>21.97</v>
      </c>
      <c r="I673" s="5" t="s">
        <v>68</v>
      </c>
      <c r="J673" s="15">
        <v>42019.154456018521</v>
      </c>
      <c r="K673" t="str">
        <f t="shared" si="10"/>
        <v>01-2015</v>
      </c>
    </row>
    <row r="674" spans="3:11" x14ac:dyDescent="0.25">
      <c r="C674" t="str">
        <f>IF(COUNTBLANK(E674:J674) = 6,"",IF(AND(NOT(ISBLANK(E674)),COUNTBLANK(E674:J674) = 5),"3 Delete",IF(ISBLANK(E674),"2 Add",IF(SHA1Range(E674:J674) = "0bba7c64207343a2035a23b580dffe3d621ba284","0 Original","1 Modify"))))</f>
        <v>0 Original</v>
      </c>
      <c r="D674" s="5" t="s">
        <v>1633</v>
      </c>
      <c r="E674" s="3">
        <v>1181</v>
      </c>
      <c r="F674" s="13">
        <v>42019</v>
      </c>
      <c r="G674" t="s">
        <v>242</v>
      </c>
      <c r="H674" s="9">
        <v>62.91</v>
      </c>
      <c r="I674" s="5" t="s">
        <v>68</v>
      </c>
      <c r="J674" s="15">
        <v>42019.288101851853</v>
      </c>
      <c r="K674" t="str">
        <f t="shared" si="10"/>
        <v>01-2015</v>
      </c>
    </row>
    <row r="675" spans="3:11" x14ac:dyDescent="0.25">
      <c r="C675" t="str">
        <f>IF(COUNTBLANK(E675:J675) = 6,"",IF(AND(NOT(ISBLANK(E675)),COUNTBLANK(E675:J675) = 5),"3 Delete",IF(ISBLANK(E675),"2 Add",IF(SHA1Range(E675:J675) = "ef75352040334b04c788ca34a08d5fc82204f87b","0 Original","1 Modify"))))</f>
        <v>0 Original</v>
      </c>
      <c r="D675" s="5" t="s">
        <v>1634</v>
      </c>
      <c r="E675" s="3">
        <v>953</v>
      </c>
      <c r="F675" s="13">
        <v>42019</v>
      </c>
      <c r="G675" t="s">
        <v>134</v>
      </c>
      <c r="H675" s="9">
        <v>9.98</v>
      </c>
      <c r="I675" s="5" t="s">
        <v>68</v>
      </c>
      <c r="J675" s="15">
        <v>42019.296111111114</v>
      </c>
      <c r="K675" t="str">
        <f t="shared" si="10"/>
        <v>01-2015</v>
      </c>
    </row>
    <row r="676" spans="3:11" x14ac:dyDescent="0.25">
      <c r="C676" t="str">
        <f>IF(COUNTBLANK(E676:J676) = 6,"",IF(AND(NOT(ISBLANK(E676)),COUNTBLANK(E676:J676) = 5),"3 Delete",IF(ISBLANK(E676),"2 Add",IF(SHA1Range(E676:J676) = "77dd3375ca7e16f9a259d377c2fbbd2d48775c0d","0 Original","1 Modify"))))</f>
        <v>0 Original</v>
      </c>
      <c r="D676" s="5" t="s">
        <v>1635</v>
      </c>
      <c r="E676" s="3">
        <v>888</v>
      </c>
      <c r="F676" s="13">
        <v>42019</v>
      </c>
      <c r="G676" t="s">
        <v>134</v>
      </c>
      <c r="H676" s="9">
        <v>68.900000000000006</v>
      </c>
      <c r="I676" s="5" t="s">
        <v>68</v>
      </c>
      <c r="J676" s="15">
        <v>42019.540717592594</v>
      </c>
      <c r="K676" t="str">
        <f t="shared" si="10"/>
        <v>01-2015</v>
      </c>
    </row>
    <row r="677" spans="3:11" x14ac:dyDescent="0.25">
      <c r="C677" t="str">
        <f>IF(COUNTBLANK(E677:J677) = 6,"",IF(AND(NOT(ISBLANK(E677)),COUNTBLANK(E677:J677) = 5),"3 Delete",IF(ISBLANK(E677),"2 Add",IF(SHA1Range(E677:J677) = "707722e2a867427ddd6f980e39e174935ed33b35","0 Original","1 Modify"))))</f>
        <v>0 Original</v>
      </c>
      <c r="D677" s="5" t="s">
        <v>1636</v>
      </c>
      <c r="E677" s="3">
        <v>1442</v>
      </c>
      <c r="F677" s="13">
        <v>42019</v>
      </c>
      <c r="G677" t="s">
        <v>275</v>
      </c>
      <c r="H677" s="9">
        <v>54.93</v>
      </c>
      <c r="I677" s="5" t="s">
        <v>68</v>
      </c>
      <c r="J677" s="15">
        <v>42019.610277777778</v>
      </c>
      <c r="K677" t="str">
        <f t="shared" si="10"/>
        <v>01-2015</v>
      </c>
    </row>
    <row r="678" spans="3:11" x14ac:dyDescent="0.25">
      <c r="C678" t="str">
        <f>IF(COUNTBLANK(E678:J678) = 6,"",IF(AND(NOT(ISBLANK(E678)),COUNTBLANK(E678:J678) = 5),"3 Delete",IF(ISBLANK(E678),"2 Add",IF(SHA1Range(E678:J678) = "634f4f1af363d755b965acfa964047be4963c5de","0 Original","1 Modify"))))</f>
        <v>0 Original</v>
      </c>
      <c r="D678" s="5" t="s">
        <v>1637</v>
      </c>
      <c r="E678" s="3">
        <v>480</v>
      </c>
      <c r="F678" s="13">
        <v>42019</v>
      </c>
      <c r="G678" t="s">
        <v>239</v>
      </c>
      <c r="H678" s="9">
        <v>27.97</v>
      </c>
      <c r="I678" s="5" t="s">
        <v>68</v>
      </c>
      <c r="J678" s="15">
        <v>42019.617025462961</v>
      </c>
      <c r="K678" t="str">
        <f t="shared" si="10"/>
        <v>01-2015</v>
      </c>
    </row>
    <row r="679" spans="3:11" x14ac:dyDescent="0.25">
      <c r="C679" t="str">
        <f>IF(COUNTBLANK(E679:J679) = 6,"",IF(AND(NOT(ISBLANK(E679)),COUNTBLANK(E679:J679) = 5),"3 Delete",IF(ISBLANK(E679),"2 Add",IF(SHA1Range(E679:J679) = "15eb7c08fa479ed02cb9c76b7d1b1d45eb395809","0 Original","1 Modify"))))</f>
        <v>0 Original</v>
      </c>
      <c r="D679" s="5" t="s">
        <v>1638</v>
      </c>
      <c r="E679" s="3">
        <v>1246</v>
      </c>
      <c r="F679" s="13">
        <v>42019</v>
      </c>
      <c r="G679" t="s">
        <v>65</v>
      </c>
      <c r="H679" s="9">
        <v>9.98</v>
      </c>
      <c r="I679" s="5" t="s">
        <v>68</v>
      </c>
      <c r="J679" s="15">
        <v>42019.640543981484</v>
      </c>
      <c r="K679" t="str">
        <f t="shared" si="10"/>
        <v>01-2015</v>
      </c>
    </row>
    <row r="680" spans="3:11" x14ac:dyDescent="0.25">
      <c r="C680" t="str">
        <f>IF(COUNTBLANK(E680:J680) = 6,"",IF(AND(NOT(ISBLANK(E680)),COUNTBLANK(E680:J680) = 5),"3 Delete",IF(ISBLANK(E680),"2 Add",IF(SHA1Range(E680:J680) = "20c4ce3cf53f4ba8822ad82b6ba345147b9acbfd","0 Original","1 Modify"))))</f>
        <v>0 Original</v>
      </c>
      <c r="D680" s="5" t="s">
        <v>1639</v>
      </c>
      <c r="E680" s="3">
        <v>1441</v>
      </c>
      <c r="F680" s="13">
        <v>42019</v>
      </c>
      <c r="G680" t="s">
        <v>275</v>
      </c>
      <c r="H680" s="9">
        <v>51.94</v>
      </c>
      <c r="I680" s="5" t="s">
        <v>68</v>
      </c>
      <c r="J680" s="15">
        <v>42019.870474537034</v>
      </c>
      <c r="K680" t="str">
        <f t="shared" si="10"/>
        <v>01-2015</v>
      </c>
    </row>
    <row r="681" spans="3:11" x14ac:dyDescent="0.25">
      <c r="C681" t="str">
        <f>IF(COUNTBLANK(E681:J681) = 6,"",IF(AND(NOT(ISBLANK(E681)),COUNTBLANK(E681:J681) = 5),"3 Delete",IF(ISBLANK(E681),"2 Add",IF(SHA1Range(E681:J681) = "dd92f10eaba8a9c39ca76f12dc33921a87f421c6","0 Original","1 Modify"))))</f>
        <v>0 Original</v>
      </c>
      <c r="D681" s="5" t="s">
        <v>1640</v>
      </c>
      <c r="E681" s="3">
        <v>739</v>
      </c>
      <c r="F681" s="13">
        <v>42020</v>
      </c>
      <c r="G681" t="s">
        <v>245</v>
      </c>
      <c r="H681" s="9">
        <v>46.94</v>
      </c>
      <c r="I681" s="5" t="s">
        <v>68</v>
      </c>
      <c r="J681" s="15">
        <v>42020.100578703707</v>
      </c>
      <c r="K681" t="str">
        <f t="shared" si="10"/>
        <v>01-2015</v>
      </c>
    </row>
    <row r="682" spans="3:11" x14ac:dyDescent="0.25">
      <c r="C682" t="str">
        <f>IF(COUNTBLANK(E682:J682) = 6,"",IF(AND(NOT(ISBLANK(E682)),COUNTBLANK(E682:J682) = 5),"3 Delete",IF(ISBLANK(E682),"2 Add",IF(SHA1Range(E682:J682) = "9d44829129a7e954ac9d5c3ca1438e6027e2761a","0 Original","1 Modify"))))</f>
        <v>0 Original</v>
      </c>
      <c r="D682" s="5" t="s">
        <v>1641</v>
      </c>
      <c r="E682" s="3">
        <v>1459</v>
      </c>
      <c r="F682" s="13">
        <v>42020</v>
      </c>
      <c r="G682" t="s">
        <v>353</v>
      </c>
      <c r="H682" s="9">
        <v>32.950000000000003</v>
      </c>
      <c r="I682" s="5" t="s">
        <v>68</v>
      </c>
      <c r="J682" s="15">
        <v>42020.110625000001</v>
      </c>
      <c r="K682" t="str">
        <f t="shared" si="10"/>
        <v>01-2015</v>
      </c>
    </row>
    <row r="683" spans="3:11" x14ac:dyDescent="0.25">
      <c r="C683" t="str">
        <f>IF(COUNTBLANK(E683:J683) = 6,"",IF(AND(NOT(ISBLANK(E683)),COUNTBLANK(E683:J683) = 5),"3 Delete",IF(ISBLANK(E683),"2 Add",IF(SHA1Range(E683:J683) = "1644806aa0f7b8115019966ca5a8acc242cea2d1","0 Original","1 Modify"))))</f>
        <v>0 Original</v>
      </c>
      <c r="D683" s="5" t="s">
        <v>1642</v>
      </c>
      <c r="E683" s="3">
        <v>1385</v>
      </c>
      <c r="F683" s="13">
        <v>42020</v>
      </c>
      <c r="G683" t="s">
        <v>251</v>
      </c>
      <c r="H683" s="9">
        <v>60.92</v>
      </c>
      <c r="I683" s="5" t="s">
        <v>68</v>
      </c>
      <c r="J683" s="15">
        <v>42020.161296296297</v>
      </c>
      <c r="K683" t="str">
        <f t="shared" si="10"/>
        <v>01-2015</v>
      </c>
    </row>
    <row r="684" spans="3:11" x14ac:dyDescent="0.25">
      <c r="C684" t="str">
        <f>IF(COUNTBLANK(E684:J684) = 6,"",IF(AND(NOT(ISBLANK(E684)),COUNTBLANK(E684:J684) = 5),"3 Delete",IF(ISBLANK(E684),"2 Add",IF(SHA1Range(E684:J684) = "ccb29af1cde6f09ec967d65c5d6c54d575f206b5","0 Original","1 Modify"))))</f>
        <v>0 Original</v>
      </c>
      <c r="D684" s="5" t="s">
        <v>1643</v>
      </c>
      <c r="E684" s="3">
        <v>642</v>
      </c>
      <c r="F684" s="13">
        <v>42020</v>
      </c>
      <c r="G684" t="s">
        <v>152</v>
      </c>
      <c r="H684" s="9">
        <v>24.97</v>
      </c>
      <c r="I684" s="5" t="s">
        <v>68</v>
      </c>
      <c r="J684" s="15">
        <v>42020.43472222222</v>
      </c>
      <c r="K684" t="str">
        <f t="shared" si="10"/>
        <v>01-2015</v>
      </c>
    </row>
    <row r="685" spans="3:11" x14ac:dyDescent="0.25">
      <c r="C685" t="str">
        <f>IF(COUNTBLANK(E685:J685) = 6,"",IF(AND(NOT(ISBLANK(E685)),COUNTBLANK(E685:J685) = 5),"3 Delete",IF(ISBLANK(E685),"2 Add",IF(SHA1Range(E685:J685) = "e025328d1b9f175e6b5b9266a6a373878623071f","0 Original","1 Modify"))))</f>
        <v>0 Original</v>
      </c>
      <c r="D685" s="5" t="s">
        <v>1644</v>
      </c>
      <c r="E685" s="3">
        <v>1269</v>
      </c>
      <c r="F685" s="13">
        <v>42020</v>
      </c>
      <c r="G685" t="s">
        <v>308</v>
      </c>
      <c r="H685" s="9">
        <v>13.98</v>
      </c>
      <c r="I685" s="5" t="s">
        <v>68</v>
      </c>
      <c r="J685" s="15">
        <v>42020.872986111113</v>
      </c>
      <c r="K685" t="str">
        <f t="shared" si="10"/>
        <v>01-2015</v>
      </c>
    </row>
    <row r="686" spans="3:11" x14ac:dyDescent="0.25">
      <c r="C686" t="str">
        <f>IF(COUNTBLANK(E686:J686) = 6,"",IF(AND(NOT(ISBLANK(E686)),COUNTBLANK(E686:J686) = 5),"3 Delete",IF(ISBLANK(E686),"2 Add",IF(SHA1Range(E686:J686) = "dad5009cc59975e00fcbda4eb70d782e7ddabde4","0 Original","1 Modify"))))</f>
        <v>0 Original</v>
      </c>
      <c r="D686" s="5" t="s">
        <v>1645</v>
      </c>
      <c r="E686" s="3">
        <v>1299</v>
      </c>
      <c r="F686" s="13">
        <v>42020</v>
      </c>
      <c r="G686" t="s">
        <v>245</v>
      </c>
      <c r="H686" s="9">
        <v>72.91</v>
      </c>
      <c r="I686" s="5" t="s">
        <v>68</v>
      </c>
      <c r="J686" s="15">
        <v>42020.987523148149</v>
      </c>
      <c r="K686" t="str">
        <f t="shared" si="10"/>
        <v>01-2015</v>
      </c>
    </row>
    <row r="687" spans="3:11" x14ac:dyDescent="0.25">
      <c r="C687" t="str">
        <f>IF(COUNTBLANK(E687:J687) = 6,"",IF(AND(NOT(ISBLANK(E687)),COUNTBLANK(E687:J687) = 5),"3 Delete",IF(ISBLANK(E687),"2 Add",IF(SHA1Range(E687:J687) = "8692f269a88b77ad0ba151c76cea5f455141362e","0 Original","1 Modify"))))</f>
        <v>0 Original</v>
      </c>
      <c r="D687" s="5" t="s">
        <v>1646</v>
      </c>
      <c r="E687" s="3">
        <v>1468</v>
      </c>
      <c r="F687" s="13">
        <v>42021</v>
      </c>
      <c r="G687" t="s">
        <v>101</v>
      </c>
      <c r="H687" s="9">
        <v>8.99</v>
      </c>
      <c r="I687" s="5" t="s">
        <v>68</v>
      </c>
      <c r="J687" s="15">
        <v>42021.112592592595</v>
      </c>
      <c r="K687" t="str">
        <f t="shared" si="10"/>
        <v>01-2015</v>
      </c>
    </row>
    <row r="688" spans="3:11" x14ac:dyDescent="0.25">
      <c r="C688" t="str">
        <f>IF(COUNTBLANK(E688:J688) = 6,"",IF(AND(NOT(ISBLANK(E688)),COUNTBLANK(E688:J688) = 5),"3 Delete",IF(ISBLANK(E688),"2 Add",IF(SHA1Range(E688:J688) = "d4b977a20158332293ae6bfbcfe93023dd669d77","0 Original","1 Modify"))))</f>
        <v>0 Original</v>
      </c>
      <c r="D688" s="5" t="s">
        <v>1647</v>
      </c>
      <c r="E688" s="3">
        <v>1277</v>
      </c>
      <c r="F688" s="13">
        <v>42021</v>
      </c>
      <c r="G688" t="s">
        <v>317</v>
      </c>
      <c r="H688" s="9">
        <v>73.900000000000006</v>
      </c>
      <c r="I688" s="5" t="s">
        <v>68</v>
      </c>
      <c r="J688" s="15">
        <v>42021.237337962964</v>
      </c>
      <c r="K688" t="str">
        <f t="shared" si="10"/>
        <v>01-2015</v>
      </c>
    </row>
    <row r="689" spans="3:11" x14ac:dyDescent="0.25">
      <c r="C689" t="str">
        <f>IF(COUNTBLANK(E689:J689) = 6,"",IF(AND(NOT(ISBLANK(E689)),COUNTBLANK(E689:J689) = 5),"3 Delete",IF(ISBLANK(E689),"2 Add",IF(SHA1Range(E689:J689) = "fd0ac810535abad0b5950a224c45849e2acf1607","0 Original","1 Modify"))))</f>
        <v>0 Original</v>
      </c>
      <c r="D689" s="5" t="s">
        <v>1648</v>
      </c>
      <c r="E689" s="3">
        <v>1479</v>
      </c>
      <c r="F689" s="13">
        <v>42021</v>
      </c>
      <c r="G689" t="s">
        <v>323</v>
      </c>
      <c r="H689" s="9">
        <v>23.97</v>
      </c>
      <c r="I689" s="5" t="s">
        <v>68</v>
      </c>
      <c r="J689" s="15">
        <v>42021.322430555556</v>
      </c>
      <c r="K689" t="str">
        <f t="shared" si="10"/>
        <v>01-2015</v>
      </c>
    </row>
    <row r="690" spans="3:11" x14ac:dyDescent="0.25">
      <c r="C690" t="str">
        <f>IF(COUNTBLANK(E690:J690) = 6,"",IF(AND(NOT(ISBLANK(E690)),COUNTBLANK(E690:J690) = 5),"3 Delete",IF(ISBLANK(E690),"2 Add",IF(SHA1Range(E690:J690) = "fed84f8999ce4032389c29e3a83f47b4b2b71dc2","0 Original","1 Modify"))))</f>
        <v>0 Original</v>
      </c>
      <c r="D690" s="5" t="s">
        <v>1649</v>
      </c>
      <c r="E690" s="3">
        <v>1211</v>
      </c>
      <c r="F690" s="13">
        <v>42021</v>
      </c>
      <c r="G690" t="s">
        <v>92</v>
      </c>
      <c r="H690" s="9">
        <v>58.91</v>
      </c>
      <c r="I690" s="5" t="s">
        <v>68</v>
      </c>
      <c r="J690" s="15">
        <v>42021.404849537037</v>
      </c>
      <c r="K690" t="str">
        <f t="shared" si="10"/>
        <v>01-2015</v>
      </c>
    </row>
    <row r="691" spans="3:11" x14ac:dyDescent="0.25">
      <c r="C691" t="str">
        <f>IF(COUNTBLANK(E691:J691) = 6,"",IF(AND(NOT(ISBLANK(E691)),COUNTBLANK(E691:J691) = 5),"3 Delete",IF(ISBLANK(E691),"2 Add",IF(SHA1Range(E691:J691) = "3567f4a7f5025be463a82ef4fee7df54ecb72709","0 Original","1 Modify"))))</f>
        <v>0 Original</v>
      </c>
      <c r="D691" s="5" t="s">
        <v>1650</v>
      </c>
      <c r="E691" s="3">
        <v>1319</v>
      </c>
      <c r="F691" s="13">
        <v>42021</v>
      </c>
      <c r="G691" t="s">
        <v>101</v>
      </c>
      <c r="H691" s="9">
        <v>31.96</v>
      </c>
      <c r="I691" s="5" t="s">
        <v>68</v>
      </c>
      <c r="J691" s="15">
        <v>42021.476099537038</v>
      </c>
      <c r="K691" t="str">
        <f t="shared" si="10"/>
        <v>01-2015</v>
      </c>
    </row>
    <row r="692" spans="3:11" x14ac:dyDescent="0.25">
      <c r="C692" t="str">
        <f>IF(COUNTBLANK(E692:J692) = 6,"",IF(AND(NOT(ISBLANK(E692)),COUNTBLANK(E692:J692) = 5),"3 Delete",IF(ISBLANK(E692),"2 Add",IF(SHA1Range(E692:J692) = "6600f6b345ffae2ced50474495a4c32daf4554a2","0 Original","1 Modify"))))</f>
        <v>0 Original</v>
      </c>
      <c r="D692" s="5" t="s">
        <v>1651</v>
      </c>
      <c r="E692" s="3">
        <v>1300</v>
      </c>
      <c r="F692" s="13">
        <v>42021</v>
      </c>
      <c r="G692" t="s">
        <v>98</v>
      </c>
      <c r="H692" s="9">
        <v>41.94</v>
      </c>
      <c r="I692" s="5" t="s">
        <v>68</v>
      </c>
      <c r="J692" s="15">
        <v>42021.543900462966</v>
      </c>
      <c r="K692" t="str">
        <f t="shared" si="10"/>
        <v>01-2015</v>
      </c>
    </row>
    <row r="693" spans="3:11" x14ac:dyDescent="0.25">
      <c r="C693" t="str">
        <f>IF(COUNTBLANK(E693:J693) = 6,"",IF(AND(NOT(ISBLANK(E693)),COUNTBLANK(E693:J693) = 5),"3 Delete",IF(ISBLANK(E693),"2 Add",IF(SHA1Range(E693:J693) = "ddfd201387922524cf19e4edfcc9d369a131ee87","0 Original","1 Modify"))))</f>
        <v>0 Original</v>
      </c>
      <c r="D693" s="5" t="s">
        <v>1652</v>
      </c>
      <c r="E693" s="3">
        <v>1424</v>
      </c>
      <c r="F693" s="13">
        <v>42021</v>
      </c>
      <c r="G693" t="s">
        <v>161</v>
      </c>
      <c r="H693" s="9">
        <v>36.950000000000003</v>
      </c>
      <c r="I693" s="5" t="s">
        <v>68</v>
      </c>
      <c r="J693" s="15">
        <v>42021.704050925924</v>
      </c>
      <c r="K693" t="str">
        <f t="shared" si="10"/>
        <v>01-2015</v>
      </c>
    </row>
    <row r="694" spans="3:11" x14ac:dyDescent="0.25">
      <c r="C694" t="str">
        <f>IF(COUNTBLANK(E694:J694) = 6,"",IF(AND(NOT(ISBLANK(E694)),COUNTBLANK(E694:J694) = 5),"3 Delete",IF(ISBLANK(E694),"2 Add",IF(SHA1Range(E694:J694) = "e8dc01701661346c6c91aee0c117bc796d586bef","0 Original","1 Modify"))))</f>
        <v>0 Original</v>
      </c>
      <c r="D694" s="5" t="s">
        <v>1653</v>
      </c>
      <c r="E694" s="3">
        <v>1380</v>
      </c>
      <c r="F694" s="13">
        <v>42021</v>
      </c>
      <c r="G694" t="s">
        <v>182</v>
      </c>
      <c r="H694" s="9">
        <v>30.96</v>
      </c>
      <c r="I694" s="5" t="s">
        <v>68</v>
      </c>
      <c r="J694" s="15">
        <v>42021.802974537037</v>
      </c>
      <c r="K694" t="str">
        <f t="shared" si="10"/>
        <v>01-2015</v>
      </c>
    </row>
    <row r="695" spans="3:11" x14ac:dyDescent="0.25">
      <c r="C695" t="str">
        <f>IF(COUNTBLANK(E695:J695) = 6,"",IF(AND(NOT(ISBLANK(E695)),COUNTBLANK(E695:J695) = 5),"3 Delete",IF(ISBLANK(E695),"2 Add",IF(SHA1Range(E695:J695) = "ebe46056f474cc32fcb2f0179106bee631ae3ba9","0 Original","1 Modify"))))</f>
        <v>0 Original</v>
      </c>
      <c r="D695" s="5" t="s">
        <v>1654</v>
      </c>
      <c r="E695" s="3">
        <v>55</v>
      </c>
      <c r="F695" s="13">
        <v>42021</v>
      </c>
      <c r="G695" t="s">
        <v>77</v>
      </c>
      <c r="H695" s="9">
        <v>9.98</v>
      </c>
      <c r="I695" s="5" t="s">
        <v>68</v>
      </c>
      <c r="J695" s="15">
        <v>42021.928680555553</v>
      </c>
      <c r="K695" t="str">
        <f t="shared" si="10"/>
        <v>01-2015</v>
      </c>
    </row>
    <row r="696" spans="3:11" x14ac:dyDescent="0.25">
      <c r="C696" t="str">
        <f>IF(COUNTBLANK(E696:J696) = 6,"",IF(AND(NOT(ISBLANK(E696)),COUNTBLANK(E696:J696) = 5),"3 Delete",IF(ISBLANK(E696),"2 Add",IF(SHA1Range(E696:J696) = "2aa71c91923ef1a633e7e95f7d5a4e69350df966","0 Original","1 Modify"))))</f>
        <v>0 Original</v>
      </c>
      <c r="D696" s="5" t="s">
        <v>1655</v>
      </c>
      <c r="E696" s="3">
        <v>1276</v>
      </c>
      <c r="F696" s="13">
        <v>42022</v>
      </c>
      <c r="G696" t="s">
        <v>101</v>
      </c>
      <c r="H696" s="9">
        <v>61.92</v>
      </c>
      <c r="I696" s="5" t="s">
        <v>68</v>
      </c>
      <c r="J696" s="15">
        <v>42022.013657407406</v>
      </c>
      <c r="K696" t="str">
        <f t="shared" si="10"/>
        <v>01-2015</v>
      </c>
    </row>
    <row r="697" spans="3:11" x14ac:dyDescent="0.25">
      <c r="C697" t="str">
        <f>IF(COUNTBLANK(E697:J697) = 6,"",IF(AND(NOT(ISBLANK(E697)),COUNTBLANK(E697:J697) = 5),"3 Delete",IF(ISBLANK(E697),"2 Add",IF(SHA1Range(E697:J697) = "b079a97b676b5283795cb72e51a143400117eb32","0 Original","1 Modify"))))</f>
        <v>0 Original</v>
      </c>
      <c r="D697" s="5" t="s">
        <v>1656</v>
      </c>
      <c r="E697" s="3">
        <v>1259</v>
      </c>
      <c r="F697" s="13">
        <v>42022</v>
      </c>
      <c r="G697" t="s">
        <v>140</v>
      </c>
      <c r="H697" s="9">
        <v>18.97</v>
      </c>
      <c r="I697" s="5" t="s">
        <v>68</v>
      </c>
      <c r="J697" s="15">
        <v>42022.079224537039</v>
      </c>
      <c r="K697" t="str">
        <f t="shared" si="10"/>
        <v>01-2015</v>
      </c>
    </row>
    <row r="698" spans="3:11" x14ac:dyDescent="0.25">
      <c r="C698" t="str">
        <f>IF(COUNTBLANK(E698:J698) = 6,"",IF(AND(NOT(ISBLANK(E698)),COUNTBLANK(E698:J698) = 5),"3 Delete",IF(ISBLANK(E698),"2 Add",IF(SHA1Range(E698:J698) = "6aa87bd194493dd7a4bae121c4228a579ea43947","0 Original","1 Modify"))))</f>
        <v>0 Original</v>
      </c>
      <c r="D698" s="5" t="s">
        <v>1657</v>
      </c>
      <c r="E698" s="3">
        <v>1341</v>
      </c>
      <c r="F698" s="13">
        <v>42022</v>
      </c>
      <c r="G698" t="s">
        <v>275</v>
      </c>
      <c r="H698" s="9">
        <v>42.94</v>
      </c>
      <c r="I698" s="5" t="s">
        <v>68</v>
      </c>
      <c r="J698" s="15">
        <v>42022.461597222224</v>
      </c>
      <c r="K698" t="str">
        <f t="shared" si="10"/>
        <v>01-2015</v>
      </c>
    </row>
    <row r="699" spans="3:11" x14ac:dyDescent="0.25">
      <c r="C699" t="str">
        <f>IF(COUNTBLANK(E699:J699) = 6,"",IF(AND(NOT(ISBLANK(E699)),COUNTBLANK(E699:J699) = 5),"3 Delete",IF(ISBLANK(E699),"2 Add",IF(SHA1Range(E699:J699) = "8f6281030912e01871dc04c48f3c9db42400ba4c","0 Original","1 Modify"))))</f>
        <v>0 Original</v>
      </c>
      <c r="D699" s="5" t="s">
        <v>1658</v>
      </c>
      <c r="E699" s="3">
        <v>1350</v>
      </c>
      <c r="F699" s="13">
        <v>42022</v>
      </c>
      <c r="G699" t="s">
        <v>323</v>
      </c>
      <c r="H699" s="9">
        <v>55.93</v>
      </c>
      <c r="I699" s="5" t="s">
        <v>68</v>
      </c>
      <c r="J699" s="15">
        <v>42022.966203703705</v>
      </c>
      <c r="K699" t="str">
        <f t="shared" si="10"/>
        <v>01-2015</v>
      </c>
    </row>
    <row r="700" spans="3:11" x14ac:dyDescent="0.25">
      <c r="C700" t="str">
        <f>IF(COUNTBLANK(E700:J700) = 6,"",IF(AND(NOT(ISBLANK(E700)),COUNTBLANK(E700:J700) = 5),"3 Delete",IF(ISBLANK(E700),"2 Add",IF(SHA1Range(E700:J700) = "a7369aac7ceefa4dbe482ef27f652933f089f28b","0 Original","1 Modify"))))</f>
        <v>0 Original</v>
      </c>
      <c r="D700" s="5" t="s">
        <v>1659</v>
      </c>
      <c r="E700" s="3">
        <v>1469</v>
      </c>
      <c r="F700" s="13">
        <v>42022</v>
      </c>
      <c r="G700" t="s">
        <v>317</v>
      </c>
      <c r="H700" s="9">
        <v>37.950000000000003</v>
      </c>
      <c r="I700" s="5" t="s">
        <v>68</v>
      </c>
      <c r="J700" s="15">
        <v>42022.966574074075</v>
      </c>
      <c r="K700" t="str">
        <f t="shared" si="10"/>
        <v>01-2015</v>
      </c>
    </row>
    <row r="701" spans="3:11" x14ac:dyDescent="0.25">
      <c r="C701" t="str">
        <f>IF(COUNTBLANK(E701:J701) = 6,"",IF(AND(NOT(ISBLANK(E701)),COUNTBLANK(E701:J701) = 5),"3 Delete",IF(ISBLANK(E701),"2 Add",IF(SHA1Range(E701:J701) = "f786950baff7f61711042f9452ef661abd902d33","0 Original","1 Modify"))))</f>
        <v>0 Original</v>
      </c>
      <c r="D701" s="5" t="s">
        <v>1660</v>
      </c>
      <c r="E701" s="3">
        <v>1245</v>
      </c>
      <c r="F701" s="13">
        <v>42022</v>
      </c>
      <c r="G701" t="s">
        <v>311</v>
      </c>
      <c r="H701" s="9">
        <v>28.96</v>
      </c>
      <c r="I701" s="5" t="s">
        <v>68</v>
      </c>
      <c r="J701" s="15">
        <v>42022.98574074074</v>
      </c>
      <c r="K701" t="str">
        <f t="shared" si="10"/>
        <v>01-2015</v>
      </c>
    </row>
    <row r="702" spans="3:11" x14ac:dyDescent="0.25">
      <c r="C702" t="str">
        <f>IF(COUNTBLANK(E702:J702) = 6,"",IF(AND(NOT(ISBLANK(E702)),COUNTBLANK(E702:J702) = 5),"3 Delete",IF(ISBLANK(E702),"2 Add",IF(SHA1Range(E702:J702) = "268c57c3e5cb9a877b411efa696abd42329c035b","0 Original","1 Modify"))))</f>
        <v>0 Original</v>
      </c>
      <c r="D702" s="5" t="s">
        <v>1661</v>
      </c>
      <c r="E702" s="3">
        <v>1487</v>
      </c>
      <c r="F702" s="13">
        <v>42023</v>
      </c>
      <c r="G702" t="s">
        <v>248</v>
      </c>
      <c r="H702" s="9">
        <v>23.96</v>
      </c>
      <c r="I702" s="5" t="s">
        <v>68</v>
      </c>
      <c r="J702" s="15">
        <v>42023.045046296298</v>
      </c>
      <c r="K702" t="str">
        <f t="shared" si="10"/>
        <v>01-2015</v>
      </c>
    </row>
    <row r="703" spans="3:11" x14ac:dyDescent="0.25">
      <c r="C703" t="str">
        <f>IF(COUNTBLANK(E703:J703) = 6,"",IF(AND(NOT(ISBLANK(E703)),COUNTBLANK(E703:J703) = 5),"3 Delete",IF(ISBLANK(E703),"2 Add",IF(SHA1Range(E703:J703) = "243aa7ff27162ccbdbc4d30c41a989a72cffb0cc","0 Original","1 Modify"))))</f>
        <v>0 Original</v>
      </c>
      <c r="D703" s="5" t="s">
        <v>1662</v>
      </c>
      <c r="E703" s="3">
        <v>797</v>
      </c>
      <c r="F703" s="13">
        <v>42023</v>
      </c>
      <c r="G703" t="s">
        <v>134</v>
      </c>
      <c r="H703" s="9">
        <v>17.98</v>
      </c>
      <c r="I703" s="5" t="s">
        <v>68</v>
      </c>
      <c r="J703" s="15">
        <v>42023.764803240738</v>
      </c>
      <c r="K703" t="str">
        <f t="shared" si="10"/>
        <v>01-2015</v>
      </c>
    </row>
    <row r="704" spans="3:11" x14ac:dyDescent="0.25">
      <c r="C704" t="str">
        <f>IF(COUNTBLANK(E704:J704) = 6,"",IF(AND(NOT(ISBLANK(E704)),COUNTBLANK(E704:J704) = 5),"3 Delete",IF(ISBLANK(E704),"2 Add",IF(SHA1Range(E704:J704) = "ae388895cf2fa0d98b33c91a243df598410b3bad","0 Original","1 Modify"))))</f>
        <v>0 Original</v>
      </c>
      <c r="D704" s="5" t="s">
        <v>1663</v>
      </c>
      <c r="E704" s="3">
        <v>1292</v>
      </c>
      <c r="F704" s="13">
        <v>42023</v>
      </c>
      <c r="G704" t="s">
        <v>188</v>
      </c>
      <c r="H704" s="9">
        <v>20.97</v>
      </c>
      <c r="I704" s="5" t="s">
        <v>68</v>
      </c>
      <c r="J704" s="15">
        <v>42023.779548611114</v>
      </c>
      <c r="K704" t="str">
        <f t="shared" si="10"/>
        <v>01-2015</v>
      </c>
    </row>
    <row r="705" spans="3:11" x14ac:dyDescent="0.25">
      <c r="C705" t="str">
        <f>IF(COUNTBLANK(E705:J705) = 6,"",IF(AND(NOT(ISBLANK(E705)),COUNTBLANK(E705:J705) = 5),"3 Delete",IF(ISBLANK(E705),"2 Add",IF(SHA1Range(E705:J705) = "36ac03ee8337b1d786bc69eab751897c60d3e876","0 Original","1 Modify"))))</f>
        <v>0 Original</v>
      </c>
      <c r="D705" s="5" t="s">
        <v>1664</v>
      </c>
      <c r="E705" s="3">
        <v>795</v>
      </c>
      <c r="F705" s="13">
        <v>42023</v>
      </c>
      <c r="G705" t="s">
        <v>170</v>
      </c>
      <c r="H705" s="9">
        <v>53.94</v>
      </c>
      <c r="I705" s="5" t="s">
        <v>68</v>
      </c>
      <c r="J705" s="15">
        <v>42023.916990740741</v>
      </c>
      <c r="K705" t="str">
        <f t="shared" si="10"/>
        <v>01-2015</v>
      </c>
    </row>
    <row r="706" spans="3:11" x14ac:dyDescent="0.25">
      <c r="C706" t="str">
        <f>IF(COUNTBLANK(E706:J706) = 6,"",IF(AND(NOT(ISBLANK(E706)),COUNTBLANK(E706:J706) = 5),"3 Delete",IF(ISBLANK(E706),"2 Add",IF(SHA1Range(E706:J706) = "967cc759525288a77afe45ed4f4d0c3047bdf769","0 Original","1 Modify"))))</f>
        <v>0 Original</v>
      </c>
      <c r="D706" s="5" t="s">
        <v>1665</v>
      </c>
      <c r="E706" s="3">
        <v>1317</v>
      </c>
      <c r="F706" s="13">
        <v>42024</v>
      </c>
      <c r="G706" t="s">
        <v>353</v>
      </c>
      <c r="H706" s="9">
        <v>40.93</v>
      </c>
      <c r="I706" s="5" t="s">
        <v>68</v>
      </c>
      <c r="J706" s="15">
        <v>42024.106076388889</v>
      </c>
      <c r="K706" t="str">
        <f t="shared" si="10"/>
        <v>01-2015</v>
      </c>
    </row>
    <row r="707" spans="3:11" x14ac:dyDescent="0.25">
      <c r="C707" t="str">
        <f>IF(COUNTBLANK(E707:J707) = 6,"",IF(AND(NOT(ISBLANK(E707)),COUNTBLANK(E707:J707) = 5),"3 Delete",IF(ISBLANK(E707),"2 Add",IF(SHA1Range(E707:J707) = "72c953307b23360361962bf610c28cf742e29fa7","0 Original","1 Modify"))))</f>
        <v>0 Original</v>
      </c>
      <c r="D707" s="5" t="s">
        <v>1666</v>
      </c>
      <c r="E707" s="3">
        <v>162</v>
      </c>
      <c r="F707" s="13">
        <v>42024</v>
      </c>
      <c r="G707" t="s">
        <v>158</v>
      </c>
      <c r="H707" s="9">
        <v>5.99</v>
      </c>
      <c r="I707" s="5" t="s">
        <v>68</v>
      </c>
      <c r="J707" s="15">
        <v>42024.219826388886</v>
      </c>
      <c r="K707" t="str">
        <f t="shared" ref="K707:K770" si="11">TEXT(F707,"mm-yyyy")</f>
        <v>01-2015</v>
      </c>
    </row>
    <row r="708" spans="3:11" x14ac:dyDescent="0.25">
      <c r="C708" t="str">
        <f>IF(COUNTBLANK(E708:J708) = 6,"",IF(AND(NOT(ISBLANK(E708)),COUNTBLANK(E708:J708) = 5),"3 Delete",IF(ISBLANK(E708),"2 Add",IF(SHA1Range(E708:J708) = "7cb7ec5f78dc9fe6c57f916c2f1b37941c29e71d","0 Original","1 Modify"))))</f>
        <v>0 Original</v>
      </c>
      <c r="D708" s="5" t="s">
        <v>1667</v>
      </c>
      <c r="E708" s="3">
        <v>1271</v>
      </c>
      <c r="F708" s="13">
        <v>42024</v>
      </c>
      <c r="G708" t="s">
        <v>248</v>
      </c>
      <c r="H708" s="9">
        <v>28.95</v>
      </c>
      <c r="I708" s="5" t="s">
        <v>68</v>
      </c>
      <c r="J708" s="15">
        <v>42024.222858796296</v>
      </c>
      <c r="K708" t="str">
        <f t="shared" si="11"/>
        <v>01-2015</v>
      </c>
    </row>
    <row r="709" spans="3:11" x14ac:dyDescent="0.25">
      <c r="C709" t="str">
        <f>IF(COUNTBLANK(E709:J709) = 6,"",IF(AND(NOT(ISBLANK(E709)),COUNTBLANK(E709:J709) = 5),"3 Delete",IF(ISBLANK(E709),"2 Add",IF(SHA1Range(E709:J709) = "2ce1e9f9d8538a35f301dd8dd441617e3f9a1f1d","0 Original","1 Modify"))))</f>
        <v>0 Original</v>
      </c>
      <c r="D709" s="5" t="s">
        <v>1668</v>
      </c>
      <c r="E709" s="3">
        <v>1209</v>
      </c>
      <c r="F709" s="13">
        <v>42024</v>
      </c>
      <c r="G709" t="s">
        <v>251</v>
      </c>
      <c r="H709" s="9">
        <v>66.92</v>
      </c>
      <c r="I709" s="5" t="s">
        <v>68</v>
      </c>
      <c r="J709" s="15">
        <v>42024.241539351853</v>
      </c>
      <c r="K709" t="str">
        <f t="shared" si="11"/>
        <v>01-2015</v>
      </c>
    </row>
    <row r="710" spans="3:11" x14ac:dyDescent="0.25">
      <c r="C710" t="str">
        <f>IF(COUNTBLANK(E710:J710) = 6,"",IF(AND(NOT(ISBLANK(E710)),COUNTBLANK(E710:J710) = 5),"3 Delete",IF(ISBLANK(E710),"2 Add",IF(SHA1Range(E710:J710) = "7ec0f6a5800757267212203458842591dafeeb12","0 Original","1 Modify"))))</f>
        <v>0 Original</v>
      </c>
      <c r="D710" s="5" t="s">
        <v>1669</v>
      </c>
      <c r="E710" s="3">
        <v>1241</v>
      </c>
      <c r="F710" s="13">
        <v>42024</v>
      </c>
      <c r="G710" t="s">
        <v>290</v>
      </c>
      <c r="H710" s="9">
        <v>34.96</v>
      </c>
      <c r="I710" s="5" t="s">
        <v>68</v>
      </c>
      <c r="J710" s="15">
        <v>42024.265266203707</v>
      </c>
      <c r="K710" t="str">
        <f t="shared" si="11"/>
        <v>01-2015</v>
      </c>
    </row>
    <row r="711" spans="3:11" x14ac:dyDescent="0.25">
      <c r="C711" t="str">
        <f>IF(COUNTBLANK(E711:J711) = 6,"",IF(AND(NOT(ISBLANK(E711)),COUNTBLANK(E711:J711) = 5),"3 Delete",IF(ISBLANK(E711),"2 Add",IF(SHA1Range(E711:J711) = "f24fca191ae3c0ca783581c103174d34395f5b17","0 Original","1 Modify"))))</f>
        <v>0 Original</v>
      </c>
      <c r="D711" s="5" t="s">
        <v>1670</v>
      </c>
      <c r="E711" s="3">
        <v>836</v>
      </c>
      <c r="F711" s="13">
        <v>42024</v>
      </c>
      <c r="G711" t="s">
        <v>221</v>
      </c>
      <c r="H711" s="9">
        <v>47.95</v>
      </c>
      <c r="I711" s="5" t="s">
        <v>68</v>
      </c>
      <c r="J711" s="15">
        <v>42024.431377314817</v>
      </c>
      <c r="K711" t="str">
        <f t="shared" si="11"/>
        <v>01-2015</v>
      </c>
    </row>
    <row r="712" spans="3:11" x14ac:dyDescent="0.25">
      <c r="C712" t="str">
        <f>IF(COUNTBLANK(E712:J712) = 6,"",IF(AND(NOT(ISBLANK(E712)),COUNTBLANK(E712:J712) = 5),"3 Delete",IF(ISBLANK(E712),"2 Add",IF(SHA1Range(E712:J712) = "feb8b4a8bf43bc4152b44587ae22a1a141333b24","0 Original","1 Modify"))))</f>
        <v>0 Original</v>
      </c>
      <c r="D712" s="5" t="s">
        <v>1671</v>
      </c>
      <c r="E712" s="3">
        <v>1356</v>
      </c>
      <c r="F712" s="13">
        <v>42024</v>
      </c>
      <c r="G712" t="s">
        <v>212</v>
      </c>
      <c r="H712" s="9">
        <v>17.97</v>
      </c>
      <c r="I712" s="5" t="s">
        <v>68</v>
      </c>
      <c r="J712" s="15">
        <v>42024.461273148147</v>
      </c>
      <c r="K712" t="str">
        <f t="shared" si="11"/>
        <v>01-2015</v>
      </c>
    </row>
    <row r="713" spans="3:11" x14ac:dyDescent="0.25">
      <c r="C713" t="str">
        <f>IF(COUNTBLANK(E713:J713) = 6,"",IF(AND(NOT(ISBLANK(E713)),COUNTBLANK(E713:J713) = 5),"3 Delete",IF(ISBLANK(E713),"2 Add",IF(SHA1Range(E713:J713) = "09f272a10a8c0955ffb97ca3a63ba7098eaad415","0 Original","1 Modify"))))</f>
        <v>0 Original</v>
      </c>
      <c r="D713" s="5" t="s">
        <v>1672</v>
      </c>
      <c r="E713" s="3">
        <v>1480</v>
      </c>
      <c r="F713" s="13">
        <v>42024</v>
      </c>
      <c r="G713" t="s">
        <v>65</v>
      </c>
      <c r="H713" s="9">
        <v>8.99</v>
      </c>
      <c r="I713" s="5" t="s">
        <v>68</v>
      </c>
      <c r="J713" s="15">
        <v>42024.670810185184</v>
      </c>
      <c r="K713" t="str">
        <f t="shared" si="11"/>
        <v>01-2015</v>
      </c>
    </row>
    <row r="714" spans="3:11" x14ac:dyDescent="0.25">
      <c r="C714" t="str">
        <f>IF(COUNTBLANK(E714:J714) = 6,"",IF(AND(NOT(ISBLANK(E714)),COUNTBLANK(E714:J714) = 5),"3 Delete",IF(ISBLANK(E714),"2 Add",IF(SHA1Range(E714:J714) = "c6f9aa5fab5de57ec0e389f4273104b0bc4fcb71","0 Original","1 Modify"))))</f>
        <v>0 Original</v>
      </c>
      <c r="D714" s="5" t="s">
        <v>1673</v>
      </c>
      <c r="E714" s="3">
        <v>1345</v>
      </c>
      <c r="F714" s="13">
        <v>42024</v>
      </c>
      <c r="G714" t="s">
        <v>101</v>
      </c>
      <c r="H714" s="9">
        <v>38.950000000000003</v>
      </c>
      <c r="I714" s="5" t="s">
        <v>68</v>
      </c>
      <c r="J714" s="15">
        <v>42024.697280092594</v>
      </c>
      <c r="K714" t="str">
        <f t="shared" si="11"/>
        <v>01-2015</v>
      </c>
    </row>
    <row r="715" spans="3:11" x14ac:dyDescent="0.25">
      <c r="C715" t="str">
        <f>IF(COUNTBLANK(E715:J715) = 6,"",IF(AND(NOT(ISBLANK(E715)),COUNTBLANK(E715:J715) = 5),"3 Delete",IF(ISBLANK(E715),"2 Add",IF(SHA1Range(E715:J715) = "e5d2ff3d723dd2579cded64b0a518fb63c087555","0 Original","1 Modify"))))</f>
        <v>0 Original</v>
      </c>
      <c r="D715" s="5" t="s">
        <v>1674</v>
      </c>
      <c r="E715" s="3">
        <v>1388</v>
      </c>
      <c r="F715" s="13">
        <v>42024</v>
      </c>
      <c r="G715" t="s">
        <v>92</v>
      </c>
      <c r="H715" s="9">
        <v>47.94</v>
      </c>
      <c r="I715" s="5" t="s">
        <v>68</v>
      </c>
      <c r="J715" s="15">
        <v>42024.802743055552</v>
      </c>
      <c r="K715" t="str">
        <f t="shared" si="11"/>
        <v>01-2015</v>
      </c>
    </row>
    <row r="716" spans="3:11" x14ac:dyDescent="0.25">
      <c r="C716" t="str">
        <f>IF(COUNTBLANK(E716:J716) = 6,"",IF(AND(NOT(ISBLANK(E716)),COUNTBLANK(E716:J716) = 5),"3 Delete",IF(ISBLANK(E716),"2 Add",IF(SHA1Range(E716:J716) = "d439f65f4c5808c4fcfc2f2756a8030124e30ebc","0 Original","1 Modify"))))</f>
        <v>0 Original</v>
      </c>
      <c r="D716" s="5" t="s">
        <v>1675</v>
      </c>
      <c r="E716" s="3">
        <v>225</v>
      </c>
      <c r="F716" s="13">
        <v>42024</v>
      </c>
      <c r="G716" t="s">
        <v>176</v>
      </c>
      <c r="H716" s="9">
        <v>16.97</v>
      </c>
      <c r="I716" s="5" t="s">
        <v>68</v>
      </c>
      <c r="J716" s="15">
        <v>42024.910208333335</v>
      </c>
      <c r="K716" t="str">
        <f t="shared" si="11"/>
        <v>01-2015</v>
      </c>
    </row>
    <row r="717" spans="3:11" x14ac:dyDescent="0.25">
      <c r="C717" t="str">
        <f>IF(COUNTBLANK(E717:J717) = 6,"",IF(AND(NOT(ISBLANK(E717)),COUNTBLANK(E717:J717) = 5),"3 Delete",IF(ISBLANK(E717),"2 Add",IF(SHA1Range(E717:J717) = "4a6c9308646fb324c929f017c7161a3fd231e775","0 Original","1 Modify"))))</f>
        <v>0 Original</v>
      </c>
      <c r="D717" s="5" t="s">
        <v>1676</v>
      </c>
      <c r="E717" s="3">
        <v>1255</v>
      </c>
      <c r="F717" s="13">
        <v>42024</v>
      </c>
      <c r="G717" t="s">
        <v>140</v>
      </c>
      <c r="H717" s="9">
        <v>39.94</v>
      </c>
      <c r="I717" s="5" t="s">
        <v>68</v>
      </c>
      <c r="J717" s="15">
        <v>42024.917395833334</v>
      </c>
      <c r="K717" t="str">
        <f t="shared" si="11"/>
        <v>01-2015</v>
      </c>
    </row>
    <row r="718" spans="3:11" x14ac:dyDescent="0.25">
      <c r="C718" t="str">
        <f>IF(COUNTBLANK(E718:J718) = 6,"",IF(AND(NOT(ISBLANK(E718)),COUNTBLANK(E718:J718) = 5),"3 Delete",IF(ISBLANK(E718),"2 Add",IF(SHA1Range(E718:J718) = "a58313e3e44c5a2e24c8854e2d18a401e498d89d","0 Original","1 Modify"))))</f>
        <v>0 Original</v>
      </c>
      <c r="D718" s="5" t="s">
        <v>1677</v>
      </c>
      <c r="E718" s="3">
        <v>1460</v>
      </c>
      <c r="F718" s="13">
        <v>42024</v>
      </c>
      <c r="G718" t="s">
        <v>188</v>
      </c>
      <c r="H718" s="9">
        <v>13.98</v>
      </c>
      <c r="I718" s="5" t="s">
        <v>68</v>
      </c>
      <c r="J718" s="15">
        <v>42024.934016203704</v>
      </c>
      <c r="K718" t="str">
        <f t="shared" si="11"/>
        <v>01-2015</v>
      </c>
    </row>
    <row r="719" spans="3:11" x14ac:dyDescent="0.25">
      <c r="C719" t="str">
        <f>IF(COUNTBLANK(E719:J719) = 6,"",IF(AND(NOT(ISBLANK(E719)),COUNTBLANK(E719:J719) = 5),"3 Delete",IF(ISBLANK(E719),"2 Add",IF(SHA1Range(E719:J719) = "9d37998542875ee88eff31ca663262ad0875a8e4","0 Original","1 Modify"))))</f>
        <v>0 Original</v>
      </c>
      <c r="D719" s="5" t="s">
        <v>1678</v>
      </c>
      <c r="E719" s="3">
        <v>1365</v>
      </c>
      <c r="F719" s="13">
        <v>42025</v>
      </c>
      <c r="G719" t="s">
        <v>308</v>
      </c>
      <c r="H719" s="9">
        <v>23.97</v>
      </c>
      <c r="I719" s="5" t="s">
        <v>68</v>
      </c>
      <c r="J719" s="15">
        <v>42025.069675925923</v>
      </c>
      <c r="K719" t="str">
        <f t="shared" si="11"/>
        <v>01-2015</v>
      </c>
    </row>
    <row r="720" spans="3:11" x14ac:dyDescent="0.25">
      <c r="C720" t="str">
        <f>IF(COUNTBLANK(E720:J720) = 6,"",IF(AND(NOT(ISBLANK(E720)),COUNTBLANK(E720:J720) = 5),"3 Delete",IF(ISBLANK(E720),"2 Add",IF(SHA1Range(E720:J720) = "142fc859962fc32e60e941c3b07df6bb4ceb0338","0 Original","1 Modify"))))</f>
        <v>0 Original</v>
      </c>
      <c r="D720" s="5" t="s">
        <v>1679</v>
      </c>
      <c r="E720" s="3">
        <v>776</v>
      </c>
      <c r="F720" s="13">
        <v>42025</v>
      </c>
      <c r="G720" t="s">
        <v>134</v>
      </c>
      <c r="H720" s="9">
        <v>51.94</v>
      </c>
      <c r="I720" s="5" t="s">
        <v>68</v>
      </c>
      <c r="J720" s="15">
        <v>42025.082754629628</v>
      </c>
      <c r="K720" t="str">
        <f t="shared" si="11"/>
        <v>01-2015</v>
      </c>
    </row>
    <row r="721" spans="3:11" x14ac:dyDescent="0.25">
      <c r="C721" t="str">
        <f>IF(COUNTBLANK(E721:J721) = 6,"",IF(AND(NOT(ISBLANK(E721)),COUNTBLANK(E721:J721) = 5),"3 Delete",IF(ISBLANK(E721),"2 Add",IF(SHA1Range(E721:J721) = "e060296a811a868b00daf3d002c7bd43b6646dea","0 Original","1 Modify"))))</f>
        <v>0 Original</v>
      </c>
      <c r="D721" s="5" t="s">
        <v>1680</v>
      </c>
      <c r="E721" s="3">
        <v>1444</v>
      </c>
      <c r="F721" s="13">
        <v>42025</v>
      </c>
      <c r="G721" t="s">
        <v>69</v>
      </c>
      <c r="H721" s="9">
        <v>11.98</v>
      </c>
      <c r="I721" s="5" t="s">
        <v>68</v>
      </c>
      <c r="J721" s="15">
        <v>42025.697314814817</v>
      </c>
      <c r="K721" t="str">
        <f t="shared" si="11"/>
        <v>01-2015</v>
      </c>
    </row>
    <row r="722" spans="3:11" x14ac:dyDescent="0.25">
      <c r="C722" t="str">
        <f>IF(COUNTBLANK(E722:J722) = 6,"",IF(AND(NOT(ISBLANK(E722)),COUNTBLANK(E722:J722) = 5),"3 Delete",IF(ISBLANK(E722),"2 Add",IF(SHA1Range(E722:J722) = "f721b1cf5407cb0a906cfdab17cf93365cf8a354","0 Original","1 Modify"))))</f>
        <v>0 Original</v>
      </c>
      <c r="D722" s="5" t="s">
        <v>1681</v>
      </c>
      <c r="E722" s="3">
        <v>1472</v>
      </c>
      <c r="F722" s="13">
        <v>42025</v>
      </c>
      <c r="G722" t="s">
        <v>281</v>
      </c>
      <c r="H722" s="9">
        <v>20.97</v>
      </c>
      <c r="I722" s="5" t="s">
        <v>68</v>
      </c>
      <c r="J722" s="15">
        <v>42025.777650462966</v>
      </c>
      <c r="K722" t="str">
        <f t="shared" si="11"/>
        <v>01-2015</v>
      </c>
    </row>
    <row r="723" spans="3:11" x14ac:dyDescent="0.25">
      <c r="C723" t="str">
        <f>IF(COUNTBLANK(E723:J723) = 6,"",IF(AND(NOT(ISBLANK(E723)),COUNTBLANK(E723:J723) = 5),"3 Delete",IF(ISBLANK(E723),"2 Add",IF(SHA1Range(E723:J723) = "137b5bb6c0d458290cb1bd1bfba17d58caad9980","0 Original","1 Modify"))))</f>
        <v>0 Original</v>
      </c>
      <c r="D723" s="5" t="s">
        <v>1682</v>
      </c>
      <c r="E723" s="3">
        <v>1446</v>
      </c>
      <c r="F723" s="13">
        <v>42025</v>
      </c>
      <c r="G723" t="s">
        <v>257</v>
      </c>
      <c r="H723" s="9">
        <v>49.95</v>
      </c>
      <c r="I723" s="5" t="s">
        <v>68</v>
      </c>
      <c r="J723" s="15">
        <v>42025.798842592594</v>
      </c>
      <c r="K723" t="str">
        <f t="shared" si="11"/>
        <v>01-2015</v>
      </c>
    </row>
    <row r="724" spans="3:11" x14ac:dyDescent="0.25">
      <c r="C724" t="str">
        <f>IF(COUNTBLANK(E724:J724) = 6,"",IF(AND(NOT(ISBLANK(E724)),COUNTBLANK(E724:J724) = 5),"3 Delete",IF(ISBLANK(E724),"2 Add",IF(SHA1Range(E724:J724) = "df335544f8b6876a61cc5daad68ac3eb8c5b6108","0 Original","1 Modify"))))</f>
        <v>0 Original</v>
      </c>
      <c r="D724" s="5" t="s">
        <v>1683</v>
      </c>
      <c r="E724" s="3">
        <v>1184</v>
      </c>
      <c r="F724" s="13">
        <v>42025</v>
      </c>
      <c r="G724" t="s">
        <v>302</v>
      </c>
      <c r="H724" s="9">
        <v>33.94</v>
      </c>
      <c r="I724" s="5" t="s">
        <v>68</v>
      </c>
      <c r="J724" s="15">
        <v>42025.934328703705</v>
      </c>
      <c r="K724" t="str">
        <f t="shared" si="11"/>
        <v>01-2015</v>
      </c>
    </row>
    <row r="725" spans="3:11" x14ac:dyDescent="0.25">
      <c r="C725" t="str">
        <f>IF(COUNTBLANK(E725:J725) = 6,"",IF(AND(NOT(ISBLANK(E725)),COUNTBLANK(E725:J725) = 5),"3 Delete",IF(ISBLANK(E725),"2 Add",IF(SHA1Range(E725:J725) = "c17bb694984ebadf1ae60309a863b383856852c0","0 Original","1 Modify"))))</f>
        <v>0 Original</v>
      </c>
      <c r="D725" s="5" t="s">
        <v>1684</v>
      </c>
      <c r="E725" s="3">
        <v>1258</v>
      </c>
      <c r="F725" s="13">
        <v>42025</v>
      </c>
      <c r="G725" t="s">
        <v>251</v>
      </c>
      <c r="H725" s="9">
        <v>48.93</v>
      </c>
      <c r="I725" s="5" t="s">
        <v>68</v>
      </c>
      <c r="J725" s="15">
        <v>42025.981446759259</v>
      </c>
      <c r="K725" t="str">
        <f t="shared" si="11"/>
        <v>01-2015</v>
      </c>
    </row>
    <row r="726" spans="3:11" x14ac:dyDescent="0.25">
      <c r="C726" t="str">
        <f>IF(COUNTBLANK(E726:J726) = 6,"",IF(AND(NOT(ISBLANK(E726)),COUNTBLANK(E726:J726) = 5),"3 Delete",IF(ISBLANK(E726),"2 Add",IF(SHA1Range(E726:J726) = "3886aa98c41e606116162ebea40e37a0394aa423","0 Original","1 Modify"))))</f>
        <v>0 Original</v>
      </c>
      <c r="D726" s="5" t="s">
        <v>1685</v>
      </c>
      <c r="E726" s="3">
        <v>882</v>
      </c>
      <c r="F726" s="13">
        <v>42026</v>
      </c>
      <c r="G726" t="s">
        <v>326</v>
      </c>
      <c r="H726" s="9">
        <v>39.950000000000003</v>
      </c>
      <c r="I726" s="5" t="s">
        <v>68</v>
      </c>
      <c r="J726" s="15">
        <v>42026.048449074071</v>
      </c>
      <c r="K726" t="str">
        <f t="shared" si="11"/>
        <v>01-2015</v>
      </c>
    </row>
    <row r="727" spans="3:11" x14ac:dyDescent="0.25">
      <c r="C727" t="str">
        <f>IF(COUNTBLANK(E727:J727) = 6,"",IF(AND(NOT(ISBLANK(E727)),COUNTBLANK(E727:J727) = 5),"3 Delete",IF(ISBLANK(E727),"2 Add",IF(SHA1Range(E727:J727) = "6665a519e13eb3040f09ed7c189c9fb8777030e4","0 Original","1 Modify"))))</f>
        <v>0 Original</v>
      </c>
      <c r="D727" s="5" t="s">
        <v>1686</v>
      </c>
      <c r="E727" s="3">
        <v>1376</v>
      </c>
      <c r="F727" s="13">
        <v>42026</v>
      </c>
      <c r="G727" t="s">
        <v>305</v>
      </c>
      <c r="H727" s="9">
        <v>62.91</v>
      </c>
      <c r="I727" s="5" t="s">
        <v>68</v>
      </c>
      <c r="J727" s="15">
        <v>42026.170046296298</v>
      </c>
      <c r="K727" t="str">
        <f t="shared" si="11"/>
        <v>01-2015</v>
      </c>
    </row>
    <row r="728" spans="3:11" x14ac:dyDescent="0.25">
      <c r="C728" t="str">
        <f>IF(COUNTBLANK(E728:J728) = 6,"",IF(AND(NOT(ISBLANK(E728)),COUNTBLANK(E728:J728) = 5),"3 Delete",IF(ISBLANK(E728),"2 Add",IF(SHA1Range(E728:J728) = "e14aaaa2ca95a56e7539e9ee3d03e6724db6d7d6","0 Original","1 Modify"))))</f>
        <v>0 Original</v>
      </c>
      <c r="D728" s="5" t="s">
        <v>1687</v>
      </c>
      <c r="E728" s="3">
        <v>1200</v>
      </c>
      <c r="F728" s="13">
        <v>42026</v>
      </c>
      <c r="G728" t="s">
        <v>326</v>
      </c>
      <c r="H728" s="9">
        <v>52.94</v>
      </c>
      <c r="I728" s="5" t="s">
        <v>68</v>
      </c>
      <c r="J728" s="15">
        <v>42026.42628472222</v>
      </c>
      <c r="K728" t="str">
        <f t="shared" si="11"/>
        <v>01-2015</v>
      </c>
    </row>
    <row r="729" spans="3:11" x14ac:dyDescent="0.25">
      <c r="C729" t="str">
        <f>IF(COUNTBLANK(E729:J729) = 6,"",IF(AND(NOT(ISBLANK(E729)),COUNTBLANK(E729:J729) = 5),"3 Delete",IF(ISBLANK(E729),"2 Add",IF(SHA1Range(E729:J729) = "c809edaa5e14e82667a7d4a767b4813cfe38c419","0 Original","1 Modify"))))</f>
        <v>0 Original</v>
      </c>
      <c r="D729" s="5" t="s">
        <v>1688</v>
      </c>
      <c r="E729" s="3">
        <v>1363</v>
      </c>
      <c r="F729" s="13">
        <v>42026</v>
      </c>
      <c r="G729" t="s">
        <v>311</v>
      </c>
      <c r="H729" s="9">
        <v>31.96</v>
      </c>
      <c r="I729" s="5" t="s">
        <v>68</v>
      </c>
      <c r="J729" s="15">
        <v>42026.441504629627</v>
      </c>
      <c r="K729" t="str">
        <f t="shared" si="11"/>
        <v>01-2015</v>
      </c>
    </row>
    <row r="730" spans="3:11" x14ac:dyDescent="0.25">
      <c r="C730" t="str">
        <f>IF(COUNTBLANK(E730:J730) = 6,"",IF(AND(NOT(ISBLANK(E730)),COUNTBLANK(E730:J730) = 5),"3 Delete",IF(ISBLANK(E730),"2 Add",IF(SHA1Range(E730:J730) = "a3b4331203ba2bef4c661203e592c3a81e4128fd","0 Original","1 Modify"))))</f>
        <v>0 Original</v>
      </c>
      <c r="D730" s="5" t="s">
        <v>1689</v>
      </c>
      <c r="E730" s="3">
        <v>1357</v>
      </c>
      <c r="F730" s="13">
        <v>42026</v>
      </c>
      <c r="G730" t="s">
        <v>290</v>
      </c>
      <c r="H730" s="9">
        <v>15.97</v>
      </c>
      <c r="I730" s="5" t="s">
        <v>68</v>
      </c>
      <c r="J730" s="15">
        <v>42026.492835648147</v>
      </c>
      <c r="K730" t="str">
        <f t="shared" si="11"/>
        <v>01-2015</v>
      </c>
    </row>
    <row r="731" spans="3:11" x14ac:dyDescent="0.25">
      <c r="C731" t="str">
        <f>IF(COUNTBLANK(E731:J731) = 6,"",IF(AND(NOT(ISBLANK(E731)),COUNTBLANK(E731:J731) = 5),"3 Delete",IF(ISBLANK(E731),"2 Add",IF(SHA1Range(E731:J731) = "57efb1f5b2c51bf2b444afc70f3f171d6e6fe056","0 Original","1 Modify"))))</f>
        <v>0 Original</v>
      </c>
      <c r="D731" s="5" t="s">
        <v>1690</v>
      </c>
      <c r="E731" s="3">
        <v>455</v>
      </c>
      <c r="F731" s="13">
        <v>42026</v>
      </c>
      <c r="G731" t="s">
        <v>248</v>
      </c>
      <c r="H731" s="9">
        <v>38.950000000000003</v>
      </c>
      <c r="I731" s="5" t="s">
        <v>68</v>
      </c>
      <c r="J731" s="15">
        <v>42026.530648148146</v>
      </c>
      <c r="K731" t="str">
        <f t="shared" si="11"/>
        <v>01-2015</v>
      </c>
    </row>
    <row r="732" spans="3:11" x14ac:dyDescent="0.25">
      <c r="C732" t="str">
        <f>IF(COUNTBLANK(E732:J732) = 6,"",IF(AND(NOT(ISBLANK(E732)),COUNTBLANK(E732:J732) = 5),"3 Delete",IF(ISBLANK(E732),"2 Add",IF(SHA1Range(E732:J732) = "e58892ea95cdda5655bf59c27090821bdabfc9e7","0 Original","1 Modify"))))</f>
        <v>0 Original</v>
      </c>
      <c r="D732" s="5" t="s">
        <v>1691</v>
      </c>
      <c r="E732" s="3">
        <v>1220</v>
      </c>
      <c r="F732" s="13">
        <v>42026</v>
      </c>
      <c r="G732" t="s">
        <v>92</v>
      </c>
      <c r="H732" s="9">
        <v>46.94</v>
      </c>
      <c r="I732" s="5" t="s">
        <v>68</v>
      </c>
      <c r="J732" s="15">
        <v>42026.772928240738</v>
      </c>
      <c r="K732" t="str">
        <f t="shared" si="11"/>
        <v>01-2015</v>
      </c>
    </row>
    <row r="733" spans="3:11" x14ac:dyDescent="0.25">
      <c r="C733" t="str">
        <f>IF(COUNTBLANK(E733:J733) = 6,"",IF(AND(NOT(ISBLANK(E733)),COUNTBLANK(E733:J733) = 5),"3 Delete",IF(ISBLANK(E733),"2 Add",IF(SHA1Range(E733:J733) = "21ef801392b326c50d0714a4fd9ba11c44fd3f23","0 Original","1 Modify"))))</f>
        <v>0 Original</v>
      </c>
      <c r="D733" s="5" t="s">
        <v>1692</v>
      </c>
      <c r="E733" s="3">
        <v>1333</v>
      </c>
      <c r="F733" s="13">
        <v>42026</v>
      </c>
      <c r="G733" t="s">
        <v>98</v>
      </c>
      <c r="H733" s="9">
        <v>19.97</v>
      </c>
      <c r="I733" s="5" t="s">
        <v>68</v>
      </c>
      <c r="J733" s="15">
        <v>42026.928726851853</v>
      </c>
      <c r="K733" t="str">
        <f t="shared" si="11"/>
        <v>01-2015</v>
      </c>
    </row>
    <row r="734" spans="3:11" x14ac:dyDescent="0.25">
      <c r="C734" t="str">
        <f>IF(COUNTBLANK(E734:J734) = 6,"",IF(AND(NOT(ISBLANK(E734)),COUNTBLANK(E734:J734) = 5),"3 Delete",IF(ISBLANK(E734),"2 Add",IF(SHA1Range(E734:J734) = "7b7fe5b0004f5bd00a0f77e2647bf6591c88f056","0 Original","1 Modify"))))</f>
        <v>0 Original</v>
      </c>
      <c r="D734" s="5" t="s">
        <v>1693</v>
      </c>
      <c r="E734" s="3">
        <v>1294</v>
      </c>
      <c r="F734" s="13">
        <v>42026</v>
      </c>
      <c r="G734" t="s">
        <v>128</v>
      </c>
      <c r="H734" s="9">
        <v>70.91</v>
      </c>
      <c r="I734" s="5" t="s">
        <v>68</v>
      </c>
      <c r="J734" s="15">
        <v>42026.937754629631</v>
      </c>
      <c r="K734" t="str">
        <f t="shared" si="11"/>
        <v>01-2015</v>
      </c>
    </row>
    <row r="735" spans="3:11" x14ac:dyDescent="0.25">
      <c r="C735" t="str">
        <f>IF(COUNTBLANK(E735:J735) = 6,"",IF(AND(NOT(ISBLANK(E735)),COUNTBLANK(E735:J735) = 5),"3 Delete",IF(ISBLANK(E735),"2 Add",IF(SHA1Range(E735:J735) = "3e85b4d75432796a0ddf93f703c40035ac820947","0 Original","1 Modify"))))</f>
        <v>0 Original</v>
      </c>
      <c r="D735" s="5" t="s">
        <v>1694</v>
      </c>
      <c r="E735" s="3">
        <v>1201</v>
      </c>
      <c r="F735" s="13">
        <v>42027</v>
      </c>
      <c r="G735" t="s">
        <v>245</v>
      </c>
      <c r="H735" s="9">
        <v>60.92</v>
      </c>
      <c r="I735" s="5" t="s">
        <v>68</v>
      </c>
      <c r="J735" s="15">
        <v>42027.002337962964</v>
      </c>
      <c r="K735" t="str">
        <f t="shared" si="11"/>
        <v>01-2015</v>
      </c>
    </row>
    <row r="736" spans="3:11" x14ac:dyDescent="0.25">
      <c r="C736" t="str">
        <f>IF(COUNTBLANK(E736:J736) = 6,"",IF(AND(NOT(ISBLANK(E736)),COUNTBLANK(E736:J736) = 5),"3 Delete",IF(ISBLANK(E736),"2 Add",IF(SHA1Range(E736:J736) = "00ae84e7ce6f08317ecd4ed59c9a58334f4997c5","0 Original","1 Modify"))))</f>
        <v>0 Original</v>
      </c>
      <c r="D736" s="5" t="s">
        <v>1695</v>
      </c>
      <c r="E736" s="3">
        <v>1432</v>
      </c>
      <c r="F736" s="13">
        <v>42027</v>
      </c>
      <c r="G736" t="s">
        <v>353</v>
      </c>
      <c r="H736" s="9">
        <v>31.96</v>
      </c>
      <c r="I736" s="5" t="s">
        <v>68</v>
      </c>
      <c r="J736" s="15">
        <v>42027.074155092596</v>
      </c>
      <c r="K736" t="str">
        <f t="shared" si="11"/>
        <v>01-2015</v>
      </c>
    </row>
    <row r="737" spans="3:11" x14ac:dyDescent="0.25">
      <c r="C737" t="str">
        <f>IF(COUNTBLANK(E737:J737) = 6,"",IF(AND(NOT(ISBLANK(E737)),COUNTBLANK(E737:J737) = 5),"3 Delete",IF(ISBLANK(E737),"2 Add",IF(SHA1Range(E737:J737) = "7f33050900fdea78883cce25a1e9b073f417571b","0 Original","1 Modify"))))</f>
        <v>0 Original</v>
      </c>
      <c r="D737" s="5" t="s">
        <v>1696</v>
      </c>
      <c r="E737" s="3">
        <v>1414</v>
      </c>
      <c r="F737" s="13">
        <v>42027</v>
      </c>
      <c r="G737" t="s">
        <v>287</v>
      </c>
      <c r="H737" s="9">
        <v>30.96</v>
      </c>
      <c r="I737" s="5" t="s">
        <v>68</v>
      </c>
      <c r="J737" s="15">
        <v>42027.278090277781</v>
      </c>
      <c r="K737" t="str">
        <f t="shared" si="11"/>
        <v>01-2015</v>
      </c>
    </row>
    <row r="738" spans="3:11" x14ac:dyDescent="0.25">
      <c r="C738" t="str">
        <f>IF(COUNTBLANK(E738:J738) = 6,"",IF(AND(NOT(ISBLANK(E738)),COUNTBLANK(E738:J738) = 5),"3 Delete",IF(ISBLANK(E738),"2 Add",IF(SHA1Range(E738:J738) = "b6167983da8b26bdf643f280e3027754437c4a30","0 Original","1 Modify"))))</f>
        <v>0 Original</v>
      </c>
      <c r="D738" s="5" t="s">
        <v>1697</v>
      </c>
      <c r="E738" s="3">
        <v>287</v>
      </c>
      <c r="F738" s="13">
        <v>42027</v>
      </c>
      <c r="G738" t="s">
        <v>233</v>
      </c>
      <c r="H738" s="9">
        <v>52.92</v>
      </c>
      <c r="I738" s="5" t="s">
        <v>68</v>
      </c>
      <c r="J738" s="15">
        <v>42027.380590277775</v>
      </c>
      <c r="K738" t="str">
        <f t="shared" si="11"/>
        <v>01-2015</v>
      </c>
    </row>
    <row r="739" spans="3:11" x14ac:dyDescent="0.25">
      <c r="C739" t="str">
        <f>IF(COUNTBLANK(E739:J739) = 6,"",IF(AND(NOT(ISBLANK(E739)),COUNTBLANK(E739:J739) = 5),"3 Delete",IF(ISBLANK(E739),"2 Add",IF(SHA1Range(E739:J739) = "fba6e542cdc2bf20035b1c5fa6cba4d8096f652f","0 Original","1 Modify"))))</f>
        <v>0 Original</v>
      </c>
      <c r="D739" s="5" t="s">
        <v>1698</v>
      </c>
      <c r="E739" s="3">
        <v>892</v>
      </c>
      <c r="F739" s="13">
        <v>42027</v>
      </c>
      <c r="G739" t="s">
        <v>326</v>
      </c>
      <c r="H739" s="9">
        <v>45.94</v>
      </c>
      <c r="I739" s="5" t="s">
        <v>68</v>
      </c>
      <c r="J739" s="15">
        <v>42027.648576388892</v>
      </c>
      <c r="K739" t="str">
        <f t="shared" si="11"/>
        <v>01-2015</v>
      </c>
    </row>
    <row r="740" spans="3:11" x14ac:dyDescent="0.25">
      <c r="C740" t="str">
        <f>IF(COUNTBLANK(E740:J740) = 6,"",IF(AND(NOT(ISBLANK(E740)),COUNTBLANK(E740:J740) = 5),"3 Delete",IF(ISBLANK(E740),"2 Add",IF(SHA1Range(E740:J740) = "dfeb8526f25179cb7a9be19e9f4635586b09c32c","0 Original","1 Modify"))))</f>
        <v>0 Original</v>
      </c>
      <c r="D740" s="5" t="s">
        <v>1699</v>
      </c>
      <c r="E740" s="3">
        <v>1457</v>
      </c>
      <c r="F740" s="13">
        <v>42027</v>
      </c>
      <c r="G740" t="s">
        <v>92</v>
      </c>
      <c r="H740" s="9">
        <v>6.99</v>
      </c>
      <c r="I740" s="5" t="s">
        <v>68</v>
      </c>
      <c r="J740" s="15">
        <v>42027.711296296293</v>
      </c>
      <c r="K740" t="str">
        <f t="shared" si="11"/>
        <v>01-2015</v>
      </c>
    </row>
    <row r="741" spans="3:11" x14ac:dyDescent="0.25">
      <c r="C741" t="str">
        <f>IF(COUNTBLANK(E741:J741) = 6,"",IF(AND(NOT(ISBLANK(E741)),COUNTBLANK(E741:J741) = 5),"3 Delete",IF(ISBLANK(E741),"2 Add",IF(SHA1Range(E741:J741) = "ecba791c90a3d936937fc3d48efbba635c9daa44","0 Original","1 Modify"))))</f>
        <v>0 Original</v>
      </c>
      <c r="D741" s="5" t="s">
        <v>1700</v>
      </c>
      <c r="E741" s="3">
        <v>994</v>
      </c>
      <c r="F741" s="13">
        <v>42027</v>
      </c>
      <c r="G741" t="s">
        <v>245</v>
      </c>
      <c r="H741" s="9">
        <v>19.97</v>
      </c>
      <c r="I741" s="5" t="s">
        <v>68</v>
      </c>
      <c r="J741" s="15">
        <v>42027.768310185187</v>
      </c>
      <c r="K741" t="str">
        <f t="shared" si="11"/>
        <v>01-2015</v>
      </c>
    </row>
    <row r="742" spans="3:11" x14ac:dyDescent="0.25">
      <c r="C742" t="str">
        <f>IF(COUNTBLANK(E742:J742) = 6,"",IF(AND(NOT(ISBLANK(E742)),COUNTBLANK(E742:J742) = 5),"3 Delete",IF(ISBLANK(E742),"2 Add",IF(SHA1Range(E742:J742) = "3d32089ffa891a46f47475884c55f1df685205f4","0 Original","1 Modify"))))</f>
        <v>0 Original</v>
      </c>
      <c r="D742" s="5" t="s">
        <v>1701</v>
      </c>
      <c r="E742" s="3">
        <v>1216</v>
      </c>
      <c r="F742" s="13">
        <v>42027</v>
      </c>
      <c r="G742" t="s">
        <v>311</v>
      </c>
      <c r="H742" s="9">
        <v>63.92</v>
      </c>
      <c r="I742" s="5" t="s">
        <v>68</v>
      </c>
      <c r="J742" s="15">
        <v>42027.961550925924</v>
      </c>
      <c r="K742" t="str">
        <f t="shared" si="11"/>
        <v>01-2015</v>
      </c>
    </row>
    <row r="743" spans="3:11" x14ac:dyDescent="0.25">
      <c r="C743" t="str">
        <f>IF(COUNTBLANK(E743:J743) = 6,"",IF(AND(NOT(ISBLANK(E743)),COUNTBLANK(E743:J743) = 5),"3 Delete",IF(ISBLANK(E743),"2 Add",IF(SHA1Range(E743:J743) = "4b59c5269af80260f3e191f1905999332b600032","0 Original","1 Modify"))))</f>
        <v>0 Original</v>
      </c>
      <c r="D743" s="5" t="s">
        <v>1702</v>
      </c>
      <c r="E743" s="3">
        <v>1272</v>
      </c>
      <c r="F743" s="13">
        <v>42028</v>
      </c>
      <c r="G743" t="s">
        <v>353</v>
      </c>
      <c r="H743" s="9">
        <v>39.950000000000003</v>
      </c>
      <c r="I743" s="5" t="s">
        <v>68</v>
      </c>
      <c r="J743" s="15">
        <v>42028.022129629629</v>
      </c>
      <c r="K743" t="str">
        <f t="shared" si="11"/>
        <v>01-2015</v>
      </c>
    </row>
    <row r="744" spans="3:11" x14ac:dyDescent="0.25">
      <c r="C744" t="str">
        <f>IF(COUNTBLANK(E744:J744) = 6,"",IF(AND(NOT(ISBLANK(E744)),COUNTBLANK(E744:J744) = 5),"3 Delete",IF(ISBLANK(E744),"2 Add",IF(SHA1Range(E744:J744) = "6965a147fc08816f862dd69e5fafd29081453ab4","0 Original","1 Modify"))))</f>
        <v>0 Original</v>
      </c>
      <c r="D744" s="5" t="s">
        <v>1703</v>
      </c>
      <c r="E744" s="3">
        <v>1328</v>
      </c>
      <c r="F744" s="13">
        <v>42028</v>
      </c>
      <c r="G744" t="s">
        <v>278</v>
      </c>
      <c r="H744" s="9">
        <v>28.96</v>
      </c>
      <c r="I744" s="5" t="s">
        <v>68</v>
      </c>
      <c r="J744" s="15">
        <v>42028.171446759261</v>
      </c>
      <c r="K744" t="str">
        <f t="shared" si="11"/>
        <v>01-2015</v>
      </c>
    </row>
    <row r="745" spans="3:11" x14ac:dyDescent="0.25">
      <c r="C745" t="str">
        <f>IF(COUNTBLANK(E745:J745) = 6,"",IF(AND(NOT(ISBLANK(E745)),COUNTBLANK(E745:J745) = 5),"3 Delete",IF(ISBLANK(E745),"2 Add",IF(SHA1Range(E745:J745) = "ae8a9f3170b341c4788def5d736beeb9becb289c","0 Original","1 Modify"))))</f>
        <v>0 Original</v>
      </c>
      <c r="D745" s="5" t="s">
        <v>1704</v>
      </c>
      <c r="E745" s="3">
        <v>1409</v>
      </c>
      <c r="F745" s="13">
        <v>42028</v>
      </c>
      <c r="G745" t="s">
        <v>212</v>
      </c>
      <c r="H745" s="9">
        <v>49.93</v>
      </c>
      <c r="I745" s="5" t="s">
        <v>68</v>
      </c>
      <c r="J745" s="15">
        <v>42028.477430555555</v>
      </c>
      <c r="K745" t="str">
        <f t="shared" si="11"/>
        <v>01-2015</v>
      </c>
    </row>
    <row r="746" spans="3:11" x14ac:dyDescent="0.25">
      <c r="C746" t="str">
        <f>IF(COUNTBLANK(E746:J746) = 6,"",IF(AND(NOT(ISBLANK(E746)),COUNTBLANK(E746:J746) = 5),"3 Delete",IF(ISBLANK(E746),"2 Add",IF(SHA1Range(E746:J746) = "dbe5781ddd02f43012bd6e9b7e42ad091cfb1de4","0 Original","1 Modify"))))</f>
        <v>0 Original</v>
      </c>
      <c r="D746" s="5" t="s">
        <v>1705</v>
      </c>
      <c r="E746" s="3">
        <v>1374</v>
      </c>
      <c r="F746" s="13">
        <v>42028</v>
      </c>
      <c r="G746" t="s">
        <v>245</v>
      </c>
      <c r="H746" s="9">
        <v>45.94</v>
      </c>
      <c r="I746" s="5" t="s">
        <v>68</v>
      </c>
      <c r="J746" s="15">
        <v>42028.744328703702</v>
      </c>
      <c r="K746" t="str">
        <f t="shared" si="11"/>
        <v>01-2015</v>
      </c>
    </row>
    <row r="747" spans="3:11" x14ac:dyDescent="0.25">
      <c r="C747" t="str">
        <f>IF(COUNTBLANK(E747:J747) = 6,"",IF(AND(NOT(ISBLANK(E747)),COUNTBLANK(E747:J747) = 5),"3 Delete",IF(ISBLANK(E747),"2 Add",IF(SHA1Range(E747:J747) = "63ce939d07ebaa66303d05993d8406ded050c8c4","0 Original","1 Modify"))))</f>
        <v>0 Original</v>
      </c>
      <c r="D747" s="5" t="s">
        <v>1706</v>
      </c>
      <c r="E747" s="3">
        <v>1310</v>
      </c>
      <c r="F747" s="13">
        <v>42028</v>
      </c>
      <c r="G747" t="s">
        <v>275</v>
      </c>
      <c r="H747" s="9">
        <v>50.94</v>
      </c>
      <c r="I747" s="5" t="s">
        <v>68</v>
      </c>
      <c r="J747" s="15">
        <v>42028.762546296297</v>
      </c>
      <c r="K747" t="str">
        <f t="shared" si="11"/>
        <v>01-2015</v>
      </c>
    </row>
    <row r="748" spans="3:11" x14ac:dyDescent="0.25">
      <c r="C748" t="str">
        <f>IF(COUNTBLANK(E748:J748) = 6,"",IF(AND(NOT(ISBLANK(E748)),COUNTBLANK(E748:J748) = 5),"3 Delete",IF(ISBLANK(E748),"2 Add",IF(SHA1Range(E748:J748) = "80bf1ac8ccd1a72959433321c9f81e0eeefd6d2d","0 Original","1 Modify"))))</f>
        <v>0 Original</v>
      </c>
      <c r="D748" s="5" t="s">
        <v>1707</v>
      </c>
      <c r="E748" s="3">
        <v>1309</v>
      </c>
      <c r="F748" s="13">
        <v>42029</v>
      </c>
      <c r="G748" t="s">
        <v>290</v>
      </c>
      <c r="H748" s="9">
        <v>52.93</v>
      </c>
      <c r="I748" s="5" t="s">
        <v>68</v>
      </c>
      <c r="J748" s="15">
        <v>42029.392650462964</v>
      </c>
      <c r="K748" t="str">
        <f t="shared" si="11"/>
        <v>01-2015</v>
      </c>
    </row>
    <row r="749" spans="3:11" x14ac:dyDescent="0.25">
      <c r="C749" t="str">
        <f>IF(COUNTBLANK(E749:J749) = 6,"",IF(AND(NOT(ISBLANK(E749)),COUNTBLANK(E749:J749) = 5),"3 Delete",IF(ISBLANK(E749),"2 Add",IF(SHA1Range(E749:J749) = "f325a12afc1e15e106a8ddedcdcc5d6345e91af4","0 Original","1 Modify"))))</f>
        <v>0 Original</v>
      </c>
      <c r="D749" s="5" t="s">
        <v>1708</v>
      </c>
      <c r="E749" s="3">
        <v>980</v>
      </c>
      <c r="F749" s="13">
        <v>42029</v>
      </c>
      <c r="G749" t="s">
        <v>260</v>
      </c>
      <c r="H749" s="9">
        <v>5.99</v>
      </c>
      <c r="I749" s="5" t="s">
        <v>68</v>
      </c>
      <c r="J749" s="15">
        <v>42029.551412037035</v>
      </c>
      <c r="K749" t="str">
        <f t="shared" si="11"/>
        <v>01-2015</v>
      </c>
    </row>
    <row r="750" spans="3:11" x14ac:dyDescent="0.25">
      <c r="C750" t="str">
        <f>IF(COUNTBLANK(E750:J750) = 6,"",IF(AND(NOT(ISBLANK(E750)),COUNTBLANK(E750:J750) = 5),"3 Delete",IF(ISBLANK(E750),"2 Add",IF(SHA1Range(E750:J750) = "6a3348e3f75eef77241300483f6a0ba71d017336","0 Original","1 Modify"))))</f>
        <v>0 Original</v>
      </c>
      <c r="D750" s="5" t="s">
        <v>1709</v>
      </c>
      <c r="E750" s="3">
        <v>146</v>
      </c>
      <c r="F750" s="13">
        <v>42029</v>
      </c>
      <c r="G750" t="s">
        <v>209</v>
      </c>
      <c r="H750" s="9">
        <v>21.96</v>
      </c>
      <c r="I750" s="5" t="s">
        <v>68</v>
      </c>
      <c r="J750" s="15">
        <v>42029.699456018519</v>
      </c>
      <c r="K750" t="str">
        <f t="shared" si="11"/>
        <v>01-2015</v>
      </c>
    </row>
    <row r="751" spans="3:11" x14ac:dyDescent="0.25">
      <c r="C751" t="str">
        <f>IF(COUNTBLANK(E751:J751) = 6,"",IF(AND(NOT(ISBLANK(E751)),COUNTBLANK(E751:J751) = 5),"3 Delete",IF(ISBLANK(E751),"2 Add",IF(SHA1Range(E751:J751) = "0f4cce0f483a01dead6f62c49199fb72c96d2399","0 Original","1 Modify"))))</f>
        <v>0 Original</v>
      </c>
      <c r="D751" s="5" t="s">
        <v>1710</v>
      </c>
      <c r="E751" s="3">
        <v>78</v>
      </c>
      <c r="F751" s="13">
        <v>42030</v>
      </c>
      <c r="G751" t="s">
        <v>278</v>
      </c>
      <c r="H751" s="9">
        <v>34.94</v>
      </c>
      <c r="I751" s="5" t="s">
        <v>68</v>
      </c>
      <c r="J751" s="15">
        <v>42030.033518518518</v>
      </c>
      <c r="K751" t="str">
        <f t="shared" si="11"/>
        <v>01-2015</v>
      </c>
    </row>
    <row r="752" spans="3:11" x14ac:dyDescent="0.25">
      <c r="C752" t="str">
        <f>IF(COUNTBLANK(E752:J752) = 6,"",IF(AND(NOT(ISBLANK(E752)),COUNTBLANK(E752:J752) = 5),"3 Delete",IF(ISBLANK(E752),"2 Add",IF(SHA1Range(E752:J752) = "1d504e5b21e730642189362767520da6d9e70bf0","0 Original","1 Modify"))))</f>
        <v>0 Original</v>
      </c>
      <c r="D752" s="5" t="s">
        <v>1711</v>
      </c>
      <c r="E752" s="3">
        <v>1367</v>
      </c>
      <c r="F752" s="13">
        <v>42030</v>
      </c>
      <c r="G752" t="s">
        <v>311</v>
      </c>
      <c r="H752" s="9">
        <v>22.97</v>
      </c>
      <c r="I752" s="5" t="s">
        <v>68</v>
      </c>
      <c r="J752" s="15">
        <v>42030.145995370367</v>
      </c>
      <c r="K752" t="str">
        <f t="shared" si="11"/>
        <v>01-2015</v>
      </c>
    </row>
    <row r="753" spans="3:11" x14ac:dyDescent="0.25">
      <c r="C753" t="str">
        <f>IF(COUNTBLANK(E753:J753) = 6,"",IF(AND(NOT(ISBLANK(E753)),COUNTBLANK(E753:J753) = 5),"3 Delete",IF(ISBLANK(E753),"2 Add",IF(SHA1Range(E753:J753) = "40c907a5b64fdb97bdafa411b8d3e6e77b848fc8","0 Original","1 Modify"))))</f>
        <v>0 Original</v>
      </c>
      <c r="D753" s="5" t="s">
        <v>1712</v>
      </c>
      <c r="E753" s="3">
        <v>1254</v>
      </c>
      <c r="F753" s="13">
        <v>42030</v>
      </c>
      <c r="G753" t="s">
        <v>73</v>
      </c>
      <c r="H753" s="9">
        <v>13.98</v>
      </c>
      <c r="I753" s="5" t="s">
        <v>68</v>
      </c>
      <c r="J753" s="15">
        <v>42030.287858796299</v>
      </c>
      <c r="K753" t="str">
        <f t="shared" si="11"/>
        <v>01-2015</v>
      </c>
    </row>
    <row r="754" spans="3:11" x14ac:dyDescent="0.25">
      <c r="C754" t="str">
        <f>IF(COUNTBLANK(E754:J754) = 6,"",IF(AND(NOT(ISBLANK(E754)),COUNTBLANK(E754:J754) = 5),"3 Delete",IF(ISBLANK(E754),"2 Add",IF(SHA1Range(E754:J754) = "62e28c19fdc8f3a4510e7390d8f5a29332e6ecb0","0 Original","1 Modify"))))</f>
        <v>0 Original</v>
      </c>
      <c r="D754" s="5" t="s">
        <v>1713</v>
      </c>
      <c r="E754" s="3">
        <v>764</v>
      </c>
      <c r="F754" s="13">
        <v>42030</v>
      </c>
      <c r="G754" t="s">
        <v>245</v>
      </c>
      <c r="H754" s="9">
        <v>40.950000000000003</v>
      </c>
      <c r="I754" s="5" t="s">
        <v>68</v>
      </c>
      <c r="J754" s="15">
        <v>42030.614618055559</v>
      </c>
      <c r="K754" t="str">
        <f t="shared" si="11"/>
        <v>01-2015</v>
      </c>
    </row>
    <row r="755" spans="3:11" x14ac:dyDescent="0.25">
      <c r="C755" t="str">
        <f>IF(COUNTBLANK(E755:J755) = 6,"",IF(AND(NOT(ISBLANK(E755)),COUNTBLANK(E755:J755) = 5),"3 Delete",IF(ISBLANK(E755),"2 Add",IF(SHA1Range(E755:J755) = "af127a4a023e5466a1d58401c7440519fc4382d0","0 Original","1 Modify"))))</f>
        <v>0 Original</v>
      </c>
      <c r="D755" s="5" t="s">
        <v>1714</v>
      </c>
      <c r="E755" s="3">
        <v>513</v>
      </c>
      <c r="F755" s="13">
        <v>42030</v>
      </c>
      <c r="G755" t="s">
        <v>119</v>
      </c>
      <c r="H755" s="9">
        <v>14.98</v>
      </c>
      <c r="I755" s="5" t="s">
        <v>68</v>
      </c>
      <c r="J755" s="15">
        <v>42030.633935185186</v>
      </c>
      <c r="K755" t="str">
        <f t="shared" si="11"/>
        <v>01-2015</v>
      </c>
    </row>
    <row r="756" spans="3:11" x14ac:dyDescent="0.25">
      <c r="C756" t="str">
        <f>IF(COUNTBLANK(E756:J756) = 6,"",IF(AND(NOT(ISBLANK(E756)),COUNTBLANK(E756:J756) = 5),"3 Delete",IF(ISBLANK(E756),"2 Add",IF(SHA1Range(E756:J756) = "8b398aa0ca3970864c719af3f7e112705d7006e7","0 Original","1 Modify"))))</f>
        <v>0 Original</v>
      </c>
      <c r="D756" s="5" t="s">
        <v>1715</v>
      </c>
      <c r="E756" s="3">
        <v>1290</v>
      </c>
      <c r="F756" s="13">
        <v>42030</v>
      </c>
      <c r="G756" t="s">
        <v>275</v>
      </c>
      <c r="H756" s="9">
        <v>15.98</v>
      </c>
      <c r="I756" s="5" t="s">
        <v>68</v>
      </c>
      <c r="J756" s="15">
        <v>42030.714965277781</v>
      </c>
      <c r="K756" t="str">
        <f t="shared" si="11"/>
        <v>01-2015</v>
      </c>
    </row>
    <row r="757" spans="3:11" x14ac:dyDescent="0.25">
      <c r="C757" t="str">
        <f>IF(COUNTBLANK(E757:J757) = 6,"",IF(AND(NOT(ISBLANK(E757)),COUNTBLANK(E757:J757) = 5),"3 Delete",IF(ISBLANK(E757),"2 Add",IF(SHA1Range(E757:J757) = "42512b86925907a55dbf469a568a85f9e50e70aa","0 Original","1 Modify"))))</f>
        <v>0 Original</v>
      </c>
      <c r="D757" s="5" t="s">
        <v>1716</v>
      </c>
      <c r="E757" s="3">
        <v>922</v>
      </c>
      <c r="F757" s="13">
        <v>42030</v>
      </c>
      <c r="G757" t="s">
        <v>221</v>
      </c>
      <c r="H757" s="9">
        <v>33.96</v>
      </c>
      <c r="I757" s="5" t="s">
        <v>68</v>
      </c>
      <c r="J757" s="15">
        <v>42030.725416666668</v>
      </c>
      <c r="K757" t="str">
        <f t="shared" si="11"/>
        <v>01-2015</v>
      </c>
    </row>
    <row r="758" spans="3:11" x14ac:dyDescent="0.25">
      <c r="C758" t="str">
        <f>IF(COUNTBLANK(E758:J758) = 6,"",IF(AND(NOT(ISBLANK(E758)),COUNTBLANK(E758:J758) = 5),"3 Delete",IF(ISBLANK(E758),"2 Add",IF(SHA1Range(E758:J758) = "eb4e0a1da1e91331f6a8e8a7805d5c457827782b","0 Original","1 Modify"))))</f>
        <v>0 Original</v>
      </c>
      <c r="D758" s="5" t="s">
        <v>1717</v>
      </c>
      <c r="E758" s="3">
        <v>1128</v>
      </c>
      <c r="F758" s="13">
        <v>42030</v>
      </c>
      <c r="G758" t="s">
        <v>245</v>
      </c>
      <c r="H758" s="9">
        <v>9.99</v>
      </c>
      <c r="I758" s="5" t="s">
        <v>68</v>
      </c>
      <c r="J758" s="15">
        <v>42030.984490740739</v>
      </c>
      <c r="K758" t="str">
        <f t="shared" si="11"/>
        <v>01-2015</v>
      </c>
    </row>
    <row r="759" spans="3:11" x14ac:dyDescent="0.25">
      <c r="C759" t="str">
        <f>IF(COUNTBLANK(E759:J759) = 6,"",IF(AND(NOT(ISBLANK(E759)),COUNTBLANK(E759:J759) = 5),"3 Delete",IF(ISBLANK(E759),"2 Add",IF(SHA1Range(E759:J759) = "390472ca8888d9e1fa28c006e1b2b55a6f7c48c1","0 Original","1 Modify"))))</f>
        <v>0 Original</v>
      </c>
      <c r="D759" s="5" t="s">
        <v>1718</v>
      </c>
      <c r="E759" s="3">
        <v>1435</v>
      </c>
      <c r="F759" s="13">
        <v>42031</v>
      </c>
      <c r="G759" t="s">
        <v>92</v>
      </c>
      <c r="H759" s="9">
        <v>27.97</v>
      </c>
      <c r="I759" s="5" t="s">
        <v>68</v>
      </c>
      <c r="J759" s="15">
        <v>42031.141099537039</v>
      </c>
      <c r="K759" t="str">
        <f t="shared" si="11"/>
        <v>01-2015</v>
      </c>
    </row>
    <row r="760" spans="3:11" x14ac:dyDescent="0.25">
      <c r="C760" t="str">
        <f>IF(COUNTBLANK(E760:J760) = 6,"",IF(AND(NOT(ISBLANK(E760)),COUNTBLANK(E760:J760) = 5),"3 Delete",IF(ISBLANK(E760),"2 Add",IF(SHA1Range(E760:J760) = "8d6635d88350e50e07547c48251ebd71ecaa6729","0 Original","1 Modify"))))</f>
        <v>0 Original</v>
      </c>
      <c r="D760" s="5" t="s">
        <v>1719</v>
      </c>
      <c r="E760" s="3">
        <v>1497</v>
      </c>
      <c r="F760" s="13">
        <v>42031</v>
      </c>
      <c r="G760" t="s">
        <v>245</v>
      </c>
      <c r="H760" s="9">
        <v>38.950000000000003</v>
      </c>
      <c r="I760" s="5" t="s">
        <v>68</v>
      </c>
      <c r="J760" s="15">
        <v>42031.316354166665</v>
      </c>
      <c r="K760" t="str">
        <f t="shared" si="11"/>
        <v>01-2015</v>
      </c>
    </row>
    <row r="761" spans="3:11" x14ac:dyDescent="0.25">
      <c r="C761" t="str">
        <f>IF(COUNTBLANK(E761:J761) = 6,"",IF(AND(NOT(ISBLANK(E761)),COUNTBLANK(E761:J761) = 5),"3 Delete",IF(ISBLANK(E761),"2 Add",IF(SHA1Range(E761:J761) = "bd160a17904bf6ffefe6bf0b21c7a358b93fdb8b","0 Original","1 Modify"))))</f>
        <v>0 Original</v>
      </c>
      <c r="D761" s="5" t="s">
        <v>1720</v>
      </c>
      <c r="E761" s="3">
        <v>1411</v>
      </c>
      <c r="F761" s="13">
        <v>42031</v>
      </c>
      <c r="G761" t="s">
        <v>245</v>
      </c>
      <c r="H761" s="9">
        <v>23.97</v>
      </c>
      <c r="I761" s="5" t="s">
        <v>68</v>
      </c>
      <c r="J761" s="15">
        <v>42031.526296296295</v>
      </c>
      <c r="K761" t="str">
        <f t="shared" si="11"/>
        <v>01-2015</v>
      </c>
    </row>
    <row r="762" spans="3:11" x14ac:dyDescent="0.25">
      <c r="C762" t="str">
        <f>IF(COUNTBLANK(E762:J762) = 6,"",IF(AND(NOT(ISBLANK(E762)),COUNTBLANK(E762:J762) = 5),"3 Delete",IF(ISBLANK(E762),"2 Add",IF(SHA1Range(E762:J762) = "3a55405831d65f23a2203a26491a51ec82e9ca2e","0 Original","1 Modify"))))</f>
        <v>0 Original</v>
      </c>
      <c r="D762" s="5" t="s">
        <v>1721</v>
      </c>
      <c r="E762" s="3">
        <v>330</v>
      </c>
      <c r="F762" s="13">
        <v>42031</v>
      </c>
      <c r="G762" t="s">
        <v>203</v>
      </c>
      <c r="H762" s="9">
        <v>90.89</v>
      </c>
      <c r="I762" s="5" t="s">
        <v>68</v>
      </c>
      <c r="J762" s="15">
        <v>42031.610335648147</v>
      </c>
      <c r="K762" t="str">
        <f t="shared" si="11"/>
        <v>01-2015</v>
      </c>
    </row>
    <row r="763" spans="3:11" x14ac:dyDescent="0.25">
      <c r="C763" t="str">
        <f>IF(COUNTBLANK(E763:J763) = 6,"",IF(AND(NOT(ISBLANK(E763)),COUNTBLANK(E763:J763) = 5),"3 Delete",IF(ISBLANK(E763),"2 Add",IF(SHA1Range(E763:J763) = "c9500f37495e262a0a58e0c7f90488ab98956e75","0 Original","1 Modify"))))</f>
        <v>0 Original</v>
      </c>
      <c r="D763" s="5" t="s">
        <v>1722</v>
      </c>
      <c r="E763" s="3">
        <v>1035</v>
      </c>
      <c r="F763" s="13">
        <v>42031</v>
      </c>
      <c r="G763" t="s">
        <v>98</v>
      </c>
      <c r="H763" s="9">
        <v>9.98</v>
      </c>
      <c r="I763" s="5" t="s">
        <v>68</v>
      </c>
      <c r="J763" s="15">
        <v>42031.62158564815</v>
      </c>
      <c r="K763" t="str">
        <f t="shared" si="11"/>
        <v>01-2015</v>
      </c>
    </row>
    <row r="764" spans="3:11" x14ac:dyDescent="0.25">
      <c r="C764" t="str">
        <f>IF(COUNTBLANK(E764:J764) = 6,"",IF(AND(NOT(ISBLANK(E764)),COUNTBLANK(E764:J764) = 5),"3 Delete",IF(ISBLANK(E764),"2 Add",IF(SHA1Range(E764:J764) = "ce1bf3dc97e3f410825033bdf6040e2bc9913f7a","0 Original","1 Modify"))))</f>
        <v>0 Original</v>
      </c>
      <c r="D764" s="5" t="s">
        <v>1723</v>
      </c>
      <c r="E764" s="3">
        <v>547</v>
      </c>
      <c r="F764" s="13">
        <v>42031</v>
      </c>
      <c r="G764" t="s">
        <v>101</v>
      </c>
      <c r="H764" s="9">
        <v>15.98</v>
      </c>
      <c r="I764" s="5" t="s">
        <v>68</v>
      </c>
      <c r="J764" s="15">
        <v>42031.68445601852</v>
      </c>
      <c r="K764" t="str">
        <f t="shared" si="11"/>
        <v>01-2015</v>
      </c>
    </row>
    <row r="765" spans="3:11" x14ac:dyDescent="0.25">
      <c r="C765" t="str">
        <f>IF(COUNTBLANK(E765:J765) = 6,"",IF(AND(NOT(ISBLANK(E765)),COUNTBLANK(E765:J765) = 5),"3 Delete",IF(ISBLANK(E765),"2 Add",IF(SHA1Range(E765:J765) = "079efaec5bc0cf35ef1156697f33dccb79d818b5","0 Original","1 Modify"))))</f>
        <v>0 Original</v>
      </c>
      <c r="D765" s="5" t="s">
        <v>1724</v>
      </c>
      <c r="E765" s="3">
        <v>68</v>
      </c>
      <c r="F765" s="13">
        <v>42032</v>
      </c>
      <c r="G765" t="s">
        <v>212</v>
      </c>
      <c r="H765" s="9">
        <v>25.97</v>
      </c>
      <c r="I765" s="5" t="s">
        <v>68</v>
      </c>
      <c r="J765" s="15">
        <v>42032.23673611111</v>
      </c>
      <c r="K765" t="str">
        <f t="shared" si="11"/>
        <v>01-2015</v>
      </c>
    </row>
    <row r="766" spans="3:11" x14ac:dyDescent="0.25">
      <c r="C766" t="str">
        <f>IF(COUNTBLANK(E766:J766) = 6,"",IF(AND(NOT(ISBLANK(E766)),COUNTBLANK(E766:J766) = 5),"3 Delete",IF(ISBLANK(E766),"2 Add",IF(SHA1Range(E766:J766) = "ccb745ce1f2c2c2bea5dff0c6c9e5c0a078a306c","0 Original","1 Modify"))))</f>
        <v>0 Original</v>
      </c>
      <c r="D766" s="5" t="s">
        <v>1725</v>
      </c>
      <c r="E766" s="3">
        <v>1206</v>
      </c>
      <c r="F766" s="13">
        <v>42032</v>
      </c>
      <c r="G766" t="s">
        <v>248</v>
      </c>
      <c r="H766" s="9">
        <v>34.96</v>
      </c>
      <c r="I766" s="5" t="s">
        <v>68</v>
      </c>
      <c r="J766" s="15">
        <v>42032.366284722222</v>
      </c>
      <c r="K766" t="str">
        <f t="shared" si="11"/>
        <v>01-2015</v>
      </c>
    </row>
    <row r="767" spans="3:11" x14ac:dyDescent="0.25">
      <c r="C767" t="str">
        <f>IF(COUNTBLANK(E767:J767) = 6,"",IF(AND(NOT(ISBLANK(E767)),COUNTBLANK(E767:J767) = 5),"3 Delete",IF(ISBLANK(E767),"2 Add",IF(SHA1Range(E767:J767) = "e48e6c08e4431689253284b7ba8a0d3a93e1670c","0 Original","1 Modify"))))</f>
        <v>0 Original</v>
      </c>
      <c r="D767" s="5" t="s">
        <v>1726</v>
      </c>
      <c r="E767" s="3">
        <v>1427</v>
      </c>
      <c r="F767" s="13">
        <v>42032</v>
      </c>
      <c r="G767" t="s">
        <v>287</v>
      </c>
      <c r="H767" s="9">
        <v>17.98</v>
      </c>
      <c r="I767" s="5" t="s">
        <v>68</v>
      </c>
      <c r="J767" s="15">
        <v>42032.445590277777</v>
      </c>
      <c r="K767" t="str">
        <f t="shared" si="11"/>
        <v>01-2015</v>
      </c>
    </row>
    <row r="768" spans="3:11" x14ac:dyDescent="0.25">
      <c r="C768" t="str">
        <f>IF(COUNTBLANK(E768:J768) = 6,"",IF(AND(NOT(ISBLANK(E768)),COUNTBLANK(E768:J768) = 5),"3 Delete",IF(ISBLANK(E768),"2 Add",IF(SHA1Range(E768:J768) = "13d92107ca5ac24b2936622190b86a63616d429b","0 Original","1 Modify"))))</f>
        <v>0 Original</v>
      </c>
      <c r="D768" s="5" t="s">
        <v>1727</v>
      </c>
      <c r="E768" s="3">
        <v>1098</v>
      </c>
      <c r="F768" s="13">
        <v>42032</v>
      </c>
      <c r="G768" t="s">
        <v>245</v>
      </c>
      <c r="H768" s="9">
        <v>7.99</v>
      </c>
      <c r="I768" s="5" t="s">
        <v>68</v>
      </c>
      <c r="J768" s="15">
        <v>42032.530844907407</v>
      </c>
      <c r="K768" t="str">
        <f t="shared" si="11"/>
        <v>01-2015</v>
      </c>
    </row>
    <row r="769" spans="3:11" x14ac:dyDescent="0.25">
      <c r="C769" t="str">
        <f>IF(COUNTBLANK(E769:J769) = 6,"",IF(AND(NOT(ISBLANK(E769)),COUNTBLANK(E769:J769) = 5),"3 Delete",IF(ISBLANK(E769),"2 Add",IF(SHA1Range(E769:J769) = "411334966681a7b4ecbd50b61c42e5c9e52bfcb7","0 Original","1 Modify"))))</f>
        <v>0 Original</v>
      </c>
      <c r="D769" s="5" t="s">
        <v>1728</v>
      </c>
      <c r="E769" s="3">
        <v>391</v>
      </c>
      <c r="F769" s="13">
        <v>42032</v>
      </c>
      <c r="G769" t="s">
        <v>146</v>
      </c>
      <c r="H769" s="9">
        <v>63.91</v>
      </c>
      <c r="I769" s="5" t="s">
        <v>68</v>
      </c>
      <c r="J769" s="15">
        <v>42032.575532407405</v>
      </c>
      <c r="K769" t="str">
        <f t="shared" si="11"/>
        <v>01-2015</v>
      </c>
    </row>
    <row r="770" spans="3:11" x14ac:dyDescent="0.25">
      <c r="C770" t="str">
        <f>IF(COUNTBLANK(E770:J770) = 6,"",IF(AND(NOT(ISBLANK(E770)),COUNTBLANK(E770:J770) = 5),"3 Delete",IF(ISBLANK(E770),"2 Add",IF(SHA1Range(E770:J770) = "807e47b2dce00b6fb9c0553c85d2879f00c6639e","0 Original","1 Modify"))))</f>
        <v>0 Original</v>
      </c>
      <c r="D770" s="5" t="s">
        <v>1729</v>
      </c>
      <c r="E770" s="3">
        <v>1443</v>
      </c>
      <c r="F770" s="13">
        <v>42033</v>
      </c>
      <c r="G770" t="s">
        <v>140</v>
      </c>
      <c r="H770" s="9">
        <v>44.95</v>
      </c>
      <c r="I770" s="5" t="s">
        <v>68</v>
      </c>
      <c r="J770" s="15">
        <v>42033.073888888888</v>
      </c>
      <c r="K770" t="str">
        <f t="shared" si="11"/>
        <v>01-2015</v>
      </c>
    </row>
    <row r="771" spans="3:11" x14ac:dyDescent="0.25">
      <c r="C771" t="str">
        <f>IF(COUNTBLANK(E771:J771) = 6,"",IF(AND(NOT(ISBLANK(E771)),COUNTBLANK(E771:J771) = 5),"3 Delete",IF(ISBLANK(E771),"2 Add",IF(SHA1Range(E771:J771) = "4da4fbb623f3e40c8ba94b9609f0aa98d370bb76","0 Original","1 Modify"))))</f>
        <v>0 Original</v>
      </c>
      <c r="D771" s="5" t="s">
        <v>1730</v>
      </c>
      <c r="E771" s="3">
        <v>1262</v>
      </c>
      <c r="F771" s="13">
        <v>42033</v>
      </c>
      <c r="G771" t="s">
        <v>296</v>
      </c>
      <c r="H771" s="9">
        <v>64.930000000000007</v>
      </c>
      <c r="I771" s="5" t="s">
        <v>68</v>
      </c>
      <c r="J771" s="15">
        <v>42033.28670138889</v>
      </c>
      <c r="K771" t="str">
        <f t="shared" ref="K771:K834" si="12">TEXT(F771,"mm-yyyy")</f>
        <v>01-2015</v>
      </c>
    </row>
    <row r="772" spans="3:11" x14ac:dyDescent="0.25">
      <c r="C772" t="str">
        <f>IF(COUNTBLANK(E772:J772) = 6,"",IF(AND(NOT(ISBLANK(E772)),COUNTBLANK(E772:J772) = 5),"3 Delete",IF(ISBLANK(E772),"2 Add",IF(SHA1Range(E772:J772) = "03e9d773e3a7d210160d1b8a3c85e609b08a5358","0 Original","1 Modify"))))</f>
        <v>0 Original</v>
      </c>
      <c r="D772" s="5" t="s">
        <v>1731</v>
      </c>
      <c r="E772" s="3">
        <v>1404</v>
      </c>
      <c r="F772" s="13">
        <v>42033</v>
      </c>
      <c r="G772" t="s">
        <v>128</v>
      </c>
      <c r="H772" s="9">
        <v>11.98</v>
      </c>
      <c r="I772" s="5" t="s">
        <v>68</v>
      </c>
      <c r="J772" s="15">
        <v>42033.286886574075</v>
      </c>
      <c r="K772" t="str">
        <f t="shared" si="12"/>
        <v>01-2015</v>
      </c>
    </row>
    <row r="773" spans="3:11" x14ac:dyDescent="0.25">
      <c r="C773" t="str">
        <f>IF(COUNTBLANK(E773:J773) = 6,"",IF(AND(NOT(ISBLANK(E773)),COUNTBLANK(E773:J773) = 5),"3 Delete",IF(ISBLANK(E773),"2 Add",IF(SHA1Range(E773:J773) = "c6a5d9b8e43581e59c9490456c461a4ecf3c2002","0 Original","1 Modify"))))</f>
        <v>0 Original</v>
      </c>
      <c r="D773" s="5" t="s">
        <v>1732</v>
      </c>
      <c r="E773" s="3">
        <v>1236</v>
      </c>
      <c r="F773" s="13">
        <v>42033</v>
      </c>
      <c r="G773" t="s">
        <v>281</v>
      </c>
      <c r="H773" s="9">
        <v>47.94</v>
      </c>
      <c r="I773" s="5" t="s">
        <v>68</v>
      </c>
      <c r="J773" s="15">
        <v>42033.383622685185</v>
      </c>
      <c r="K773" t="str">
        <f t="shared" si="12"/>
        <v>01-2015</v>
      </c>
    </row>
    <row r="774" spans="3:11" x14ac:dyDescent="0.25">
      <c r="C774" t="str">
        <f>IF(COUNTBLANK(E774:J774) = 6,"",IF(AND(NOT(ISBLANK(E774)),COUNTBLANK(E774:J774) = 5),"3 Delete",IF(ISBLANK(E774),"2 Add",IF(SHA1Range(E774:J774) = "448aa5e8f17ed5cfe1036262a188909abdf3a54b","0 Original","1 Modify"))))</f>
        <v>0 Original</v>
      </c>
      <c r="D774" s="5" t="s">
        <v>1733</v>
      </c>
      <c r="E774" s="3">
        <v>1346</v>
      </c>
      <c r="F774" s="13">
        <v>42033</v>
      </c>
      <c r="G774" t="s">
        <v>245</v>
      </c>
      <c r="H774" s="9">
        <v>38.950000000000003</v>
      </c>
      <c r="I774" s="5" t="s">
        <v>68</v>
      </c>
      <c r="J774" s="15">
        <v>42033.787395833337</v>
      </c>
      <c r="K774" t="str">
        <f t="shared" si="12"/>
        <v>01-2015</v>
      </c>
    </row>
    <row r="775" spans="3:11" x14ac:dyDescent="0.25">
      <c r="C775" t="str">
        <f>IF(COUNTBLANK(E775:J775) = 6,"",IF(AND(NOT(ISBLANK(E775)),COUNTBLANK(E775:J775) = 5),"3 Delete",IF(ISBLANK(E775),"2 Add",IF(SHA1Range(E775:J775) = "bd750ba84552bbf68a208adfe22058880e3406cb","0 Original","1 Modify"))))</f>
        <v>0 Original</v>
      </c>
      <c r="D775" s="5" t="s">
        <v>1734</v>
      </c>
      <c r="E775" s="3">
        <v>1314</v>
      </c>
      <c r="F775" s="13">
        <v>42033</v>
      </c>
      <c r="G775" t="s">
        <v>308</v>
      </c>
      <c r="H775" s="9">
        <v>33.96</v>
      </c>
      <c r="I775" s="5" t="s">
        <v>68</v>
      </c>
      <c r="J775" s="15">
        <v>42033.793553240743</v>
      </c>
      <c r="K775" t="str">
        <f t="shared" si="12"/>
        <v>01-2015</v>
      </c>
    </row>
    <row r="776" spans="3:11" x14ac:dyDescent="0.25">
      <c r="C776" t="str">
        <f>IF(COUNTBLANK(E776:J776) = 6,"",IF(AND(NOT(ISBLANK(E776)),COUNTBLANK(E776:J776) = 5),"3 Delete",IF(ISBLANK(E776),"2 Add",IF(SHA1Range(E776:J776) = "f94b1587d0a1dd2515f2b8aa8a53f7cb74b1e0a2","0 Original","1 Modify"))))</f>
        <v>0 Original</v>
      </c>
      <c r="D776" s="5" t="s">
        <v>1735</v>
      </c>
      <c r="E776" s="3">
        <v>597</v>
      </c>
      <c r="F776" s="13">
        <v>42033</v>
      </c>
      <c r="G776" t="s">
        <v>215</v>
      </c>
      <c r="H776" s="9">
        <v>39.950000000000003</v>
      </c>
      <c r="I776" s="5" t="s">
        <v>68</v>
      </c>
      <c r="J776" s="15">
        <v>42033.811643518522</v>
      </c>
      <c r="K776" t="str">
        <f t="shared" si="12"/>
        <v>01-2015</v>
      </c>
    </row>
    <row r="777" spans="3:11" x14ac:dyDescent="0.25">
      <c r="C777" t="str">
        <f>IF(COUNTBLANK(E777:J777) = 6,"",IF(AND(NOT(ISBLANK(E777)),COUNTBLANK(E777:J777) = 5),"3 Delete",IF(ISBLANK(E777),"2 Add",IF(SHA1Range(E777:J777) = "60b7d3adff105e7b07175623a05407f1891298f2","0 Original","1 Modify"))))</f>
        <v>0 Original</v>
      </c>
      <c r="D777" s="5" t="s">
        <v>1736</v>
      </c>
      <c r="E777" s="3">
        <v>954</v>
      </c>
      <c r="F777" s="13">
        <v>42033</v>
      </c>
      <c r="G777" t="s">
        <v>221</v>
      </c>
      <c r="H777" s="9">
        <v>64.92</v>
      </c>
      <c r="I777" s="5" t="s">
        <v>68</v>
      </c>
      <c r="J777" s="15">
        <v>42033.835011574076</v>
      </c>
      <c r="K777" t="str">
        <f t="shared" si="12"/>
        <v>01-2015</v>
      </c>
    </row>
    <row r="778" spans="3:11" x14ac:dyDescent="0.25">
      <c r="C778" t="str">
        <f>IF(COUNTBLANK(E778:J778) = 6,"",IF(AND(NOT(ISBLANK(E778)),COUNTBLANK(E778:J778) = 5),"3 Delete",IF(ISBLANK(E778),"2 Add",IF(SHA1Range(E778:J778) = "514a16b4834607d69c95429d6cc11773ea155d71","0 Original","1 Modify"))))</f>
        <v>0 Original</v>
      </c>
      <c r="D778" s="5" t="s">
        <v>1737</v>
      </c>
      <c r="E778" s="3">
        <v>1306</v>
      </c>
      <c r="F778" s="13">
        <v>42033</v>
      </c>
      <c r="G778" t="s">
        <v>272</v>
      </c>
      <c r="H778" s="9">
        <v>16.97</v>
      </c>
      <c r="I778" s="5" t="s">
        <v>68</v>
      </c>
      <c r="J778" s="15">
        <v>42033.879016203704</v>
      </c>
      <c r="K778" t="str">
        <f t="shared" si="12"/>
        <v>01-2015</v>
      </c>
    </row>
    <row r="779" spans="3:11" x14ac:dyDescent="0.25">
      <c r="C779" t="str">
        <f>IF(COUNTBLANK(E779:J779) = 6,"",IF(AND(NOT(ISBLANK(E779)),COUNTBLANK(E779:J779) = 5),"3 Delete",IF(ISBLANK(E779),"2 Add",IF(SHA1Range(E779:J779) = "d3f826ded68681b05f01022ece1e35e535bb3724","0 Original","1 Modify"))))</f>
        <v>0 Original</v>
      </c>
      <c r="D779" s="5" t="s">
        <v>1738</v>
      </c>
      <c r="E779" s="3">
        <v>231</v>
      </c>
      <c r="F779" s="13">
        <v>42034</v>
      </c>
      <c r="G779" t="s">
        <v>350</v>
      </c>
      <c r="H779" s="9">
        <v>26.97</v>
      </c>
      <c r="I779" s="5" t="s">
        <v>68</v>
      </c>
      <c r="J779" s="15">
        <v>42034.259930555556</v>
      </c>
      <c r="K779" t="str">
        <f t="shared" si="12"/>
        <v>01-2015</v>
      </c>
    </row>
    <row r="780" spans="3:11" x14ac:dyDescent="0.25">
      <c r="C780" t="str">
        <f>IF(COUNTBLANK(E780:J780) = 6,"",IF(AND(NOT(ISBLANK(E780)),COUNTBLANK(E780:J780) = 5),"3 Delete",IF(ISBLANK(E780),"2 Add",IF(SHA1Range(E780:J780) = "14f03f9626fd356f9ff7b04df3ec61a387becba4","0 Original","1 Modify"))))</f>
        <v>0 Original</v>
      </c>
      <c r="D780" s="5" t="s">
        <v>1739</v>
      </c>
      <c r="E780" s="3">
        <v>1477</v>
      </c>
      <c r="F780" s="13">
        <v>42034</v>
      </c>
      <c r="G780" t="s">
        <v>278</v>
      </c>
      <c r="H780" s="9">
        <v>63.92</v>
      </c>
      <c r="I780" s="5" t="s">
        <v>68</v>
      </c>
      <c r="J780" s="15">
        <v>42034.422962962963</v>
      </c>
      <c r="K780" t="str">
        <f t="shared" si="12"/>
        <v>01-2015</v>
      </c>
    </row>
    <row r="781" spans="3:11" x14ac:dyDescent="0.25">
      <c r="C781" t="str">
        <f>IF(COUNTBLANK(E781:J781) = 6,"",IF(AND(NOT(ISBLANK(E781)),COUNTBLANK(E781:J781) = 5),"3 Delete",IF(ISBLANK(E781),"2 Add",IF(SHA1Range(E781:J781) = "7edecdeed6b43460f12a503f810f3c1b392b34c8","0 Original","1 Modify"))))</f>
        <v>0 Original</v>
      </c>
      <c r="D781" s="5" t="s">
        <v>1740</v>
      </c>
      <c r="E781" s="3">
        <v>1337</v>
      </c>
      <c r="F781" s="13">
        <v>42034</v>
      </c>
      <c r="G781" t="s">
        <v>308</v>
      </c>
      <c r="H781" s="9">
        <v>22.97</v>
      </c>
      <c r="I781" s="5" t="s">
        <v>68</v>
      </c>
      <c r="J781" s="15">
        <v>42034.865370370368</v>
      </c>
      <c r="K781" t="str">
        <f t="shared" si="12"/>
        <v>01-2015</v>
      </c>
    </row>
    <row r="782" spans="3:11" x14ac:dyDescent="0.25">
      <c r="C782" t="str">
        <f>IF(COUNTBLANK(E782:J782) = 6,"",IF(AND(NOT(ISBLANK(E782)),COUNTBLANK(E782:J782) = 5),"3 Delete",IF(ISBLANK(E782),"2 Add",IF(SHA1Range(E782:J782) = "f576ebaa795a18aef046af863f1dd2c18e07c147","0 Original","1 Modify"))))</f>
        <v>0 Original</v>
      </c>
      <c r="D782" s="5" t="s">
        <v>1741</v>
      </c>
      <c r="E782" s="3">
        <v>1327</v>
      </c>
      <c r="F782" s="13">
        <v>42034</v>
      </c>
      <c r="G782" t="s">
        <v>317</v>
      </c>
      <c r="H782" s="9">
        <v>56.93</v>
      </c>
      <c r="I782" s="5" t="s">
        <v>68</v>
      </c>
      <c r="J782" s="15">
        <v>42034.905833333331</v>
      </c>
      <c r="K782" t="str">
        <f t="shared" si="12"/>
        <v>01-2015</v>
      </c>
    </row>
    <row r="783" spans="3:11" x14ac:dyDescent="0.25">
      <c r="C783" t="str">
        <f>IF(COUNTBLANK(E783:J783) = 6,"",IF(AND(NOT(ISBLANK(E783)),COUNTBLANK(E783:J783) = 5),"3 Delete",IF(ISBLANK(E783),"2 Add",IF(SHA1Range(E783:J783) = "3c314719f4f83649ea75442cf2c37baa8e39dc27","0 Original","1 Modify"))))</f>
        <v>0 Original</v>
      </c>
      <c r="D783" s="5" t="s">
        <v>1742</v>
      </c>
      <c r="E783" s="3">
        <v>743</v>
      </c>
      <c r="F783" s="13">
        <v>42035</v>
      </c>
      <c r="G783" t="s">
        <v>302</v>
      </c>
      <c r="H783" s="9">
        <v>43.95</v>
      </c>
      <c r="I783" s="5" t="s">
        <v>68</v>
      </c>
      <c r="J783" s="15">
        <v>42035.389525462961</v>
      </c>
      <c r="K783" t="str">
        <f t="shared" si="12"/>
        <v>01-2015</v>
      </c>
    </row>
    <row r="784" spans="3:11" x14ac:dyDescent="0.25">
      <c r="C784" t="str">
        <f>IF(COUNTBLANK(E784:J784) = 6,"",IF(AND(NOT(ISBLANK(E784)),COUNTBLANK(E784:J784) = 5),"3 Delete",IF(ISBLANK(E784),"2 Add",IF(SHA1Range(E784:J784) = "a734525e69c7d95bcdf0f8c719bda88aef1e539c","0 Original","1 Modify"))))</f>
        <v>0 Original</v>
      </c>
      <c r="D784" s="5" t="s">
        <v>1743</v>
      </c>
      <c r="E784" s="3">
        <v>1400</v>
      </c>
      <c r="F784" s="13">
        <v>42035</v>
      </c>
      <c r="G784" t="s">
        <v>65</v>
      </c>
      <c r="H784" s="9">
        <v>10.98</v>
      </c>
      <c r="I784" s="5" t="s">
        <v>68</v>
      </c>
      <c r="J784" s="15">
        <v>42035.413912037038</v>
      </c>
      <c r="K784" t="str">
        <f t="shared" si="12"/>
        <v>01-2015</v>
      </c>
    </row>
    <row r="785" spans="3:11" x14ac:dyDescent="0.25">
      <c r="C785" t="str">
        <f>IF(COUNTBLANK(E785:J785) = 6,"",IF(AND(NOT(ISBLANK(E785)),COUNTBLANK(E785:J785) = 5),"3 Delete",IF(ISBLANK(E785),"2 Add",IF(SHA1Range(E785:J785) = "4e46d033a92f0cfd1b2301ba8879bcae82f8acde","0 Original","1 Modify"))))</f>
        <v>0 Original</v>
      </c>
      <c r="D785" s="5" t="s">
        <v>1744</v>
      </c>
      <c r="E785" s="3">
        <v>1202</v>
      </c>
      <c r="F785" s="13">
        <v>42035</v>
      </c>
      <c r="G785" t="s">
        <v>65</v>
      </c>
      <c r="H785" s="9">
        <v>15.98</v>
      </c>
      <c r="I785" s="5" t="s">
        <v>68</v>
      </c>
      <c r="J785" s="15">
        <v>42035.426793981482</v>
      </c>
      <c r="K785" t="str">
        <f t="shared" si="12"/>
        <v>01-2015</v>
      </c>
    </row>
    <row r="786" spans="3:11" x14ac:dyDescent="0.25">
      <c r="C786" t="str">
        <f>IF(COUNTBLANK(E786:J786) = 6,"",IF(AND(NOT(ISBLANK(E786)),COUNTBLANK(E786:J786) = 5),"3 Delete",IF(ISBLANK(E786),"2 Add",IF(SHA1Range(E786:J786) = "d738c8cf64e477ae397b1fcb545c7e2d00cc479b","0 Original","1 Modify"))))</f>
        <v>0 Original</v>
      </c>
      <c r="D786" s="5" t="s">
        <v>1745</v>
      </c>
      <c r="E786" s="3">
        <v>1353</v>
      </c>
      <c r="F786" s="13">
        <v>42035</v>
      </c>
      <c r="G786" t="s">
        <v>212</v>
      </c>
      <c r="H786" s="9">
        <v>9.98</v>
      </c>
      <c r="I786" s="5" t="s">
        <v>68</v>
      </c>
      <c r="J786" s="15">
        <v>42035.805787037039</v>
      </c>
      <c r="K786" t="str">
        <f t="shared" si="12"/>
        <v>01-2015</v>
      </c>
    </row>
    <row r="787" spans="3:11" x14ac:dyDescent="0.25">
      <c r="C787" t="str">
        <f>IF(COUNTBLANK(E787:J787) = 6,"",IF(AND(NOT(ISBLANK(E787)),COUNTBLANK(E787:J787) = 5),"3 Delete",IF(ISBLANK(E787),"2 Add",IF(SHA1Range(E787:J787) = "0fdf4bf07511448dda252bfe7b20f5f993b76923","0 Original","1 Modify"))))</f>
        <v>0 Original</v>
      </c>
      <c r="D787" s="5" t="s">
        <v>1746</v>
      </c>
      <c r="E787" s="3">
        <v>363</v>
      </c>
      <c r="F787" s="13">
        <v>42035</v>
      </c>
      <c r="G787" t="s">
        <v>86</v>
      </c>
      <c r="H787" s="9">
        <v>9.99</v>
      </c>
      <c r="I787" s="5" t="s">
        <v>68</v>
      </c>
      <c r="J787" s="15">
        <v>42035.940891203703</v>
      </c>
      <c r="K787" t="str">
        <f t="shared" si="12"/>
        <v>01-2015</v>
      </c>
    </row>
    <row r="788" spans="3:11" x14ac:dyDescent="0.25">
      <c r="C788" t="str">
        <f>IF(COUNTBLANK(E788:J788) = 6,"",IF(AND(NOT(ISBLANK(E788)),COUNTBLANK(E788:J788) = 5),"3 Delete",IF(ISBLANK(E788),"2 Add",IF(SHA1Range(E788:J788) = "85244977643a84ba0eb1ae9ddbed2cc969acfff9","0 Original","1 Modify"))))</f>
        <v>0 Original</v>
      </c>
      <c r="D788" s="5" t="s">
        <v>1747</v>
      </c>
      <c r="E788" s="3">
        <v>380</v>
      </c>
      <c r="F788" s="13">
        <v>42036</v>
      </c>
      <c r="G788" t="s">
        <v>230</v>
      </c>
      <c r="H788" s="9">
        <v>28.97</v>
      </c>
      <c r="I788" s="5" t="s">
        <v>68</v>
      </c>
      <c r="J788" s="15">
        <v>42036.048402777778</v>
      </c>
      <c r="K788" t="str">
        <f t="shared" si="12"/>
        <v>02-2015</v>
      </c>
    </row>
    <row r="789" spans="3:11" x14ac:dyDescent="0.25">
      <c r="C789" t="str">
        <f>IF(COUNTBLANK(E789:J789) = 6,"",IF(AND(NOT(ISBLANK(E789)),COUNTBLANK(E789:J789) = 5),"3 Delete",IF(ISBLANK(E789),"2 Add",IF(SHA1Range(E789:J789) = "63015706306365634398743ace1fae0517a0ac71","0 Original","1 Modify"))))</f>
        <v>0 Original</v>
      </c>
      <c r="D789" s="5" t="s">
        <v>1748</v>
      </c>
      <c r="E789" s="3">
        <v>1230</v>
      </c>
      <c r="F789" s="13">
        <v>42036</v>
      </c>
      <c r="G789" t="s">
        <v>248</v>
      </c>
      <c r="H789" s="9">
        <v>8.99</v>
      </c>
      <c r="I789" s="5" t="s">
        <v>68</v>
      </c>
      <c r="J789" s="15">
        <v>42036.36414351852</v>
      </c>
      <c r="K789" t="str">
        <f t="shared" si="12"/>
        <v>02-2015</v>
      </c>
    </row>
    <row r="790" spans="3:11" x14ac:dyDescent="0.25">
      <c r="C790" t="str">
        <f>IF(COUNTBLANK(E790:J790) = 6,"",IF(AND(NOT(ISBLANK(E790)),COUNTBLANK(E790:J790) = 5),"3 Delete",IF(ISBLANK(E790),"2 Add",IF(SHA1Range(E790:J790) = "ba5794dd968d70bd65cbc54dbde0a2541bab81ac","0 Original","1 Modify"))))</f>
        <v>0 Original</v>
      </c>
      <c r="D790" s="5" t="s">
        <v>1749</v>
      </c>
      <c r="E790" s="3">
        <v>1332</v>
      </c>
      <c r="F790" s="13">
        <v>42036</v>
      </c>
      <c r="G790" t="s">
        <v>323</v>
      </c>
      <c r="H790" s="9">
        <v>34.950000000000003</v>
      </c>
      <c r="I790" s="5" t="s">
        <v>68</v>
      </c>
      <c r="J790" s="15">
        <v>42036.613194444442</v>
      </c>
      <c r="K790" t="str">
        <f t="shared" si="12"/>
        <v>02-2015</v>
      </c>
    </row>
    <row r="791" spans="3:11" x14ac:dyDescent="0.25">
      <c r="C791" t="str">
        <f>IF(COUNTBLANK(E791:J791) = 6,"",IF(AND(NOT(ISBLANK(E791)),COUNTBLANK(E791:J791) = 5),"3 Delete",IF(ISBLANK(E791),"2 Add",IF(SHA1Range(E791:J791) = "ee951d973863c44be5157288106ea837ed7eaf0e","0 Original","1 Modify"))))</f>
        <v>0 Original</v>
      </c>
      <c r="D791" s="5" t="s">
        <v>1750</v>
      </c>
      <c r="E791" s="3">
        <v>51</v>
      </c>
      <c r="F791" s="13">
        <v>42036</v>
      </c>
      <c r="G791" t="s">
        <v>221</v>
      </c>
      <c r="H791" s="9">
        <v>69.91</v>
      </c>
      <c r="I791" s="5" t="s">
        <v>68</v>
      </c>
      <c r="J791" s="15">
        <v>42036.689826388887</v>
      </c>
      <c r="K791" t="str">
        <f t="shared" si="12"/>
        <v>02-2015</v>
      </c>
    </row>
    <row r="792" spans="3:11" x14ac:dyDescent="0.25">
      <c r="C792" t="str">
        <f>IF(COUNTBLANK(E792:J792) = 6,"",IF(AND(NOT(ISBLANK(E792)),COUNTBLANK(E792:J792) = 5),"3 Delete",IF(ISBLANK(E792),"2 Add",IF(SHA1Range(E792:J792) = "bacc9cae9449f2d71c3ecdef05da16f2f13cc673","0 Original","1 Modify"))))</f>
        <v>0 Original</v>
      </c>
      <c r="D792" s="5" t="s">
        <v>1751</v>
      </c>
      <c r="E792" s="3">
        <v>261</v>
      </c>
      <c r="F792" s="13">
        <v>42036</v>
      </c>
      <c r="G792" t="s">
        <v>182</v>
      </c>
      <c r="H792" s="9">
        <v>49.94</v>
      </c>
      <c r="I792" s="5" t="s">
        <v>68</v>
      </c>
      <c r="J792" s="15">
        <v>42036.836863425924</v>
      </c>
      <c r="K792" t="str">
        <f t="shared" si="12"/>
        <v>02-2015</v>
      </c>
    </row>
    <row r="793" spans="3:11" x14ac:dyDescent="0.25">
      <c r="C793" t="str">
        <f>IF(COUNTBLANK(E793:J793) = 6,"",IF(AND(NOT(ISBLANK(E793)),COUNTBLANK(E793:J793) = 5),"3 Delete",IF(ISBLANK(E793),"2 Add",IF(SHA1Range(E793:J793) = "bce3c763b6c4e7cd7ca943960f05b410272a40be","0 Original","1 Modify"))))</f>
        <v>0 Original</v>
      </c>
      <c r="D793" s="5" t="s">
        <v>1752</v>
      </c>
      <c r="E793" s="3">
        <v>1228</v>
      </c>
      <c r="F793" s="13">
        <v>42036</v>
      </c>
      <c r="G793" t="s">
        <v>140</v>
      </c>
      <c r="H793" s="9">
        <v>39.94</v>
      </c>
      <c r="I793" s="5" t="s">
        <v>68</v>
      </c>
      <c r="J793" s="15">
        <v>42036.913159722222</v>
      </c>
      <c r="K793" t="str">
        <f t="shared" si="12"/>
        <v>02-2015</v>
      </c>
    </row>
    <row r="794" spans="3:11" x14ac:dyDescent="0.25">
      <c r="C794" t="str">
        <f>IF(COUNTBLANK(E794:J794) = 6,"",IF(AND(NOT(ISBLANK(E794)),COUNTBLANK(E794:J794) = 5),"3 Delete",IF(ISBLANK(E794),"2 Add",IF(SHA1Range(E794:J794) = "dd91ef9717e95e22a9888cd24701ab8b742c8d56","0 Original","1 Modify"))))</f>
        <v>0 Original</v>
      </c>
      <c r="D794" s="5" t="s">
        <v>1753</v>
      </c>
      <c r="E794" s="3">
        <v>1335</v>
      </c>
      <c r="F794" s="13">
        <v>42037</v>
      </c>
      <c r="G794" t="s">
        <v>281</v>
      </c>
      <c r="H794" s="9">
        <v>15.98</v>
      </c>
      <c r="I794" s="5" t="s">
        <v>68</v>
      </c>
      <c r="J794" s="15">
        <v>42037.194849537038</v>
      </c>
      <c r="K794" t="str">
        <f t="shared" si="12"/>
        <v>02-2015</v>
      </c>
    </row>
    <row r="795" spans="3:11" x14ac:dyDescent="0.25">
      <c r="C795" t="str">
        <f>IF(COUNTBLANK(E795:J795) = 6,"",IF(AND(NOT(ISBLANK(E795)),COUNTBLANK(E795:J795) = 5),"3 Delete",IF(ISBLANK(E795),"2 Add",IF(SHA1Range(E795:J795) = "5296375fbbe7aa90d0b5a072f2e1548acbcfe35f","0 Original","1 Modify"))))</f>
        <v>0 Original</v>
      </c>
      <c r="D795" s="5" t="s">
        <v>1754</v>
      </c>
      <c r="E795" s="3">
        <v>1265</v>
      </c>
      <c r="F795" s="13">
        <v>42037</v>
      </c>
      <c r="G795" t="s">
        <v>212</v>
      </c>
      <c r="H795" s="9">
        <v>13.98</v>
      </c>
      <c r="I795" s="5" t="s">
        <v>68</v>
      </c>
      <c r="J795" s="15">
        <v>42037.275833333333</v>
      </c>
      <c r="K795" t="str">
        <f t="shared" si="12"/>
        <v>02-2015</v>
      </c>
    </row>
    <row r="796" spans="3:11" x14ac:dyDescent="0.25">
      <c r="C796" t="str">
        <f>IF(COUNTBLANK(E796:J796) = 6,"",IF(AND(NOT(ISBLANK(E796)),COUNTBLANK(E796:J796) = 5),"3 Delete",IF(ISBLANK(E796),"2 Add",IF(SHA1Range(E796:J796) = "44d3500aa9bd44028b4e632f975184cfbf7e5850","0 Original","1 Modify"))))</f>
        <v>0 Original</v>
      </c>
      <c r="D796" s="5" t="s">
        <v>1755</v>
      </c>
      <c r="E796" s="3">
        <v>236</v>
      </c>
      <c r="F796" s="13">
        <v>42037</v>
      </c>
      <c r="G796" t="s">
        <v>350</v>
      </c>
      <c r="H796" s="9">
        <v>16.97</v>
      </c>
      <c r="I796" s="5" t="s">
        <v>68</v>
      </c>
      <c r="J796" s="15">
        <v>42037.297465277778</v>
      </c>
      <c r="K796" t="str">
        <f t="shared" si="12"/>
        <v>02-2015</v>
      </c>
    </row>
    <row r="797" spans="3:11" x14ac:dyDescent="0.25">
      <c r="C797" t="str">
        <f>IF(COUNTBLANK(E797:J797) = 6,"",IF(AND(NOT(ISBLANK(E797)),COUNTBLANK(E797:J797) = 5),"3 Delete",IF(ISBLANK(E797),"2 Add",IF(SHA1Range(E797:J797) = "e263b9354be8f29c225148bf65a933908015ca0f","0 Original","1 Modify"))))</f>
        <v>0 Original</v>
      </c>
      <c r="D797" s="5" t="s">
        <v>1756</v>
      </c>
      <c r="E797" s="3">
        <v>1237</v>
      </c>
      <c r="F797" s="13">
        <v>42037</v>
      </c>
      <c r="G797" t="s">
        <v>344</v>
      </c>
      <c r="H797" s="9">
        <v>23.97</v>
      </c>
      <c r="I797" s="5" t="s">
        <v>68</v>
      </c>
      <c r="J797" s="15">
        <v>42037.369930555556</v>
      </c>
      <c r="K797" t="str">
        <f t="shared" si="12"/>
        <v>02-2015</v>
      </c>
    </row>
    <row r="798" spans="3:11" x14ac:dyDescent="0.25">
      <c r="C798" t="str">
        <f>IF(COUNTBLANK(E798:J798) = 6,"",IF(AND(NOT(ISBLANK(E798)),COUNTBLANK(E798:J798) = 5),"3 Delete",IF(ISBLANK(E798),"2 Add",IF(SHA1Range(E798:J798) = "cd286f699239a1f5fac95c8060ebed570d65d93f","0 Original","1 Modify"))))</f>
        <v>0 Original</v>
      </c>
      <c r="D798" s="5" t="s">
        <v>1757</v>
      </c>
      <c r="E798" s="3">
        <v>1275</v>
      </c>
      <c r="F798" s="13">
        <v>42037</v>
      </c>
      <c r="G798" t="s">
        <v>323</v>
      </c>
      <c r="H798" s="9">
        <v>5.99</v>
      </c>
      <c r="I798" s="5" t="s">
        <v>68</v>
      </c>
      <c r="J798" s="15">
        <v>42037.759259259263</v>
      </c>
      <c r="K798" t="str">
        <f t="shared" si="12"/>
        <v>02-2015</v>
      </c>
    </row>
    <row r="799" spans="3:11" x14ac:dyDescent="0.25">
      <c r="C799" t="str">
        <f>IF(COUNTBLANK(E799:J799) = 6,"",IF(AND(NOT(ISBLANK(E799)),COUNTBLANK(E799:J799) = 5),"3 Delete",IF(ISBLANK(E799),"2 Add",IF(SHA1Range(E799:J799) = "398c739879657ec59825fea437e018c3b39ee06d","0 Original","1 Modify"))))</f>
        <v>0 Original</v>
      </c>
      <c r="D799" s="5" t="s">
        <v>1758</v>
      </c>
      <c r="E799" s="3">
        <v>781</v>
      </c>
      <c r="F799" s="13">
        <v>42037</v>
      </c>
      <c r="G799" t="s">
        <v>170</v>
      </c>
      <c r="H799" s="9">
        <v>53.94</v>
      </c>
      <c r="I799" s="5" t="s">
        <v>68</v>
      </c>
      <c r="J799" s="15">
        <v>42037.981874999998</v>
      </c>
      <c r="K799" t="str">
        <f t="shared" si="12"/>
        <v>02-2015</v>
      </c>
    </row>
    <row r="800" spans="3:11" x14ac:dyDescent="0.25">
      <c r="C800" t="str">
        <f>IF(COUNTBLANK(E800:J800) = 6,"",IF(AND(NOT(ISBLANK(E800)),COUNTBLANK(E800:J800) = 5),"3 Delete",IF(ISBLANK(E800),"2 Add",IF(SHA1Range(E800:J800) = "a8a88b239d5e618eff87dff3473705e768b53f6c","0 Original","1 Modify"))))</f>
        <v>0 Original</v>
      </c>
      <c r="D800" s="5" t="s">
        <v>1759</v>
      </c>
      <c r="E800" s="3">
        <v>1261</v>
      </c>
      <c r="F800" s="13">
        <v>42038</v>
      </c>
      <c r="G800" t="s">
        <v>212</v>
      </c>
      <c r="H800" s="9">
        <v>18.98</v>
      </c>
      <c r="I800" s="5" t="s">
        <v>68</v>
      </c>
      <c r="J800" s="15">
        <v>42038.225810185184</v>
      </c>
      <c r="K800" t="str">
        <f t="shared" si="12"/>
        <v>02-2015</v>
      </c>
    </row>
    <row r="801" spans="3:11" x14ac:dyDescent="0.25">
      <c r="C801" t="str">
        <f>IF(COUNTBLANK(E801:J801) = 6,"",IF(AND(NOT(ISBLANK(E801)),COUNTBLANK(E801:J801) = 5),"3 Delete",IF(ISBLANK(E801),"2 Add",IF(SHA1Range(E801:J801) = "c881bad3111f0eacc9f738e70207534be99a526d","0 Original","1 Modify"))))</f>
        <v>0 Original</v>
      </c>
      <c r="D801" s="5" t="s">
        <v>1760</v>
      </c>
      <c r="E801" s="3">
        <v>1077</v>
      </c>
      <c r="F801" s="13">
        <v>42038</v>
      </c>
      <c r="G801" t="s">
        <v>242</v>
      </c>
      <c r="H801" s="9">
        <v>23.97</v>
      </c>
      <c r="I801" s="5" t="s">
        <v>68</v>
      </c>
      <c r="J801" s="15">
        <v>42038.327337962961</v>
      </c>
      <c r="K801" t="str">
        <f t="shared" si="12"/>
        <v>02-2015</v>
      </c>
    </row>
    <row r="802" spans="3:11" x14ac:dyDescent="0.25">
      <c r="C802" t="str">
        <f>IF(COUNTBLANK(E802:J802) = 6,"",IF(AND(NOT(ISBLANK(E802)),COUNTBLANK(E802:J802) = 5),"3 Delete",IF(ISBLANK(E802),"2 Add",IF(SHA1Range(E802:J802) = "1e43e89ba47b1feae41beb3eec8cca95ce4279b4","0 Original","1 Modify"))))</f>
        <v>0 Original</v>
      </c>
      <c r="D802" s="5" t="s">
        <v>1761</v>
      </c>
      <c r="E802" s="3">
        <v>75</v>
      </c>
      <c r="F802" s="13">
        <v>42038</v>
      </c>
      <c r="G802" t="s">
        <v>218</v>
      </c>
      <c r="H802" s="9">
        <v>16.98</v>
      </c>
      <c r="I802" s="5" t="s">
        <v>68</v>
      </c>
      <c r="J802" s="15">
        <v>42038.641412037039</v>
      </c>
      <c r="K802" t="str">
        <f t="shared" si="12"/>
        <v>02-2015</v>
      </c>
    </row>
    <row r="803" spans="3:11" x14ac:dyDescent="0.25">
      <c r="C803" t="str">
        <f>IF(COUNTBLANK(E803:J803) = 6,"",IF(AND(NOT(ISBLANK(E803)),COUNTBLANK(E803:J803) = 5),"3 Delete",IF(ISBLANK(E803),"2 Add",IF(SHA1Range(E803:J803) = "d0d1bdb5bd59ba96a4475cb29a2d8de8d35c2132","0 Original","1 Modify"))))</f>
        <v>0 Original</v>
      </c>
      <c r="D803" s="5" t="s">
        <v>1762</v>
      </c>
      <c r="E803" s="3">
        <v>1225</v>
      </c>
      <c r="F803" s="13">
        <v>42038</v>
      </c>
      <c r="G803" t="s">
        <v>287</v>
      </c>
      <c r="H803" s="9">
        <v>33.950000000000003</v>
      </c>
      <c r="I803" s="5" t="s">
        <v>68</v>
      </c>
      <c r="J803" s="15">
        <v>42038.899791666663</v>
      </c>
      <c r="K803" t="str">
        <f t="shared" si="12"/>
        <v>02-2015</v>
      </c>
    </row>
    <row r="804" spans="3:11" x14ac:dyDescent="0.25">
      <c r="C804" t="str">
        <f>IF(COUNTBLANK(E804:J804) = 6,"",IF(AND(NOT(ISBLANK(E804)),COUNTBLANK(E804:J804) = 5),"3 Delete",IF(ISBLANK(E804),"2 Add",IF(SHA1Range(E804:J804) = "cea812eeddaa18f1e0f6ce41048e7e3f27d83d7e","0 Original","1 Modify"))))</f>
        <v>0 Original</v>
      </c>
      <c r="D804" s="5" t="s">
        <v>1763</v>
      </c>
      <c r="E804" s="3">
        <v>1281</v>
      </c>
      <c r="F804" s="13">
        <v>42039</v>
      </c>
      <c r="G804" t="s">
        <v>101</v>
      </c>
      <c r="H804" s="9">
        <v>15.98</v>
      </c>
      <c r="I804" s="5" t="s">
        <v>68</v>
      </c>
      <c r="J804" s="15">
        <v>42039.011250000003</v>
      </c>
      <c r="K804" t="str">
        <f t="shared" si="12"/>
        <v>02-2015</v>
      </c>
    </row>
    <row r="805" spans="3:11" x14ac:dyDescent="0.25">
      <c r="C805" t="str">
        <f>IF(COUNTBLANK(E805:J805) = 6,"",IF(AND(NOT(ISBLANK(E805)),COUNTBLANK(E805:J805) = 5),"3 Delete",IF(ISBLANK(E805),"2 Add",IF(SHA1Range(E805:J805) = "5af11a4696f51fd95f2eec2cd247eb3cae794f6c","0 Original","1 Modify"))))</f>
        <v>0 Original</v>
      </c>
      <c r="D805" s="5" t="s">
        <v>1764</v>
      </c>
      <c r="E805" s="3">
        <v>644</v>
      </c>
      <c r="F805" s="13">
        <v>42039</v>
      </c>
      <c r="G805" t="s">
        <v>278</v>
      </c>
      <c r="H805" s="9">
        <v>46.95</v>
      </c>
      <c r="I805" s="5" t="s">
        <v>68</v>
      </c>
      <c r="J805" s="15">
        <v>42039.095995370371</v>
      </c>
      <c r="K805" t="str">
        <f t="shared" si="12"/>
        <v>02-2015</v>
      </c>
    </row>
    <row r="806" spans="3:11" x14ac:dyDescent="0.25">
      <c r="C806" t="str">
        <f>IF(COUNTBLANK(E806:J806) = 6,"",IF(AND(NOT(ISBLANK(E806)),COUNTBLANK(E806:J806) = 5),"3 Delete",IF(ISBLANK(E806),"2 Add",IF(SHA1Range(E806:J806) = "ee7f2a042d32fdd75c99816c5f594ac05a99df80","0 Original","1 Modify"))))</f>
        <v>0 Original</v>
      </c>
      <c r="D806" s="5" t="s">
        <v>1765</v>
      </c>
      <c r="E806" s="3">
        <v>1398</v>
      </c>
      <c r="F806" s="13">
        <v>42039</v>
      </c>
      <c r="G806" t="s">
        <v>305</v>
      </c>
      <c r="H806" s="9">
        <v>66.91</v>
      </c>
      <c r="I806" s="5" t="s">
        <v>68</v>
      </c>
      <c r="J806" s="15">
        <v>42039.181226851855</v>
      </c>
      <c r="K806" t="str">
        <f t="shared" si="12"/>
        <v>02-2015</v>
      </c>
    </row>
    <row r="807" spans="3:11" x14ac:dyDescent="0.25">
      <c r="C807" t="str">
        <f>IF(COUNTBLANK(E807:J807) = 6,"",IF(AND(NOT(ISBLANK(E807)),COUNTBLANK(E807:J807) = 5),"3 Delete",IF(ISBLANK(E807),"2 Add",IF(SHA1Range(E807:J807) = "3071110e1489332ceb5e0cfe4fd01ca84ed63c1a","0 Original","1 Modify"))))</f>
        <v>0 Original</v>
      </c>
      <c r="D807" s="5" t="s">
        <v>1766</v>
      </c>
      <c r="E807" s="3">
        <v>1196</v>
      </c>
      <c r="F807" s="13">
        <v>42039</v>
      </c>
      <c r="G807" t="s">
        <v>134</v>
      </c>
      <c r="H807" s="9">
        <v>81.89</v>
      </c>
      <c r="I807" s="5" t="s">
        <v>68</v>
      </c>
      <c r="J807" s="15">
        <v>42039.192708333336</v>
      </c>
      <c r="K807" t="str">
        <f t="shared" si="12"/>
        <v>02-2015</v>
      </c>
    </row>
    <row r="808" spans="3:11" x14ac:dyDescent="0.25">
      <c r="C808" t="str">
        <f>IF(COUNTBLANK(E808:J808) = 6,"",IF(AND(NOT(ISBLANK(E808)),COUNTBLANK(E808:J808) = 5),"3 Delete",IF(ISBLANK(E808),"2 Add",IF(SHA1Range(E808:J808) = "4493331360d9f4c57e579e3102935efd2b46beb5","0 Original","1 Modify"))))</f>
        <v>0 Original</v>
      </c>
      <c r="D808" s="5" t="s">
        <v>1767</v>
      </c>
      <c r="E808" s="3">
        <v>572</v>
      </c>
      <c r="F808" s="13">
        <v>42039</v>
      </c>
      <c r="G808" t="s">
        <v>89</v>
      </c>
      <c r="H808" s="9">
        <v>35.96</v>
      </c>
      <c r="I808" s="5" t="s">
        <v>68</v>
      </c>
      <c r="J808" s="15">
        <v>42039.215300925927</v>
      </c>
      <c r="K808" t="str">
        <f t="shared" si="12"/>
        <v>02-2015</v>
      </c>
    </row>
    <row r="809" spans="3:11" x14ac:dyDescent="0.25">
      <c r="C809" t="str">
        <f>IF(COUNTBLANK(E809:J809) = 6,"",IF(AND(NOT(ISBLANK(E809)),COUNTBLANK(E809:J809) = 5),"3 Delete",IF(ISBLANK(E809),"2 Add",IF(SHA1Range(E809:J809) = "40f00fc368f507cf80dd7a830ef7d91945964909","0 Original","1 Modify"))))</f>
        <v>0 Original</v>
      </c>
      <c r="D809" s="5" t="s">
        <v>1768</v>
      </c>
      <c r="E809" s="3">
        <v>1270</v>
      </c>
      <c r="F809" s="13">
        <v>42039</v>
      </c>
      <c r="G809" t="s">
        <v>290</v>
      </c>
      <c r="H809" s="9">
        <v>79.900000000000006</v>
      </c>
      <c r="I809" s="5" t="s">
        <v>68</v>
      </c>
      <c r="J809" s="15">
        <v>42039.32372685185</v>
      </c>
      <c r="K809" t="str">
        <f t="shared" si="12"/>
        <v>02-2015</v>
      </c>
    </row>
    <row r="810" spans="3:11" x14ac:dyDescent="0.25">
      <c r="C810" t="str">
        <f>IF(COUNTBLANK(E810:J810) = 6,"",IF(AND(NOT(ISBLANK(E810)),COUNTBLANK(E810:J810) = 5),"3 Delete",IF(ISBLANK(E810),"2 Add",IF(SHA1Range(E810:J810) = "f17b5c8376e57d4d9e0b3219a35272f81c769103","0 Original","1 Modify"))))</f>
        <v>0 Original</v>
      </c>
      <c r="D810" s="5" t="s">
        <v>1769</v>
      </c>
      <c r="E810" s="3">
        <v>1361</v>
      </c>
      <c r="F810" s="13">
        <v>42039</v>
      </c>
      <c r="G810" t="s">
        <v>73</v>
      </c>
      <c r="H810" s="9">
        <v>16.97</v>
      </c>
      <c r="I810" s="5" t="s">
        <v>68</v>
      </c>
      <c r="J810" s="15">
        <v>42039.510914351849</v>
      </c>
      <c r="K810" t="str">
        <f t="shared" si="12"/>
        <v>02-2015</v>
      </c>
    </row>
    <row r="811" spans="3:11" x14ac:dyDescent="0.25">
      <c r="C811" t="str">
        <f>IF(COUNTBLANK(E811:J811) = 6,"",IF(AND(NOT(ISBLANK(E811)),COUNTBLANK(E811:J811) = 5),"3 Delete",IF(ISBLANK(E811),"2 Add",IF(SHA1Range(E811:J811) = "6ace3e666403da91061c1cd7225896c0c961a585","0 Original","1 Modify"))))</f>
        <v>0 Original</v>
      </c>
      <c r="D811" s="5" t="s">
        <v>1770</v>
      </c>
      <c r="E811" s="3">
        <v>1415</v>
      </c>
      <c r="F811" s="13">
        <v>42039</v>
      </c>
      <c r="G811" t="s">
        <v>65</v>
      </c>
      <c r="H811" s="9">
        <v>26.97</v>
      </c>
      <c r="I811" s="5" t="s">
        <v>68</v>
      </c>
      <c r="J811" s="15">
        <v>42039.584467592591</v>
      </c>
      <c r="K811" t="str">
        <f t="shared" si="12"/>
        <v>02-2015</v>
      </c>
    </row>
    <row r="812" spans="3:11" x14ac:dyDescent="0.25">
      <c r="C812" t="str">
        <f>IF(COUNTBLANK(E812:J812) = 6,"",IF(AND(NOT(ISBLANK(E812)),COUNTBLANK(E812:J812) = 5),"3 Delete",IF(ISBLANK(E812),"2 Add",IF(SHA1Range(E812:J812) = "db56e30041a39bbea75439470c5b651c1cfce102","0 Original","1 Modify"))))</f>
        <v>0 Original</v>
      </c>
      <c r="D812" s="5" t="s">
        <v>1771</v>
      </c>
      <c r="E812" s="3">
        <v>635</v>
      </c>
      <c r="F812" s="13">
        <v>42039</v>
      </c>
      <c r="G812" t="s">
        <v>218</v>
      </c>
      <c r="H812" s="9">
        <v>19.97</v>
      </c>
      <c r="I812" s="5" t="s">
        <v>68</v>
      </c>
      <c r="J812" s="15">
        <v>42039.884606481479</v>
      </c>
      <c r="K812" t="str">
        <f t="shared" si="12"/>
        <v>02-2015</v>
      </c>
    </row>
    <row r="813" spans="3:11" x14ac:dyDescent="0.25">
      <c r="C813" t="str">
        <f>IF(COUNTBLANK(E813:J813) = 6,"",IF(AND(NOT(ISBLANK(E813)),COUNTBLANK(E813:J813) = 5),"3 Delete",IF(ISBLANK(E813),"2 Add",IF(SHA1Range(E813:J813) = "df5f7c2ce8fa45c27c8be0192552d2178478c2e9","0 Original","1 Modify"))))</f>
        <v>0 Original</v>
      </c>
      <c r="D813" s="5" t="s">
        <v>1772</v>
      </c>
      <c r="E813" s="3">
        <v>1475</v>
      </c>
      <c r="F813" s="13">
        <v>42039</v>
      </c>
      <c r="G813" t="s">
        <v>308</v>
      </c>
      <c r="H813" s="9">
        <v>6.99</v>
      </c>
      <c r="I813" s="5" t="s">
        <v>68</v>
      </c>
      <c r="J813" s="15">
        <v>42039.95453703704</v>
      </c>
      <c r="K813" t="str">
        <f t="shared" si="12"/>
        <v>02-2015</v>
      </c>
    </row>
    <row r="814" spans="3:11" x14ac:dyDescent="0.25">
      <c r="C814" t="str">
        <f>IF(COUNTBLANK(E814:J814) = 6,"",IF(AND(NOT(ISBLANK(E814)),COUNTBLANK(E814:J814) = 5),"3 Delete",IF(ISBLANK(E814),"2 Add",IF(SHA1Range(E814:J814) = "25d1d64b0885c90290545d829927c2c89c35581b","0 Original","1 Modify"))))</f>
        <v>0 Original</v>
      </c>
      <c r="D814" s="5" t="s">
        <v>1773</v>
      </c>
      <c r="E814" s="3">
        <v>1467</v>
      </c>
      <c r="F814" s="13">
        <v>42040</v>
      </c>
      <c r="G814" t="s">
        <v>308</v>
      </c>
      <c r="H814" s="9">
        <v>4.99</v>
      </c>
      <c r="I814" s="5" t="s">
        <v>68</v>
      </c>
      <c r="J814" s="15">
        <v>42040.116365740738</v>
      </c>
      <c r="K814" t="str">
        <f t="shared" si="12"/>
        <v>02-2015</v>
      </c>
    </row>
    <row r="815" spans="3:11" x14ac:dyDescent="0.25">
      <c r="C815" t="str">
        <f>IF(COUNTBLANK(E815:J815) = 6,"",IF(AND(NOT(ISBLANK(E815)),COUNTBLANK(E815:J815) = 5),"3 Delete",IF(ISBLANK(E815),"2 Add",IF(SHA1Range(E815:J815) = "dffacd957c888aab82c5896eee6ccd2d87284d7b","0 Original","1 Modify"))))</f>
        <v>0 Original</v>
      </c>
      <c r="D815" s="5" t="s">
        <v>1774</v>
      </c>
      <c r="E815" s="3">
        <v>1253</v>
      </c>
      <c r="F815" s="13">
        <v>42040</v>
      </c>
      <c r="G815" t="s">
        <v>248</v>
      </c>
      <c r="H815" s="9">
        <v>17.98</v>
      </c>
      <c r="I815" s="5" t="s">
        <v>68</v>
      </c>
      <c r="J815" s="15">
        <v>42040.399699074071</v>
      </c>
      <c r="K815" t="str">
        <f t="shared" si="12"/>
        <v>02-2015</v>
      </c>
    </row>
    <row r="816" spans="3:11" x14ac:dyDescent="0.25">
      <c r="C816" t="str">
        <f>IF(COUNTBLANK(E816:J816) = 6,"",IF(AND(NOT(ISBLANK(E816)),COUNTBLANK(E816:J816) = 5),"3 Delete",IF(ISBLANK(E816),"2 Add",IF(SHA1Range(E816:J816) = "040fc2bbb1a766916d0d71576abd4d59e8f92e09","0 Original","1 Modify"))))</f>
        <v>0 Original</v>
      </c>
      <c r="D816" s="5" t="s">
        <v>1775</v>
      </c>
      <c r="E816" s="3">
        <v>496</v>
      </c>
      <c r="F816" s="13">
        <v>42040</v>
      </c>
      <c r="G816" t="s">
        <v>350</v>
      </c>
      <c r="H816" s="9">
        <v>53.92</v>
      </c>
      <c r="I816" s="5" t="s">
        <v>68</v>
      </c>
      <c r="J816" s="15">
        <v>42040.46130787037</v>
      </c>
      <c r="K816" t="str">
        <f t="shared" si="12"/>
        <v>02-2015</v>
      </c>
    </row>
    <row r="817" spans="3:11" x14ac:dyDescent="0.25">
      <c r="C817" t="str">
        <f>IF(COUNTBLANK(E817:J817) = 6,"",IF(AND(NOT(ISBLANK(E817)),COUNTBLANK(E817:J817) = 5),"3 Delete",IF(ISBLANK(E817),"2 Add",IF(SHA1Range(E817:J817) = "bc105788d9bac65db2c646975f13c329549d115f","0 Original","1 Modify"))))</f>
        <v>0 Original</v>
      </c>
      <c r="D817" s="5" t="s">
        <v>1776</v>
      </c>
      <c r="E817" s="3">
        <v>1296</v>
      </c>
      <c r="F817" s="13">
        <v>42040</v>
      </c>
      <c r="G817" t="s">
        <v>128</v>
      </c>
      <c r="H817" s="9">
        <v>22.97</v>
      </c>
      <c r="I817" s="5" t="s">
        <v>68</v>
      </c>
      <c r="J817" s="15">
        <v>42040.551481481481</v>
      </c>
      <c r="K817" t="str">
        <f t="shared" si="12"/>
        <v>02-2015</v>
      </c>
    </row>
    <row r="818" spans="3:11" x14ac:dyDescent="0.25">
      <c r="C818" t="str">
        <f>IF(COUNTBLANK(E818:J818) = 6,"",IF(AND(NOT(ISBLANK(E818)),COUNTBLANK(E818:J818) = 5),"3 Delete",IF(ISBLANK(E818),"2 Add",IF(SHA1Range(E818:J818) = "9e85aa7921303671693f8824f60eb163594bfe8e","0 Original","1 Modify"))))</f>
        <v>0 Original</v>
      </c>
      <c r="D818" s="5" t="s">
        <v>1777</v>
      </c>
      <c r="E818" s="3">
        <v>789</v>
      </c>
      <c r="F818" s="13">
        <v>42040</v>
      </c>
      <c r="G818" t="s">
        <v>302</v>
      </c>
      <c r="H818" s="9">
        <v>9.98</v>
      </c>
      <c r="I818" s="5" t="s">
        <v>68</v>
      </c>
      <c r="J818" s="15">
        <v>42040.64744212963</v>
      </c>
      <c r="K818" t="str">
        <f t="shared" si="12"/>
        <v>02-2015</v>
      </c>
    </row>
    <row r="819" spans="3:11" x14ac:dyDescent="0.25">
      <c r="C819" t="str">
        <f>IF(COUNTBLANK(E819:J819) = 6,"",IF(AND(NOT(ISBLANK(E819)),COUNTBLANK(E819:J819) = 5),"3 Delete",IF(ISBLANK(E819),"2 Add",IF(SHA1Range(E819:J819) = "983dd641b811911d4675cce6b0c2060a56157c59","0 Original","1 Modify"))))</f>
        <v>0 Original</v>
      </c>
      <c r="D819" s="5" t="s">
        <v>1778</v>
      </c>
      <c r="E819" s="3">
        <v>1419</v>
      </c>
      <c r="F819" s="13">
        <v>42040</v>
      </c>
      <c r="G819" t="s">
        <v>344</v>
      </c>
      <c r="H819" s="9">
        <v>11.98</v>
      </c>
      <c r="I819" s="5" t="s">
        <v>68</v>
      </c>
      <c r="J819" s="15">
        <v>42040.78502314815</v>
      </c>
      <c r="K819" t="str">
        <f t="shared" si="12"/>
        <v>02-2015</v>
      </c>
    </row>
    <row r="820" spans="3:11" x14ac:dyDescent="0.25">
      <c r="C820" t="str">
        <f>IF(COUNTBLANK(E820:J820) = 6,"",IF(AND(NOT(ISBLANK(E820)),COUNTBLANK(E820:J820) = 5),"3 Delete",IF(ISBLANK(E820),"2 Add",IF(SHA1Range(E820:J820) = "5f8bdc3f4dae6197e929408d19d8c465b24b2441","0 Original","1 Modify"))))</f>
        <v>0 Original</v>
      </c>
      <c r="D820" s="5" t="s">
        <v>1779</v>
      </c>
      <c r="E820" s="3">
        <v>1210</v>
      </c>
      <c r="F820" s="13">
        <v>42041</v>
      </c>
      <c r="G820" t="s">
        <v>317</v>
      </c>
      <c r="H820" s="9">
        <v>53.93</v>
      </c>
      <c r="I820" s="5" t="s">
        <v>68</v>
      </c>
      <c r="J820" s="15">
        <v>42041.031863425924</v>
      </c>
      <c r="K820" t="str">
        <f t="shared" si="12"/>
        <v>02-2015</v>
      </c>
    </row>
    <row r="821" spans="3:11" x14ac:dyDescent="0.25">
      <c r="C821" t="str">
        <f>IF(COUNTBLANK(E821:J821) = 6,"",IF(AND(NOT(ISBLANK(E821)),COUNTBLANK(E821:J821) = 5),"3 Delete",IF(ISBLANK(E821),"2 Add",IF(SHA1Range(E821:J821) = "0a3a2072393a9de212ee9574cc5cd71e375f8127","0 Original","1 Modify"))))</f>
        <v>0 Original</v>
      </c>
      <c r="D821" s="5" t="s">
        <v>1780</v>
      </c>
      <c r="E821" s="3">
        <v>1214</v>
      </c>
      <c r="F821" s="13">
        <v>42041</v>
      </c>
      <c r="G821" t="s">
        <v>161</v>
      </c>
      <c r="H821" s="9">
        <v>56.93</v>
      </c>
      <c r="I821" s="5" t="s">
        <v>68</v>
      </c>
      <c r="J821" s="15">
        <v>42041.313055555554</v>
      </c>
      <c r="K821" t="str">
        <f t="shared" si="12"/>
        <v>02-2015</v>
      </c>
    </row>
    <row r="822" spans="3:11" x14ac:dyDescent="0.25">
      <c r="C822" t="str">
        <f>IF(COUNTBLANK(E822:J822) = 6,"",IF(AND(NOT(ISBLANK(E822)),COUNTBLANK(E822:J822) = 5),"3 Delete",IF(ISBLANK(E822),"2 Add",IF(SHA1Range(E822:J822) = "c053ed2c6be975b2358bc1deed02628d2e9b1893","0 Original","1 Modify"))))</f>
        <v>0 Original</v>
      </c>
      <c r="D822" s="5" t="s">
        <v>1781</v>
      </c>
      <c r="E822" s="3">
        <v>1372</v>
      </c>
      <c r="F822" s="13">
        <v>42041</v>
      </c>
      <c r="G822" t="s">
        <v>296</v>
      </c>
      <c r="H822" s="9">
        <v>53.94</v>
      </c>
      <c r="I822" s="5" t="s">
        <v>68</v>
      </c>
      <c r="J822" s="15">
        <v>42041.343252314815</v>
      </c>
      <c r="K822" t="str">
        <f t="shared" si="12"/>
        <v>02-2015</v>
      </c>
    </row>
    <row r="823" spans="3:11" x14ac:dyDescent="0.25">
      <c r="C823" t="str">
        <f>IF(COUNTBLANK(E823:J823) = 6,"",IF(AND(NOT(ISBLANK(E823)),COUNTBLANK(E823:J823) = 5),"3 Delete",IF(ISBLANK(E823),"2 Add",IF(SHA1Range(E823:J823) = "69d9f1a678121c8a3d4c4926e79cf3b60d898563","0 Original","1 Modify"))))</f>
        <v>0 Original</v>
      </c>
      <c r="D823" s="5" t="s">
        <v>1782</v>
      </c>
      <c r="E823" s="3">
        <v>808</v>
      </c>
      <c r="F823" s="13">
        <v>42041</v>
      </c>
      <c r="G823" t="s">
        <v>98</v>
      </c>
      <c r="H823" s="9">
        <v>42.93</v>
      </c>
      <c r="I823" s="5" t="s">
        <v>68</v>
      </c>
      <c r="J823" s="15">
        <v>42041.757060185184</v>
      </c>
      <c r="K823" t="str">
        <f t="shared" si="12"/>
        <v>02-2015</v>
      </c>
    </row>
    <row r="824" spans="3:11" x14ac:dyDescent="0.25">
      <c r="C824" t="str">
        <f>IF(COUNTBLANK(E824:J824) = 6,"",IF(AND(NOT(ISBLANK(E824)),COUNTBLANK(E824:J824) = 5),"3 Delete",IF(ISBLANK(E824),"2 Add",IF(SHA1Range(E824:J824) = "0b66983684772dbdc1d12d591930ea69fb63643b","0 Original","1 Modify"))))</f>
        <v>0 Original</v>
      </c>
      <c r="D824" s="5" t="s">
        <v>1783</v>
      </c>
      <c r="E824" s="3">
        <v>1454</v>
      </c>
      <c r="F824" s="13">
        <v>42042</v>
      </c>
      <c r="G824" t="s">
        <v>317</v>
      </c>
      <c r="H824" s="9">
        <v>23.97</v>
      </c>
      <c r="I824" s="5" t="s">
        <v>68</v>
      </c>
      <c r="J824" s="15">
        <v>42042.797326388885</v>
      </c>
      <c r="K824" t="str">
        <f t="shared" si="12"/>
        <v>02-2015</v>
      </c>
    </row>
    <row r="825" spans="3:11" x14ac:dyDescent="0.25">
      <c r="C825" t="str">
        <f>IF(COUNTBLANK(E825:J825) = 6,"",IF(AND(NOT(ISBLANK(E825)),COUNTBLANK(E825:J825) = 5),"3 Delete",IF(ISBLANK(E825),"2 Add",IF(SHA1Range(E825:J825) = "9a08dc6fbf5fc4a62fc440b9bf6da93fb48620d0","0 Original","1 Modify"))))</f>
        <v>0 Original</v>
      </c>
      <c r="D825" s="5" t="s">
        <v>1784</v>
      </c>
      <c r="E825" s="3">
        <v>1287</v>
      </c>
      <c r="F825" s="13">
        <v>42042</v>
      </c>
      <c r="G825" t="s">
        <v>272</v>
      </c>
      <c r="H825" s="9">
        <v>13.98</v>
      </c>
      <c r="I825" s="5" t="s">
        <v>68</v>
      </c>
      <c r="J825" s="15">
        <v>42042.797372685185</v>
      </c>
      <c r="K825" t="str">
        <f t="shared" si="12"/>
        <v>02-2015</v>
      </c>
    </row>
    <row r="826" spans="3:11" x14ac:dyDescent="0.25">
      <c r="C826" t="str">
        <f>IF(COUNTBLANK(E826:J826) = 6,"",IF(AND(NOT(ISBLANK(E826)),COUNTBLANK(E826:J826) = 5),"3 Delete",IF(ISBLANK(E826),"2 Add",IF(SHA1Range(E826:J826) = "302424c18ec0d9ada4b9f9a029dcd947517cdeba","0 Original","1 Modify"))))</f>
        <v>0 Original</v>
      </c>
      <c r="D826" s="5" t="s">
        <v>1785</v>
      </c>
      <c r="E826" s="3">
        <v>963</v>
      </c>
      <c r="F826" s="13">
        <v>42043</v>
      </c>
      <c r="G826" t="s">
        <v>245</v>
      </c>
      <c r="H826" s="9">
        <v>26.96</v>
      </c>
      <c r="I826" s="5" t="s">
        <v>68</v>
      </c>
      <c r="J826" s="15">
        <v>42043.022812499999</v>
      </c>
      <c r="K826" t="str">
        <f t="shared" si="12"/>
        <v>02-2015</v>
      </c>
    </row>
    <row r="827" spans="3:11" x14ac:dyDescent="0.25">
      <c r="C827" t="str">
        <f>IF(COUNTBLANK(E827:J827) = 6,"",IF(AND(NOT(ISBLANK(E827)),COUNTBLANK(E827:J827) = 5),"3 Delete",IF(ISBLANK(E827),"2 Add",IF(SHA1Range(E827:J827) = "1a2081f910af05c5bc6fa7c5ba1758b1d08fdc2c","0 Original","1 Modify"))))</f>
        <v>0 Original</v>
      </c>
      <c r="D827" s="5" t="s">
        <v>1786</v>
      </c>
      <c r="E827" s="3">
        <v>70</v>
      </c>
      <c r="F827" s="13">
        <v>42043</v>
      </c>
      <c r="G827" t="s">
        <v>338</v>
      </c>
      <c r="H827" s="9">
        <v>18.97</v>
      </c>
      <c r="I827" s="5" t="s">
        <v>68</v>
      </c>
      <c r="J827" s="15">
        <v>42043.026944444442</v>
      </c>
      <c r="K827" t="str">
        <f t="shared" si="12"/>
        <v>02-2015</v>
      </c>
    </row>
    <row r="828" spans="3:11" x14ac:dyDescent="0.25">
      <c r="C828" t="str">
        <f>IF(COUNTBLANK(E828:J828) = 6,"",IF(AND(NOT(ISBLANK(E828)),COUNTBLANK(E828:J828) = 5),"3 Delete",IF(ISBLANK(E828),"2 Add",IF(SHA1Range(E828:J828) = "a69bf44293ca4f5f322a11cca8f860dbe5cf7bb0","0 Original","1 Modify"))))</f>
        <v>0 Original</v>
      </c>
      <c r="D828" s="5" t="s">
        <v>1787</v>
      </c>
      <c r="E828" s="3">
        <v>1283</v>
      </c>
      <c r="F828" s="13">
        <v>42043</v>
      </c>
      <c r="G828" t="s">
        <v>69</v>
      </c>
      <c r="H828" s="9">
        <v>8.99</v>
      </c>
      <c r="I828" s="5" t="s">
        <v>68</v>
      </c>
      <c r="J828" s="15">
        <v>42043.04011574074</v>
      </c>
      <c r="K828" t="str">
        <f t="shared" si="12"/>
        <v>02-2015</v>
      </c>
    </row>
    <row r="829" spans="3:11" x14ac:dyDescent="0.25">
      <c r="C829" t="str">
        <f>IF(COUNTBLANK(E829:J829) = 6,"",IF(AND(NOT(ISBLANK(E829)),COUNTBLANK(E829:J829) = 5),"3 Delete",IF(ISBLANK(E829),"2 Add",IF(SHA1Range(E829:J829) = "3be39cc9e6943d77fbcb1ed87c79ffe8142535cd","0 Original","1 Modify"))))</f>
        <v>0 Original</v>
      </c>
      <c r="D829" s="5" t="s">
        <v>1788</v>
      </c>
      <c r="E829" s="3">
        <v>1491</v>
      </c>
      <c r="F829" s="13">
        <v>42043</v>
      </c>
      <c r="G829" t="s">
        <v>272</v>
      </c>
      <c r="H829" s="9">
        <v>31.96</v>
      </c>
      <c r="I829" s="5" t="s">
        <v>68</v>
      </c>
      <c r="J829" s="15">
        <v>42043.048321759263</v>
      </c>
      <c r="K829" t="str">
        <f t="shared" si="12"/>
        <v>02-2015</v>
      </c>
    </row>
    <row r="830" spans="3:11" x14ac:dyDescent="0.25">
      <c r="C830" t="str">
        <f>IF(COUNTBLANK(E830:J830) = 6,"",IF(AND(NOT(ISBLANK(E830)),COUNTBLANK(E830:J830) = 5),"3 Delete",IF(ISBLANK(E830),"2 Add",IF(SHA1Range(E830:J830) = "8b677199548491c6310e2d83e30e85556d4f85c9","0 Original","1 Modify"))))</f>
        <v>0 Original</v>
      </c>
      <c r="D830" s="5" t="s">
        <v>1789</v>
      </c>
      <c r="E830" s="3">
        <v>587</v>
      </c>
      <c r="F830" s="13">
        <v>42043</v>
      </c>
      <c r="G830" t="s">
        <v>182</v>
      </c>
      <c r="H830" s="9">
        <v>25.97</v>
      </c>
      <c r="I830" s="5" t="s">
        <v>68</v>
      </c>
      <c r="J830" s="15">
        <v>42043.097083333334</v>
      </c>
      <c r="K830" t="str">
        <f t="shared" si="12"/>
        <v>02-2015</v>
      </c>
    </row>
    <row r="831" spans="3:11" x14ac:dyDescent="0.25">
      <c r="C831" t="str">
        <f>IF(COUNTBLANK(E831:J831) = 6,"",IF(AND(NOT(ISBLANK(E831)),COUNTBLANK(E831:J831) = 5),"3 Delete",IF(ISBLANK(E831),"2 Add",IF(SHA1Range(E831:J831) = "7842a36ceb71a1cb65a184e5b7f4d787d249efbe","0 Original","1 Modify"))))</f>
        <v>0 Original</v>
      </c>
      <c r="D831" s="5" t="s">
        <v>1790</v>
      </c>
      <c r="E831" s="3">
        <v>1218</v>
      </c>
      <c r="F831" s="13">
        <v>42043</v>
      </c>
      <c r="G831" t="s">
        <v>275</v>
      </c>
      <c r="H831" s="9">
        <v>59.91</v>
      </c>
      <c r="I831" s="5" t="s">
        <v>68</v>
      </c>
      <c r="J831" s="15">
        <v>42043.324444444443</v>
      </c>
      <c r="K831" t="str">
        <f t="shared" si="12"/>
        <v>02-2015</v>
      </c>
    </row>
    <row r="832" spans="3:11" x14ac:dyDescent="0.25">
      <c r="C832" t="str">
        <f>IF(COUNTBLANK(E832:J832) = 6,"",IF(AND(NOT(ISBLANK(E832)),COUNTBLANK(E832:J832) = 5),"3 Delete",IF(ISBLANK(E832),"2 Add",IF(SHA1Range(E832:J832) = "a615f1b9cdfcf359315808d022227b7f6dd286da","0 Original","1 Modify"))))</f>
        <v>0 Original</v>
      </c>
      <c r="D832" s="5" t="s">
        <v>1791</v>
      </c>
      <c r="E832" s="3">
        <v>1232</v>
      </c>
      <c r="F832" s="13">
        <v>42043</v>
      </c>
      <c r="G832" t="s">
        <v>248</v>
      </c>
      <c r="H832" s="9">
        <v>8.99</v>
      </c>
      <c r="I832" s="5" t="s">
        <v>68</v>
      </c>
      <c r="J832" s="15">
        <v>42043.475821759261</v>
      </c>
      <c r="K832" t="str">
        <f t="shared" si="12"/>
        <v>02-2015</v>
      </c>
    </row>
    <row r="833" spans="3:11" x14ac:dyDescent="0.25">
      <c r="C833" t="str">
        <f>IF(COUNTBLANK(E833:J833) = 6,"",IF(AND(NOT(ISBLANK(E833)),COUNTBLANK(E833:J833) = 5),"3 Delete",IF(ISBLANK(E833),"2 Add",IF(SHA1Range(E833:J833) = "f29860d7b2067dd1c69fd4b3a18601db6c3abc9a","0 Original","1 Modify"))))</f>
        <v>0 Original</v>
      </c>
      <c r="D833" s="5" t="s">
        <v>1792</v>
      </c>
      <c r="E833" s="3">
        <v>1417</v>
      </c>
      <c r="F833" s="13">
        <v>42043</v>
      </c>
      <c r="G833" t="s">
        <v>248</v>
      </c>
      <c r="H833" s="9">
        <v>15.98</v>
      </c>
      <c r="I833" s="5" t="s">
        <v>68</v>
      </c>
      <c r="J833" s="15">
        <v>42043.511018518519</v>
      </c>
      <c r="K833" t="str">
        <f t="shared" si="12"/>
        <v>02-2015</v>
      </c>
    </row>
    <row r="834" spans="3:11" x14ac:dyDescent="0.25">
      <c r="C834" t="str">
        <f>IF(COUNTBLANK(E834:J834) = 6,"",IF(AND(NOT(ISBLANK(E834)),COUNTBLANK(E834:J834) = 5),"3 Delete",IF(ISBLANK(E834),"2 Add",IF(SHA1Range(E834:J834) = "47ff273cc63336709ef0d4fc592bacf6335ee989","0 Original","1 Modify"))))</f>
        <v>0 Original</v>
      </c>
      <c r="D834" s="5" t="s">
        <v>1793</v>
      </c>
      <c r="E834" s="3">
        <v>668</v>
      </c>
      <c r="F834" s="13">
        <v>42043</v>
      </c>
      <c r="G834" t="s">
        <v>221</v>
      </c>
      <c r="H834" s="9">
        <v>16.98</v>
      </c>
      <c r="I834" s="5" t="s">
        <v>68</v>
      </c>
      <c r="J834" s="15">
        <v>42043.688738425924</v>
      </c>
      <c r="K834" t="str">
        <f t="shared" si="12"/>
        <v>02-2015</v>
      </c>
    </row>
    <row r="835" spans="3:11" x14ac:dyDescent="0.25">
      <c r="C835" t="str">
        <f>IF(COUNTBLANK(E835:J835) = 6,"",IF(AND(NOT(ISBLANK(E835)),COUNTBLANK(E835:J835) = 5),"3 Delete",IF(ISBLANK(E835),"2 Add",IF(SHA1Range(E835:J835) = "904c8d274b0f4996dd6c9564704b96ba0da6591f","0 Original","1 Modify"))))</f>
        <v>0 Original</v>
      </c>
      <c r="D835" s="5" t="s">
        <v>1794</v>
      </c>
      <c r="E835" s="3">
        <v>822</v>
      </c>
      <c r="F835" s="13">
        <v>42043</v>
      </c>
      <c r="G835" t="s">
        <v>245</v>
      </c>
      <c r="H835" s="9">
        <v>33.950000000000003</v>
      </c>
      <c r="I835" s="5" t="s">
        <v>68</v>
      </c>
      <c r="J835" s="15">
        <v>42043.751666666663</v>
      </c>
      <c r="K835" t="str">
        <f t="shared" ref="K835:K898" si="13">TEXT(F835,"mm-yyyy")</f>
        <v>02-2015</v>
      </c>
    </row>
    <row r="836" spans="3:11" x14ac:dyDescent="0.25">
      <c r="C836" t="str">
        <f>IF(COUNTBLANK(E836:J836) = 6,"",IF(AND(NOT(ISBLANK(E836)),COUNTBLANK(E836:J836) = 5),"3 Delete",IF(ISBLANK(E836),"2 Add",IF(SHA1Range(E836:J836) = "948535c46685576dedeeb2044a8257884a7f7a39","0 Original","1 Modify"))))</f>
        <v>0 Original</v>
      </c>
      <c r="D836" s="5" t="s">
        <v>1795</v>
      </c>
      <c r="E836" s="3">
        <v>959</v>
      </c>
      <c r="F836" s="13">
        <v>42043</v>
      </c>
      <c r="G836" t="s">
        <v>98</v>
      </c>
      <c r="H836" s="9">
        <v>42.95</v>
      </c>
      <c r="I836" s="5" t="s">
        <v>68</v>
      </c>
      <c r="J836" s="15">
        <v>42043.911122685182</v>
      </c>
      <c r="K836" t="str">
        <f t="shared" si="13"/>
        <v>02-2015</v>
      </c>
    </row>
    <row r="837" spans="3:11" x14ac:dyDescent="0.25">
      <c r="C837" t="str">
        <f>IF(COUNTBLANK(E837:J837) = 6,"",IF(AND(NOT(ISBLANK(E837)),COUNTBLANK(E837:J837) = 5),"3 Delete",IF(ISBLANK(E837),"2 Add",IF(SHA1Range(E837:J837) = "20decef1a0122d46d05bd0278a4711d409ac513f","0 Original","1 Modify"))))</f>
        <v>0 Original</v>
      </c>
      <c r="D837" s="5" t="s">
        <v>1796</v>
      </c>
      <c r="E837" s="3">
        <v>1399</v>
      </c>
      <c r="F837" s="13">
        <v>42044</v>
      </c>
      <c r="G837" t="s">
        <v>101</v>
      </c>
      <c r="H837" s="9">
        <v>40.94</v>
      </c>
      <c r="I837" s="5" t="s">
        <v>68</v>
      </c>
      <c r="J837" s="15">
        <v>42044.041203703702</v>
      </c>
      <c r="K837" t="str">
        <f t="shared" si="13"/>
        <v>02-2015</v>
      </c>
    </row>
    <row r="838" spans="3:11" x14ac:dyDescent="0.25">
      <c r="C838" t="str">
        <f>IF(COUNTBLANK(E838:J838) = 6,"",IF(AND(NOT(ISBLANK(E838)),COUNTBLANK(E838:J838) = 5),"3 Delete",IF(ISBLANK(E838),"2 Add",IF(SHA1Range(E838:J838) = "1c1d07ba9e6aa1f0915d217f3fcb31324f30ecaf","0 Original","1 Modify"))))</f>
        <v>0 Original</v>
      </c>
      <c r="D838" s="5" t="s">
        <v>1797</v>
      </c>
      <c r="E838" s="3">
        <v>1408</v>
      </c>
      <c r="F838" s="13">
        <v>42044</v>
      </c>
      <c r="G838" t="s">
        <v>182</v>
      </c>
      <c r="H838" s="9">
        <v>73.900000000000006</v>
      </c>
      <c r="I838" s="5" t="s">
        <v>68</v>
      </c>
      <c r="J838" s="15">
        <v>42044.18309027778</v>
      </c>
      <c r="K838" t="str">
        <f t="shared" si="13"/>
        <v>02-2015</v>
      </c>
    </row>
    <row r="839" spans="3:11" x14ac:dyDescent="0.25">
      <c r="C839" t="str">
        <f>IF(COUNTBLANK(E839:J839) = 6,"",IF(AND(NOT(ISBLANK(E839)),COUNTBLANK(E839:J839) = 5),"3 Delete",IF(ISBLANK(E839),"2 Add",IF(SHA1Range(E839:J839) = "1a9d9fc36317657c7e26d69ee719ead49aa710db","0 Original","1 Modify"))))</f>
        <v>0 Original</v>
      </c>
      <c r="D839" s="5" t="s">
        <v>1798</v>
      </c>
      <c r="E839" s="3">
        <v>1412</v>
      </c>
      <c r="F839" s="13">
        <v>42044</v>
      </c>
      <c r="G839" t="s">
        <v>98</v>
      </c>
      <c r="H839" s="9">
        <v>29.96</v>
      </c>
      <c r="I839" s="5" t="s">
        <v>68</v>
      </c>
      <c r="J839" s="15">
        <v>42044.299664351849</v>
      </c>
      <c r="K839" t="str">
        <f t="shared" si="13"/>
        <v>02-2015</v>
      </c>
    </row>
    <row r="840" spans="3:11" x14ac:dyDescent="0.25">
      <c r="C840" t="str">
        <f>IF(COUNTBLANK(E840:J840) = 6,"",IF(AND(NOT(ISBLANK(E840)),COUNTBLANK(E840:J840) = 5),"3 Delete",IF(ISBLANK(E840),"2 Add",IF(SHA1Range(E840:J840) = "cc1a49ad0c074f3a1cdfb77cda66c3f3e37ccd92","0 Original","1 Modify"))))</f>
        <v>0 Original</v>
      </c>
      <c r="D840" s="5" t="s">
        <v>1799</v>
      </c>
      <c r="E840" s="3">
        <v>1492</v>
      </c>
      <c r="F840" s="13">
        <v>42044</v>
      </c>
      <c r="G840" t="s">
        <v>92</v>
      </c>
      <c r="H840" s="9">
        <v>36.950000000000003</v>
      </c>
      <c r="I840" s="5" t="s">
        <v>68</v>
      </c>
      <c r="J840" s="15">
        <v>42044.734780092593</v>
      </c>
      <c r="K840" t="str">
        <f t="shared" si="13"/>
        <v>02-2015</v>
      </c>
    </row>
    <row r="841" spans="3:11" x14ac:dyDescent="0.25">
      <c r="C841" t="str">
        <f>IF(COUNTBLANK(E841:J841) = 6,"",IF(AND(NOT(ISBLANK(E841)),COUNTBLANK(E841:J841) = 5),"3 Delete",IF(ISBLANK(E841),"2 Add",IF(SHA1Range(E841:J841) = "9aa51baa57606599c4ce0c346c076f63b4426c5f","0 Original","1 Modify"))))</f>
        <v>0 Original</v>
      </c>
      <c r="D841" s="5" t="s">
        <v>1800</v>
      </c>
      <c r="E841" s="3">
        <v>1431</v>
      </c>
      <c r="F841" s="13">
        <v>42044</v>
      </c>
      <c r="G841" t="s">
        <v>290</v>
      </c>
      <c r="H841" s="9">
        <v>31.96</v>
      </c>
      <c r="I841" s="5" t="s">
        <v>68</v>
      </c>
      <c r="J841" s="15">
        <v>42044.832430555558</v>
      </c>
      <c r="K841" t="str">
        <f t="shared" si="13"/>
        <v>02-2015</v>
      </c>
    </row>
    <row r="842" spans="3:11" x14ac:dyDescent="0.25">
      <c r="C842" t="str">
        <f>IF(COUNTBLANK(E842:J842) = 6,"",IF(AND(NOT(ISBLANK(E842)),COUNTBLANK(E842:J842) = 5),"3 Delete",IF(ISBLANK(E842),"2 Add",IF(SHA1Range(E842:J842) = "cba3aa3fcf8bd7d9dde6d968c818592f900cbde8","0 Original","1 Modify"))))</f>
        <v>0 Original</v>
      </c>
      <c r="D842" s="5" t="s">
        <v>1801</v>
      </c>
      <c r="E842" s="3">
        <v>695</v>
      </c>
      <c r="F842" s="13">
        <v>42044</v>
      </c>
      <c r="G842" t="s">
        <v>360</v>
      </c>
      <c r="H842" s="9">
        <v>52.92</v>
      </c>
      <c r="I842" s="5" t="s">
        <v>68</v>
      </c>
      <c r="J842" s="15">
        <v>42044.940636574072</v>
      </c>
      <c r="K842" t="str">
        <f t="shared" si="13"/>
        <v>02-2015</v>
      </c>
    </row>
    <row r="843" spans="3:11" x14ac:dyDescent="0.25">
      <c r="C843" t="str">
        <f>IF(COUNTBLANK(E843:J843) = 6,"",IF(AND(NOT(ISBLANK(E843)),COUNTBLANK(E843:J843) = 5),"3 Delete",IF(ISBLANK(E843),"2 Add",IF(SHA1Range(E843:J843) = "e3f95a753da9fec9cb92f44dec725e0a2e3972a0","0 Original","1 Modify"))))</f>
        <v>0 Original</v>
      </c>
      <c r="D843" s="5" t="s">
        <v>1802</v>
      </c>
      <c r="E843" s="3">
        <v>460</v>
      </c>
      <c r="F843" s="13">
        <v>42045</v>
      </c>
      <c r="G843" t="s">
        <v>230</v>
      </c>
      <c r="H843" s="9">
        <v>29.97</v>
      </c>
      <c r="I843" s="5" t="s">
        <v>68</v>
      </c>
      <c r="J843" s="15">
        <v>42045.462476851855</v>
      </c>
      <c r="K843" t="str">
        <f t="shared" si="13"/>
        <v>02-2015</v>
      </c>
    </row>
    <row r="844" spans="3:11" x14ac:dyDescent="0.25">
      <c r="C844" t="str">
        <f>IF(COUNTBLANK(E844:J844) = 6,"",IF(AND(NOT(ISBLANK(E844)),COUNTBLANK(E844:J844) = 5),"3 Delete",IF(ISBLANK(E844),"2 Add",IF(SHA1Range(E844:J844) = "cc4beec15ed8d8c8e2a81f154902b2b407aab983","0 Original","1 Modify"))))</f>
        <v>0 Original</v>
      </c>
      <c r="D844" s="5" t="s">
        <v>1803</v>
      </c>
      <c r="E844" s="3">
        <v>295</v>
      </c>
      <c r="F844" s="13">
        <v>42045</v>
      </c>
      <c r="G844" t="s">
        <v>164</v>
      </c>
      <c r="H844" s="9">
        <v>29.96</v>
      </c>
      <c r="I844" s="5" t="s">
        <v>68</v>
      </c>
      <c r="J844" s="15">
        <v>42045.980057870373</v>
      </c>
      <c r="K844" t="str">
        <f t="shared" si="13"/>
        <v>02-2015</v>
      </c>
    </row>
    <row r="845" spans="3:11" x14ac:dyDescent="0.25">
      <c r="C845" t="str">
        <f>IF(COUNTBLANK(E845:J845) = 6,"",IF(AND(NOT(ISBLANK(E845)),COUNTBLANK(E845:J845) = 5),"3 Delete",IF(ISBLANK(E845),"2 Add",IF(SHA1Range(E845:J845) = "9867c723f20bbe89d03910f4da82e22b80d662d2","0 Original","1 Modify"))))</f>
        <v>0 Original</v>
      </c>
      <c r="D845" s="5" t="s">
        <v>1804</v>
      </c>
      <c r="E845" s="3">
        <v>1470</v>
      </c>
      <c r="F845" s="13">
        <v>42045</v>
      </c>
      <c r="G845" t="s">
        <v>305</v>
      </c>
      <c r="H845" s="9">
        <v>74.900000000000006</v>
      </c>
      <c r="I845" s="5" t="s">
        <v>68</v>
      </c>
      <c r="J845" s="15">
        <v>42045.980370370373</v>
      </c>
      <c r="K845" t="str">
        <f t="shared" si="13"/>
        <v>02-2015</v>
      </c>
    </row>
    <row r="846" spans="3:11" x14ac:dyDescent="0.25">
      <c r="C846" t="str">
        <f>IF(COUNTBLANK(E846:J846) = 6,"",IF(AND(NOT(ISBLANK(E846)),COUNTBLANK(E846:J846) = 5),"3 Delete",IF(ISBLANK(E846),"2 Add",IF(SHA1Range(E846:J846) = "23f44a74346272504c847d952200bf756325c3af","0 Original","1 Modify"))))</f>
        <v>0 Original</v>
      </c>
      <c r="D846" s="5" t="s">
        <v>1805</v>
      </c>
      <c r="E846" s="3">
        <v>1251</v>
      </c>
      <c r="F846" s="13">
        <v>42046</v>
      </c>
      <c r="G846" t="s">
        <v>161</v>
      </c>
      <c r="H846" s="9">
        <v>24.96</v>
      </c>
      <c r="I846" s="5" t="s">
        <v>68</v>
      </c>
      <c r="J846" s="15">
        <v>42046.096215277779</v>
      </c>
      <c r="K846" t="str">
        <f t="shared" si="13"/>
        <v>02-2015</v>
      </c>
    </row>
    <row r="847" spans="3:11" x14ac:dyDescent="0.25">
      <c r="C847" t="str">
        <f>IF(COUNTBLANK(E847:J847) = 6,"",IF(AND(NOT(ISBLANK(E847)),COUNTBLANK(E847:J847) = 5),"3 Delete",IF(ISBLANK(E847),"2 Add",IF(SHA1Range(E847:J847) = "4b9a9a03da9e4b5c4ff78735cb97c1b87c3b0580","0 Original","1 Modify"))))</f>
        <v>0 Original</v>
      </c>
      <c r="D847" s="5" t="s">
        <v>1806</v>
      </c>
      <c r="E847" s="3">
        <v>1263</v>
      </c>
      <c r="F847" s="13">
        <v>42046</v>
      </c>
      <c r="G847" t="s">
        <v>296</v>
      </c>
      <c r="H847" s="9">
        <v>14.98</v>
      </c>
      <c r="I847" s="5" t="s">
        <v>68</v>
      </c>
      <c r="J847" s="15">
        <v>42046.31354166667</v>
      </c>
      <c r="K847" t="str">
        <f t="shared" si="13"/>
        <v>02-2015</v>
      </c>
    </row>
    <row r="848" spans="3:11" x14ac:dyDescent="0.25">
      <c r="C848" t="str">
        <f>IF(COUNTBLANK(E848:J848) = 6,"",IF(AND(NOT(ISBLANK(E848)),COUNTBLANK(E848:J848) = 5),"3 Delete",IF(ISBLANK(E848),"2 Add",IF(SHA1Range(E848:J848) = "d96c3843085dcf60b8b80ea4a85f04f85f2ce24e","0 Original","1 Modify"))))</f>
        <v>0 Original</v>
      </c>
      <c r="D848" s="5" t="s">
        <v>1807</v>
      </c>
      <c r="E848" s="3">
        <v>1352</v>
      </c>
      <c r="F848" s="13">
        <v>42046</v>
      </c>
      <c r="G848" t="s">
        <v>248</v>
      </c>
      <c r="H848" s="9">
        <v>29.96</v>
      </c>
      <c r="I848" s="5" t="s">
        <v>68</v>
      </c>
      <c r="J848" s="15">
        <v>42046.498333333337</v>
      </c>
      <c r="K848" t="str">
        <f t="shared" si="13"/>
        <v>02-2015</v>
      </c>
    </row>
    <row r="849" spans="3:11" x14ac:dyDescent="0.25">
      <c r="C849" t="str">
        <f>IF(COUNTBLANK(E849:J849) = 6,"",IF(AND(NOT(ISBLANK(E849)),COUNTBLANK(E849:J849) = 5),"3 Delete",IF(ISBLANK(E849),"2 Add",IF(SHA1Range(E849:J849) = "5f789a81abc65abc8188a26fece378a8370bb098","0 Original","1 Modify"))))</f>
        <v>0 Original</v>
      </c>
      <c r="D849" s="5" t="s">
        <v>1808</v>
      </c>
      <c r="E849" s="3">
        <v>1212</v>
      </c>
      <c r="F849" s="13">
        <v>42046</v>
      </c>
      <c r="G849" t="s">
        <v>281</v>
      </c>
      <c r="H849" s="9">
        <v>5.99</v>
      </c>
      <c r="I849" s="5" t="s">
        <v>68</v>
      </c>
      <c r="J849" s="15">
        <v>42046.57366898148</v>
      </c>
      <c r="K849" t="str">
        <f t="shared" si="13"/>
        <v>02-2015</v>
      </c>
    </row>
    <row r="850" spans="3:11" x14ac:dyDescent="0.25">
      <c r="C850" t="str">
        <f>IF(COUNTBLANK(E850:J850) = 6,"",IF(AND(NOT(ISBLANK(E850)),COUNTBLANK(E850:J850) = 5),"3 Delete",IF(ISBLANK(E850),"2 Add",IF(SHA1Range(E850:J850) = "b68da0333f537b0797a08645c0bd825c1e5ad346","0 Original","1 Modify"))))</f>
        <v>0 Original</v>
      </c>
      <c r="D850" s="5" t="s">
        <v>1809</v>
      </c>
      <c r="E850" s="3">
        <v>1302</v>
      </c>
      <c r="F850" s="13">
        <v>42046</v>
      </c>
      <c r="G850" t="s">
        <v>140</v>
      </c>
      <c r="H850" s="9">
        <v>24.97</v>
      </c>
      <c r="I850" s="5" t="s">
        <v>68</v>
      </c>
      <c r="J850" s="15">
        <v>42046.895636574074</v>
      </c>
      <c r="K850" t="str">
        <f t="shared" si="13"/>
        <v>02-2015</v>
      </c>
    </row>
    <row r="851" spans="3:11" x14ac:dyDescent="0.25">
      <c r="C851" t="str">
        <f>IF(COUNTBLANK(E851:J851) = 6,"",IF(AND(NOT(ISBLANK(E851)),COUNTBLANK(E851:J851) = 5),"3 Delete",IF(ISBLANK(E851),"2 Add",IF(SHA1Range(E851:J851) = "0adf174279985f41a3fdc1bb52f2cdbcc83f477b","0 Original","1 Modify"))))</f>
        <v>0 Original</v>
      </c>
      <c r="D851" s="5" t="s">
        <v>1810</v>
      </c>
      <c r="E851" s="3">
        <v>1426</v>
      </c>
      <c r="F851" s="13">
        <v>42047</v>
      </c>
      <c r="G851" t="s">
        <v>353</v>
      </c>
      <c r="H851" s="9">
        <v>25.96</v>
      </c>
      <c r="I851" s="5" t="s">
        <v>68</v>
      </c>
      <c r="J851" s="15">
        <v>42047.194513888891</v>
      </c>
      <c r="K851" t="str">
        <f t="shared" si="13"/>
        <v>02-2015</v>
      </c>
    </row>
    <row r="852" spans="3:11" x14ac:dyDescent="0.25">
      <c r="C852" t="str">
        <f>IF(COUNTBLANK(E852:J852) = 6,"",IF(AND(NOT(ISBLANK(E852)),COUNTBLANK(E852:J852) = 5),"3 Delete",IF(ISBLANK(E852),"2 Add",IF(SHA1Range(E852:J852) = "e00f8184825b6de1423cb89f8dedac1644ba5279","0 Original","1 Modify"))))</f>
        <v>0 Original</v>
      </c>
      <c r="D852" s="5" t="s">
        <v>1811</v>
      </c>
      <c r="E852" s="3">
        <v>1397</v>
      </c>
      <c r="F852" s="13">
        <v>42047</v>
      </c>
      <c r="G852" t="s">
        <v>188</v>
      </c>
      <c r="H852" s="9">
        <v>46.93</v>
      </c>
      <c r="I852" s="5" t="s">
        <v>68</v>
      </c>
      <c r="J852" s="15">
        <v>42047.396377314813</v>
      </c>
      <c r="K852" t="str">
        <f t="shared" si="13"/>
        <v>02-2015</v>
      </c>
    </row>
    <row r="853" spans="3:11" x14ac:dyDescent="0.25">
      <c r="C853" t="str">
        <f>IF(COUNTBLANK(E853:J853) = 6,"",IF(AND(NOT(ISBLANK(E853)),COUNTBLANK(E853:J853) = 5),"3 Delete",IF(ISBLANK(E853),"2 Add",IF(SHA1Range(E853:J853) = "4b78d43a50fe84892111d801f7f2012863538601","0 Original","1 Modify"))))</f>
        <v>0 Original</v>
      </c>
      <c r="D853" s="5" t="s">
        <v>1812</v>
      </c>
      <c r="E853" s="3">
        <v>812</v>
      </c>
      <c r="F853" s="13">
        <v>42047</v>
      </c>
      <c r="G853" t="s">
        <v>242</v>
      </c>
      <c r="H853" s="9">
        <v>51.93</v>
      </c>
      <c r="I853" s="5" t="s">
        <v>68</v>
      </c>
      <c r="J853" s="15">
        <v>42047.460752314815</v>
      </c>
      <c r="K853" t="str">
        <f t="shared" si="13"/>
        <v>02-2015</v>
      </c>
    </row>
    <row r="854" spans="3:11" x14ac:dyDescent="0.25">
      <c r="C854" t="str">
        <f>IF(COUNTBLANK(E854:J854) = 6,"",IF(AND(NOT(ISBLANK(E854)),COUNTBLANK(E854:J854) = 5),"3 Delete",IF(ISBLANK(E854),"2 Add",IF(SHA1Range(E854:J854) = "6c7e3423b113193a6645eac263ae0d40843a46bb","0 Original","1 Modify"))))</f>
        <v>0 Original</v>
      </c>
      <c r="D854" s="5" t="s">
        <v>1813</v>
      </c>
      <c r="E854" s="3">
        <v>1226</v>
      </c>
      <c r="F854" s="13">
        <v>42047</v>
      </c>
      <c r="G854" t="s">
        <v>296</v>
      </c>
      <c r="H854" s="9">
        <v>85.89</v>
      </c>
      <c r="I854" s="5" t="s">
        <v>68</v>
      </c>
      <c r="J854" s="15">
        <v>42047.640300925923</v>
      </c>
      <c r="K854" t="str">
        <f t="shared" si="13"/>
        <v>02-2015</v>
      </c>
    </row>
    <row r="855" spans="3:11" x14ac:dyDescent="0.25">
      <c r="C855" t="str">
        <f>IF(COUNTBLANK(E855:J855) = 6,"",IF(AND(NOT(ISBLANK(E855)),COUNTBLANK(E855:J855) = 5),"3 Delete",IF(ISBLANK(E855),"2 Add",IF(SHA1Range(E855:J855) = "814b205b14f2c1b6b08fe5e33e43c88b3fe15ede","0 Original","1 Modify"))))</f>
        <v>0 Original</v>
      </c>
      <c r="D855" s="5" t="s">
        <v>1814</v>
      </c>
      <c r="E855" s="3">
        <v>1239</v>
      </c>
      <c r="F855" s="13">
        <v>42047</v>
      </c>
      <c r="G855" t="s">
        <v>248</v>
      </c>
      <c r="H855" s="9">
        <v>42.95</v>
      </c>
      <c r="I855" s="5" t="s">
        <v>68</v>
      </c>
      <c r="J855" s="15">
        <v>42047.927476851852</v>
      </c>
      <c r="K855" t="str">
        <f t="shared" si="13"/>
        <v>02-2015</v>
      </c>
    </row>
    <row r="856" spans="3:11" x14ac:dyDescent="0.25">
      <c r="C856" t="str">
        <f>IF(COUNTBLANK(E856:J856) = 6,"",IF(AND(NOT(ISBLANK(E856)),COUNTBLANK(E856:J856) = 5),"3 Delete",IF(ISBLANK(E856),"2 Add",IF(SHA1Range(E856:J856) = "32769656fb8fc3a2bd6a8593ecafd76b8b6a3262","0 Original","1 Modify"))))</f>
        <v>0 Original</v>
      </c>
      <c r="D856" s="5" t="s">
        <v>1815</v>
      </c>
      <c r="E856" s="3">
        <v>319</v>
      </c>
      <c r="F856" s="13">
        <v>42048</v>
      </c>
      <c r="G856" t="s">
        <v>149</v>
      </c>
      <c r="H856" s="9">
        <v>6.99</v>
      </c>
      <c r="I856" s="5" t="s">
        <v>68</v>
      </c>
      <c r="J856" s="15">
        <v>42048.745138888888</v>
      </c>
      <c r="K856" t="str">
        <f t="shared" si="13"/>
        <v>02-2015</v>
      </c>
    </row>
    <row r="857" spans="3:11" x14ac:dyDescent="0.25">
      <c r="C857" t="str">
        <f>IF(COUNTBLANK(E857:J857) = 6,"",IF(AND(NOT(ISBLANK(E857)),COUNTBLANK(E857:J857) = 5),"3 Delete",IF(ISBLANK(E857),"2 Add",IF(SHA1Range(E857:J857) = "20ff9dea57c67b29adaff66dd4ffea209933bd24","0 Original","1 Modify"))))</f>
        <v>0 Original</v>
      </c>
      <c r="D857" s="5" t="s">
        <v>1816</v>
      </c>
      <c r="E857" s="3">
        <v>1498</v>
      </c>
      <c r="F857" s="13">
        <v>42049</v>
      </c>
      <c r="G857" t="s">
        <v>290</v>
      </c>
      <c r="H857" s="9">
        <v>18.97</v>
      </c>
      <c r="I857" s="5" t="s">
        <v>68</v>
      </c>
      <c r="J857" s="15">
        <v>42049.170138888891</v>
      </c>
      <c r="K857" t="str">
        <f t="shared" si="13"/>
        <v>02-2015</v>
      </c>
    </row>
    <row r="858" spans="3:11" x14ac:dyDescent="0.25">
      <c r="C858" t="str">
        <f>IF(COUNTBLANK(E858:J858) = 6,"",IF(AND(NOT(ISBLANK(E858)),COUNTBLANK(E858:J858) = 5),"3 Delete",IF(ISBLANK(E858),"2 Add",IF(SHA1Range(E858:J858) = "068b8ac1b1ec4ad634410967f88eea60296fb111","0 Original","1 Modify"))))</f>
        <v>0 Original</v>
      </c>
      <c r="D858" s="5" t="s">
        <v>1817</v>
      </c>
      <c r="E858" s="3">
        <v>1094</v>
      </c>
      <c r="F858" s="13">
        <v>42049</v>
      </c>
      <c r="G858" t="s">
        <v>134</v>
      </c>
      <c r="H858" s="9">
        <v>29.96</v>
      </c>
      <c r="I858" s="5" t="s">
        <v>68</v>
      </c>
      <c r="J858" s="15">
        <v>42049.913090277776</v>
      </c>
      <c r="K858" t="str">
        <f t="shared" si="13"/>
        <v>02-2015</v>
      </c>
    </row>
    <row r="859" spans="3:11" x14ac:dyDescent="0.25">
      <c r="C859" t="str">
        <f>IF(COUNTBLANK(E859:J859) = 6,"",IF(AND(NOT(ISBLANK(E859)),COUNTBLANK(E859:J859) = 5),"3 Delete",IF(ISBLANK(E859),"2 Add",IF(SHA1Range(E859:J859) = "612dc48f6bc05971b8e8f3a610810fc339364ebc","0 Original","1 Modify"))))</f>
        <v>0 Original</v>
      </c>
      <c r="D859" s="5" t="s">
        <v>1818</v>
      </c>
      <c r="E859" s="3">
        <v>1330</v>
      </c>
      <c r="F859" s="13">
        <v>42049</v>
      </c>
      <c r="G859" t="s">
        <v>308</v>
      </c>
      <c r="H859" s="9">
        <v>38.950000000000003</v>
      </c>
      <c r="I859" s="5" t="s">
        <v>68</v>
      </c>
      <c r="J859" s="15">
        <v>42049.999814814815</v>
      </c>
      <c r="K859" t="str">
        <f t="shared" si="13"/>
        <v>02-2015</v>
      </c>
    </row>
    <row r="860" spans="3:11" x14ac:dyDescent="0.25">
      <c r="C860" t="str">
        <f>IF(COUNTBLANK(E860:J860) = 6,"",IF(AND(NOT(ISBLANK(E860)),COUNTBLANK(E860:J860) = 5),"3 Delete",IF(ISBLANK(E860),"2 Add",IF(SHA1Range(E860:J860) = "d6985bb5442ee3390256555c5bcbf8ef9fffe62c","0 Original","1 Modify"))))</f>
        <v>0 Original</v>
      </c>
      <c r="D860" s="5" t="s">
        <v>1819</v>
      </c>
      <c r="E860" s="3">
        <v>1402</v>
      </c>
      <c r="F860" s="13">
        <v>42050</v>
      </c>
      <c r="G860" t="s">
        <v>140</v>
      </c>
      <c r="H860" s="9">
        <v>25.96</v>
      </c>
      <c r="I860" s="5" t="s">
        <v>68</v>
      </c>
      <c r="J860" s="15">
        <v>42050.089756944442</v>
      </c>
      <c r="K860" t="str">
        <f t="shared" si="13"/>
        <v>02-2015</v>
      </c>
    </row>
    <row r="861" spans="3:11" x14ac:dyDescent="0.25">
      <c r="C861" t="str">
        <f>IF(COUNTBLANK(E861:J861) = 6,"",IF(AND(NOT(ISBLANK(E861)),COUNTBLANK(E861:J861) = 5),"3 Delete",IF(ISBLANK(E861),"2 Add",IF(SHA1Range(E861:J861) = "d64eaffcba7cddf3f1461b2fcfa85aba2967e206","0 Original","1 Modify"))))</f>
        <v>0 Original</v>
      </c>
      <c r="D861" s="5" t="s">
        <v>1820</v>
      </c>
      <c r="E861" s="3">
        <v>1463</v>
      </c>
      <c r="F861" s="13">
        <v>42051</v>
      </c>
      <c r="G861" t="s">
        <v>251</v>
      </c>
      <c r="H861" s="9">
        <v>27.96</v>
      </c>
      <c r="I861" s="5" t="s">
        <v>68</v>
      </c>
      <c r="J861" s="15">
        <v>42051.158680555556</v>
      </c>
      <c r="K861" t="str">
        <f t="shared" si="13"/>
        <v>02-2015</v>
      </c>
    </row>
    <row r="862" spans="3:11" x14ac:dyDescent="0.25">
      <c r="C862" t="str">
        <f>IF(COUNTBLANK(E862:J862) = 6,"",IF(AND(NOT(ISBLANK(E862)),COUNTBLANK(E862:J862) = 5),"3 Delete",IF(ISBLANK(E862),"2 Add",IF(SHA1Range(E862:J862) = "b1256540368f4ec97deb5e054a6ae034b7a8e200","0 Original","1 Modify"))))</f>
        <v>0 Original</v>
      </c>
      <c r="D862" s="5" t="s">
        <v>1821</v>
      </c>
      <c r="E862" s="3">
        <v>1331</v>
      </c>
      <c r="F862" s="13">
        <v>42051</v>
      </c>
      <c r="G862" t="s">
        <v>212</v>
      </c>
      <c r="H862" s="9">
        <v>9.98</v>
      </c>
      <c r="I862" s="5" t="s">
        <v>68</v>
      </c>
      <c r="J862" s="15">
        <v>42051.254259259258</v>
      </c>
      <c r="K862" t="str">
        <f t="shared" si="13"/>
        <v>02-2015</v>
      </c>
    </row>
    <row r="863" spans="3:11" x14ac:dyDescent="0.25">
      <c r="C863" t="str">
        <f>IF(COUNTBLANK(E863:J863) = 6,"",IF(AND(NOT(ISBLANK(E863)),COUNTBLANK(E863:J863) = 5),"3 Delete",IF(ISBLANK(E863),"2 Add",IF(SHA1Range(E863:J863) = "a80aeed232a931b53c581e5f4084850a2c4b7178","0 Original","1 Modify"))))</f>
        <v>0 Original</v>
      </c>
      <c r="D863" s="5" t="s">
        <v>1822</v>
      </c>
      <c r="E863" s="3">
        <v>1301</v>
      </c>
      <c r="F863" s="13">
        <v>42051</v>
      </c>
      <c r="G863" t="s">
        <v>140</v>
      </c>
      <c r="H863" s="9">
        <v>32.950000000000003</v>
      </c>
      <c r="I863" s="5" t="s">
        <v>68</v>
      </c>
      <c r="J863" s="15">
        <v>42051.673032407409</v>
      </c>
      <c r="K863" t="str">
        <f t="shared" si="13"/>
        <v>02-2015</v>
      </c>
    </row>
    <row r="864" spans="3:11" x14ac:dyDescent="0.25">
      <c r="C864" t="str">
        <f>IF(COUNTBLANK(E864:J864) = 6,"",IF(AND(NOT(ISBLANK(E864)),COUNTBLANK(E864:J864) = 5),"3 Delete",IF(ISBLANK(E864),"2 Add",IF(SHA1Range(E864:J864) = "f26d83689eba32e600227c82a430ca2baaa489d3","0 Original","1 Modify"))))</f>
        <v>0 Original</v>
      </c>
      <c r="D864" s="5" t="s">
        <v>1823</v>
      </c>
      <c r="E864" s="3">
        <v>1323</v>
      </c>
      <c r="F864" s="13">
        <v>42051</v>
      </c>
      <c r="G864" t="s">
        <v>245</v>
      </c>
      <c r="H864" s="9">
        <v>53.93</v>
      </c>
      <c r="I864" s="5" t="s">
        <v>68</v>
      </c>
      <c r="J864" s="15">
        <v>42051.969189814816</v>
      </c>
      <c r="K864" t="str">
        <f t="shared" si="13"/>
        <v>02-2015</v>
      </c>
    </row>
    <row r="865" spans="3:11" x14ac:dyDescent="0.25">
      <c r="C865" t="str">
        <f>IF(COUNTBLANK(E865:J865) = 6,"",IF(AND(NOT(ISBLANK(E865)),COUNTBLANK(E865:J865) = 5),"3 Delete",IF(ISBLANK(E865),"2 Add",IF(SHA1Range(E865:J865) = "a6e06dbd22a04732682248048e19a968d169052a","0 Original","1 Modify"))))</f>
        <v>0 Original</v>
      </c>
      <c r="D865" s="5" t="s">
        <v>1824</v>
      </c>
      <c r="E865" s="3">
        <v>988</v>
      </c>
      <c r="F865" s="13">
        <v>42051</v>
      </c>
      <c r="G865" t="s">
        <v>98</v>
      </c>
      <c r="H865" s="9">
        <v>52.94</v>
      </c>
      <c r="I865" s="5" t="s">
        <v>68</v>
      </c>
      <c r="J865" s="15">
        <v>42051.975127314814</v>
      </c>
      <c r="K865" t="str">
        <f t="shared" si="13"/>
        <v>02-2015</v>
      </c>
    </row>
    <row r="866" spans="3:11" x14ac:dyDescent="0.25">
      <c r="C866" t="str">
        <f>IF(COUNTBLANK(E866:J866) = 6,"",IF(AND(NOT(ISBLANK(E866)),COUNTBLANK(E866:J866) = 5),"3 Delete",IF(ISBLANK(E866),"2 Add",IF(SHA1Range(E866:J866) = "02d083b766905d102d49cd94cbaa0c19235483df","0 Original","1 Modify"))))</f>
        <v>0 Original</v>
      </c>
      <c r="D866" s="5" t="s">
        <v>1825</v>
      </c>
      <c r="E866" s="3">
        <v>1482</v>
      </c>
      <c r="F866" s="13">
        <v>42052</v>
      </c>
      <c r="G866" t="s">
        <v>308</v>
      </c>
      <c r="H866" s="9">
        <v>64.91</v>
      </c>
      <c r="I866" s="5" t="s">
        <v>68</v>
      </c>
      <c r="J866" s="15">
        <v>42052.289641203701</v>
      </c>
      <c r="K866" t="str">
        <f t="shared" si="13"/>
        <v>02-2015</v>
      </c>
    </row>
    <row r="867" spans="3:11" x14ac:dyDescent="0.25">
      <c r="C867" t="str">
        <f>IF(COUNTBLANK(E867:J867) = 6,"",IF(AND(NOT(ISBLANK(E867)),COUNTBLANK(E867:J867) = 5),"3 Delete",IF(ISBLANK(E867),"2 Add",IF(SHA1Range(E867:J867) = "bf38f7c7f7238a798ed2c50cbeb3c00d4cf41e7c","0 Original","1 Modify"))))</f>
        <v>0 Original</v>
      </c>
      <c r="D867" s="5" t="s">
        <v>1826</v>
      </c>
      <c r="E867" s="3">
        <v>1266</v>
      </c>
      <c r="F867" s="13">
        <v>42052</v>
      </c>
      <c r="G867" t="s">
        <v>65</v>
      </c>
      <c r="H867" s="9">
        <v>47.95</v>
      </c>
      <c r="I867" s="5" t="s">
        <v>68</v>
      </c>
      <c r="J867" s="15">
        <v>42052.406828703701</v>
      </c>
      <c r="K867" t="str">
        <f t="shared" si="13"/>
        <v>02-2015</v>
      </c>
    </row>
    <row r="868" spans="3:11" x14ac:dyDescent="0.25">
      <c r="C868" t="str">
        <f>IF(COUNTBLANK(E868:J868) = 6,"",IF(AND(NOT(ISBLANK(E868)),COUNTBLANK(E868:J868) = 5),"3 Delete",IF(ISBLANK(E868),"2 Add",IF(SHA1Range(E868:J868) = "816126fc4f1ee0d7a88a166b0cec4eba3313b99b","0 Original","1 Modify"))))</f>
        <v>0 Original</v>
      </c>
      <c r="D868" s="5" t="s">
        <v>1827</v>
      </c>
      <c r="E868" s="3">
        <v>1249</v>
      </c>
      <c r="F868" s="13">
        <v>42052</v>
      </c>
      <c r="G868" t="s">
        <v>128</v>
      </c>
      <c r="H868" s="9">
        <v>64.91</v>
      </c>
      <c r="I868" s="5" t="s">
        <v>68</v>
      </c>
      <c r="J868" s="15">
        <v>42052.627569444441</v>
      </c>
      <c r="K868" t="str">
        <f t="shared" si="13"/>
        <v>02-2015</v>
      </c>
    </row>
    <row r="869" spans="3:11" x14ac:dyDescent="0.25">
      <c r="C869" t="str">
        <f>IF(COUNTBLANK(E869:J869) = 6,"",IF(AND(NOT(ISBLANK(E869)),COUNTBLANK(E869:J869) = 5),"3 Delete",IF(ISBLANK(E869),"2 Add",IF(SHA1Range(E869:J869) = "bc251a6d86ce0b28014bcb063abc9df322982795","0 Original","1 Modify"))))</f>
        <v>0 Original</v>
      </c>
      <c r="D869" s="5" t="s">
        <v>1828</v>
      </c>
      <c r="E869" s="3">
        <v>1238</v>
      </c>
      <c r="F869" s="13">
        <v>42052</v>
      </c>
      <c r="G869" t="s">
        <v>305</v>
      </c>
      <c r="H869" s="9">
        <v>32.96</v>
      </c>
      <c r="I869" s="5" t="s">
        <v>68</v>
      </c>
      <c r="J869" s="15">
        <v>42052.647916666669</v>
      </c>
      <c r="K869" t="str">
        <f t="shared" si="13"/>
        <v>02-2015</v>
      </c>
    </row>
    <row r="870" spans="3:11" x14ac:dyDescent="0.25">
      <c r="C870" t="str">
        <f>IF(COUNTBLANK(E870:J870) = 6,"",IF(AND(NOT(ISBLANK(E870)),COUNTBLANK(E870:J870) = 5),"3 Delete",IF(ISBLANK(E870),"2 Add",IF(SHA1Range(E870:J870) = "86364432e41cd21020fbe00bc174306ec51849d7","0 Original","1 Modify"))))</f>
        <v>0 Original</v>
      </c>
      <c r="D870" s="5" t="s">
        <v>1829</v>
      </c>
      <c r="E870" s="3">
        <v>1473</v>
      </c>
      <c r="F870" s="13">
        <v>42053</v>
      </c>
      <c r="G870" t="s">
        <v>344</v>
      </c>
      <c r="H870" s="9">
        <v>25.96</v>
      </c>
      <c r="I870" s="5" t="s">
        <v>68</v>
      </c>
      <c r="J870" s="15">
        <v>42053.24318287037</v>
      </c>
      <c r="K870" t="str">
        <f t="shared" si="13"/>
        <v>02-2015</v>
      </c>
    </row>
    <row r="871" spans="3:11" x14ac:dyDescent="0.25">
      <c r="C871" t="str">
        <f>IF(COUNTBLANK(E871:J871) = 6,"",IF(AND(NOT(ISBLANK(E871)),COUNTBLANK(E871:J871) = 5),"3 Delete",IF(ISBLANK(E871),"2 Add",IF(SHA1Range(E871:J871) = "4144cfc26dacb728eb84359e4aab4d2ace7ce896","0 Original","1 Modify"))))</f>
        <v>0 Original</v>
      </c>
      <c r="D871" s="5" t="s">
        <v>1830</v>
      </c>
      <c r="E871" s="3">
        <v>1413</v>
      </c>
      <c r="F871" s="13">
        <v>42053</v>
      </c>
      <c r="G871" t="s">
        <v>281</v>
      </c>
      <c r="H871" s="9">
        <v>24.97</v>
      </c>
      <c r="I871" s="5" t="s">
        <v>68</v>
      </c>
      <c r="J871" s="15">
        <v>42053.549027777779</v>
      </c>
      <c r="K871" t="str">
        <f t="shared" si="13"/>
        <v>02-2015</v>
      </c>
    </row>
    <row r="872" spans="3:11" x14ac:dyDescent="0.25">
      <c r="C872" t="str">
        <f>IF(COUNTBLANK(E872:J872) = 6,"",IF(AND(NOT(ISBLANK(E872)),COUNTBLANK(E872:J872) = 5),"3 Delete",IF(ISBLANK(E872),"2 Add",IF(SHA1Range(E872:J872) = "65046970dda3cdf14bcda85e6e62e84f1310128d","0 Original","1 Modify"))))</f>
        <v>0 Original</v>
      </c>
      <c r="D872" s="5" t="s">
        <v>1831</v>
      </c>
      <c r="E872" s="3">
        <v>627</v>
      </c>
      <c r="F872" s="13">
        <v>42054</v>
      </c>
      <c r="G872" t="s">
        <v>218</v>
      </c>
      <c r="H872" s="9">
        <v>44.94</v>
      </c>
      <c r="I872" s="5" t="s">
        <v>68</v>
      </c>
      <c r="J872" s="15">
        <v>42054.020972222221</v>
      </c>
      <c r="K872" t="str">
        <f t="shared" si="13"/>
        <v>02-2015</v>
      </c>
    </row>
    <row r="873" spans="3:11" x14ac:dyDescent="0.25">
      <c r="C873" t="str">
        <f>IF(COUNTBLANK(E873:J873) = 6,"",IF(AND(NOT(ISBLANK(E873)),COUNTBLANK(E873:J873) = 5),"3 Delete",IF(ISBLANK(E873),"2 Add",IF(SHA1Range(E873:J873) = "6753cd36275d3577013da39e25e7b4f0fd8b9134","0 Original","1 Modify"))))</f>
        <v>0 Original</v>
      </c>
      <c r="D873" s="5" t="s">
        <v>1832</v>
      </c>
      <c r="E873" s="3">
        <v>967</v>
      </c>
      <c r="F873" s="13">
        <v>42054</v>
      </c>
      <c r="G873" t="s">
        <v>170</v>
      </c>
      <c r="H873" s="9">
        <v>9.99</v>
      </c>
      <c r="I873" s="5" t="s">
        <v>68</v>
      </c>
      <c r="J873" s="15">
        <v>42054.415347222224</v>
      </c>
      <c r="K873" t="str">
        <f t="shared" si="13"/>
        <v>02-2015</v>
      </c>
    </row>
    <row r="874" spans="3:11" x14ac:dyDescent="0.25">
      <c r="C874" t="str">
        <f>IF(COUNTBLANK(E874:J874) = 6,"",IF(AND(NOT(ISBLANK(E874)),COUNTBLANK(E874:J874) = 5),"3 Delete",IF(ISBLANK(E874),"2 Add",IF(SHA1Range(E874:J874) = "12d50da10795d404e1d3e2734d00de44e38dcbc1","0 Original","1 Modify"))))</f>
        <v>0 Original</v>
      </c>
      <c r="D874" s="5" t="s">
        <v>1833</v>
      </c>
      <c r="E874" s="3">
        <v>1191</v>
      </c>
      <c r="F874" s="13">
        <v>42054</v>
      </c>
      <c r="G874" t="s">
        <v>170</v>
      </c>
      <c r="H874" s="9">
        <v>33.950000000000003</v>
      </c>
      <c r="I874" s="5" t="s">
        <v>68</v>
      </c>
      <c r="J874" s="15">
        <v>42054.42869212963</v>
      </c>
      <c r="K874" t="str">
        <f t="shared" si="13"/>
        <v>02-2015</v>
      </c>
    </row>
    <row r="875" spans="3:11" x14ac:dyDescent="0.25">
      <c r="C875" t="str">
        <f>IF(COUNTBLANK(E875:J875) = 6,"",IF(AND(NOT(ISBLANK(E875)),COUNTBLANK(E875:J875) = 5),"3 Delete",IF(ISBLANK(E875),"2 Add",IF(SHA1Range(E875:J875) = "ca9cd9b3a3c07ff976b0c2da999551bcca37fcf7","0 Original","1 Modify"))))</f>
        <v>0 Original</v>
      </c>
      <c r="D875" s="5" t="s">
        <v>1834</v>
      </c>
      <c r="E875" s="3">
        <v>1215</v>
      </c>
      <c r="F875" s="13">
        <v>42054</v>
      </c>
      <c r="G875" t="s">
        <v>98</v>
      </c>
      <c r="H875" s="9">
        <v>29.96</v>
      </c>
      <c r="I875" s="5" t="s">
        <v>68</v>
      </c>
      <c r="J875" s="15">
        <v>42054.445405092592</v>
      </c>
      <c r="K875" t="str">
        <f t="shared" si="13"/>
        <v>02-2015</v>
      </c>
    </row>
    <row r="876" spans="3:11" x14ac:dyDescent="0.25">
      <c r="C876" t="str">
        <f>IF(COUNTBLANK(E876:J876) = 6,"",IF(AND(NOT(ISBLANK(E876)),COUNTBLANK(E876:J876) = 5),"3 Delete",IF(ISBLANK(E876),"2 Add",IF(SHA1Range(E876:J876) = "4154ee480909023104ef9bff019117324ee548d0","0 Original","1 Modify"))))</f>
        <v>0 Original</v>
      </c>
      <c r="D876" s="5" t="s">
        <v>1835</v>
      </c>
      <c r="E876" s="3">
        <v>1229</v>
      </c>
      <c r="F876" s="13">
        <v>42055</v>
      </c>
      <c r="G876" t="s">
        <v>323</v>
      </c>
      <c r="H876" s="9">
        <v>15.98</v>
      </c>
      <c r="I876" s="5" t="s">
        <v>68</v>
      </c>
      <c r="J876" s="15">
        <v>42055.019131944442</v>
      </c>
      <c r="K876" t="str">
        <f t="shared" si="13"/>
        <v>02-2015</v>
      </c>
    </row>
    <row r="877" spans="3:11" x14ac:dyDescent="0.25">
      <c r="C877" t="str">
        <f>IF(COUNTBLANK(E877:J877) = 6,"",IF(AND(NOT(ISBLANK(E877)),COUNTBLANK(E877:J877) = 5),"3 Delete",IF(ISBLANK(E877),"2 Add",IF(SHA1Range(E877:J877) = "220a5caf7344b05b2a9542cf2fd8709b3626fa40","0 Original","1 Modify"))))</f>
        <v>0 Original</v>
      </c>
      <c r="D877" s="5" t="s">
        <v>1836</v>
      </c>
      <c r="E877" s="3">
        <v>1297</v>
      </c>
      <c r="F877" s="13">
        <v>42055</v>
      </c>
      <c r="G877" t="s">
        <v>182</v>
      </c>
      <c r="H877" s="9">
        <v>6.99</v>
      </c>
      <c r="I877" s="5" t="s">
        <v>68</v>
      </c>
      <c r="J877" s="15">
        <v>42055.145370370374</v>
      </c>
      <c r="K877" t="str">
        <f t="shared" si="13"/>
        <v>02-2015</v>
      </c>
    </row>
    <row r="878" spans="3:11" x14ac:dyDescent="0.25">
      <c r="C878" t="str">
        <f>IF(COUNTBLANK(E878:J878) = 6,"",IF(AND(NOT(ISBLANK(E878)),COUNTBLANK(E878:J878) = 5),"3 Delete",IF(ISBLANK(E878),"2 Add",IF(SHA1Range(E878:J878) = "eced0eb5abb6fbd1d86d8a946d206c51c68a7669","0 Original","1 Modify"))))</f>
        <v>0 Original</v>
      </c>
      <c r="D878" s="5" t="s">
        <v>1837</v>
      </c>
      <c r="E878" s="3">
        <v>617</v>
      </c>
      <c r="F878" s="13">
        <v>42055</v>
      </c>
      <c r="G878" t="s">
        <v>311</v>
      </c>
      <c r="H878" s="9">
        <v>38.950000000000003</v>
      </c>
      <c r="I878" s="5" t="s">
        <v>68</v>
      </c>
      <c r="J878" s="15">
        <v>42055.443113425928</v>
      </c>
      <c r="K878" t="str">
        <f t="shared" si="13"/>
        <v>02-2015</v>
      </c>
    </row>
    <row r="879" spans="3:11" x14ac:dyDescent="0.25">
      <c r="C879" t="str">
        <f>IF(COUNTBLANK(E879:J879) = 6,"",IF(AND(NOT(ISBLANK(E879)),COUNTBLANK(E879:J879) = 5),"3 Delete",IF(ISBLANK(E879),"2 Add",IF(SHA1Range(E879:J879) = "c5421db4dee5dd8df9256fa07c83f495aeb368af","0 Original","1 Modify"))))</f>
        <v>0 Original</v>
      </c>
      <c r="D879" s="5" t="s">
        <v>1838</v>
      </c>
      <c r="E879" s="3">
        <v>263</v>
      </c>
      <c r="F879" s="13">
        <v>42055</v>
      </c>
      <c r="G879" t="s">
        <v>338</v>
      </c>
      <c r="H879" s="9">
        <v>22.97</v>
      </c>
      <c r="I879" s="5" t="s">
        <v>68</v>
      </c>
      <c r="J879" s="15">
        <v>42055.861203703702</v>
      </c>
      <c r="K879" t="str">
        <f t="shared" si="13"/>
        <v>02-2015</v>
      </c>
    </row>
    <row r="880" spans="3:11" x14ac:dyDescent="0.25">
      <c r="C880" t="str">
        <f>IF(COUNTBLANK(E880:J880) = 6,"",IF(AND(NOT(ISBLANK(E880)),COUNTBLANK(E880:J880) = 5),"3 Delete",IF(ISBLANK(E880),"2 Add",IF(SHA1Range(E880:J880) = "2a9e4828096eadea53f85978d120e8dd16254abe","0 Original","1 Modify"))))</f>
        <v>0 Original</v>
      </c>
      <c r="D880" s="5" t="s">
        <v>1839</v>
      </c>
      <c r="E880" s="3">
        <v>708</v>
      </c>
      <c r="F880" s="13">
        <v>42056</v>
      </c>
      <c r="G880" t="s">
        <v>245</v>
      </c>
      <c r="H880" s="9">
        <v>9.98</v>
      </c>
      <c r="I880" s="5" t="s">
        <v>68</v>
      </c>
      <c r="J880" s="15">
        <v>42056.000833333332</v>
      </c>
      <c r="K880" t="str">
        <f t="shared" si="13"/>
        <v>02-2015</v>
      </c>
    </row>
    <row r="881" spans="3:11" x14ac:dyDescent="0.25">
      <c r="C881" t="str">
        <f>IF(COUNTBLANK(E881:J881) = 6,"",IF(AND(NOT(ISBLANK(E881)),COUNTBLANK(E881:J881) = 5),"3 Delete",IF(ISBLANK(E881),"2 Add",IF(SHA1Range(E881:J881) = "156b62ddcec19e4f8822b5dae1a8f74757b250ac","0 Original","1 Modify"))))</f>
        <v>0 Original</v>
      </c>
      <c r="D881" s="5" t="s">
        <v>1840</v>
      </c>
      <c r="E881" s="3">
        <v>1458</v>
      </c>
      <c r="F881" s="13">
        <v>42056</v>
      </c>
      <c r="G881" t="s">
        <v>128</v>
      </c>
      <c r="H881" s="9">
        <v>20.97</v>
      </c>
      <c r="I881" s="5" t="s">
        <v>68</v>
      </c>
      <c r="J881" s="15">
        <v>42056.377210648148</v>
      </c>
      <c r="K881" t="str">
        <f t="shared" si="13"/>
        <v>02-2015</v>
      </c>
    </row>
    <row r="882" spans="3:11" x14ac:dyDescent="0.25">
      <c r="C882" t="str">
        <f>IF(COUNTBLANK(E882:J882) = 6,"",IF(AND(NOT(ISBLANK(E882)),COUNTBLANK(E882:J882) = 5),"3 Delete",IF(ISBLANK(E882),"2 Add",IF(SHA1Range(E882:J882) = "4c92e6ca91c7d8528df9a17038ac718e6d0c4fa7","0 Original","1 Modify"))))</f>
        <v>0 Original</v>
      </c>
      <c r="D882" s="5" t="s">
        <v>1841</v>
      </c>
      <c r="E882" s="3">
        <v>1461</v>
      </c>
      <c r="F882" s="13">
        <v>42056</v>
      </c>
      <c r="G882" t="s">
        <v>92</v>
      </c>
      <c r="H882" s="9">
        <v>21.97</v>
      </c>
      <c r="I882" s="5" t="s">
        <v>68</v>
      </c>
      <c r="J882" s="15">
        <v>42056.64675925926</v>
      </c>
      <c r="K882" t="str">
        <f t="shared" si="13"/>
        <v>02-2015</v>
      </c>
    </row>
    <row r="883" spans="3:11" x14ac:dyDescent="0.25">
      <c r="C883" t="str">
        <f>IF(COUNTBLANK(E883:J883) = 6,"",IF(AND(NOT(ISBLANK(E883)),COUNTBLANK(E883:J883) = 5),"3 Delete",IF(ISBLANK(E883),"2 Add",IF(SHA1Range(E883:J883) = "27a2609ddefb6496864e535b7a589cb33a99d679","0 Original","1 Modify"))))</f>
        <v>0 Original</v>
      </c>
      <c r="D883" s="5" t="s">
        <v>1842</v>
      </c>
      <c r="E883" s="3">
        <v>526</v>
      </c>
      <c r="F883" s="13">
        <v>42057</v>
      </c>
      <c r="G883" t="s">
        <v>263</v>
      </c>
      <c r="H883" s="9">
        <v>19.97</v>
      </c>
      <c r="I883" s="5" t="s">
        <v>68</v>
      </c>
      <c r="J883" s="15">
        <v>42057.076099537036</v>
      </c>
      <c r="K883" t="str">
        <f t="shared" si="13"/>
        <v>02-2015</v>
      </c>
    </row>
    <row r="884" spans="3:11" x14ac:dyDescent="0.25">
      <c r="C884" t="str">
        <f>IF(COUNTBLANK(E884:J884) = 6,"",IF(AND(NOT(ISBLANK(E884)),COUNTBLANK(E884:J884) = 5),"3 Delete",IF(ISBLANK(E884),"2 Add",IF(SHA1Range(E884:J884) = "36351e65c0f009e7e893e90e41620fc892d58ac5","0 Original","1 Modify"))))</f>
        <v>0 Original</v>
      </c>
      <c r="D884" s="5" t="s">
        <v>1843</v>
      </c>
      <c r="E884" s="3">
        <v>588</v>
      </c>
      <c r="F884" s="13">
        <v>42057</v>
      </c>
      <c r="G884" t="s">
        <v>101</v>
      </c>
      <c r="H884" s="9">
        <v>6.99</v>
      </c>
      <c r="I884" s="5" t="s">
        <v>68</v>
      </c>
      <c r="J884" s="15">
        <v>42057.750347222223</v>
      </c>
      <c r="K884" t="str">
        <f t="shared" si="13"/>
        <v>02-2015</v>
      </c>
    </row>
    <row r="885" spans="3:11" x14ac:dyDescent="0.25">
      <c r="C885" t="str">
        <f>IF(COUNTBLANK(E885:J885) = 6,"",IF(AND(NOT(ISBLANK(E885)),COUNTBLANK(E885:J885) = 5),"3 Delete",IF(ISBLANK(E885),"2 Add",IF(SHA1Range(E885:J885) = "c2c0e6f7c89393013f5626f00679ff52aa41c01b","0 Original","1 Modify"))))</f>
        <v>0 Original</v>
      </c>
      <c r="D885" s="5" t="s">
        <v>1844</v>
      </c>
      <c r="E885" s="3">
        <v>290</v>
      </c>
      <c r="F885" s="13">
        <v>42058</v>
      </c>
      <c r="G885" t="s">
        <v>248</v>
      </c>
      <c r="H885" s="9">
        <v>56.93</v>
      </c>
      <c r="I885" s="5" t="s">
        <v>68</v>
      </c>
      <c r="J885" s="15">
        <v>42058.485034722224</v>
      </c>
      <c r="K885" t="str">
        <f t="shared" si="13"/>
        <v>02-2015</v>
      </c>
    </row>
    <row r="886" spans="3:11" x14ac:dyDescent="0.25">
      <c r="C886" t="str">
        <f>IF(COUNTBLANK(E886:J886) = 6,"",IF(AND(NOT(ISBLANK(E886)),COUNTBLANK(E886:J886) = 5),"3 Delete",IF(ISBLANK(E886),"2 Add",IF(SHA1Range(E886:J886) = "fcce9ff472cf51bbd153cc23f36c5cefedc03c3c","0 Original","1 Modify"))))</f>
        <v>0 Original</v>
      </c>
      <c r="D886" s="5" t="s">
        <v>1845</v>
      </c>
      <c r="E886" s="3">
        <v>1344</v>
      </c>
      <c r="F886" s="13">
        <v>42058</v>
      </c>
      <c r="G886" t="s">
        <v>290</v>
      </c>
      <c r="H886" s="9">
        <v>15.98</v>
      </c>
      <c r="I886" s="5" t="s">
        <v>68</v>
      </c>
      <c r="J886" s="15">
        <v>42058.699942129628</v>
      </c>
      <c r="K886" t="str">
        <f t="shared" si="13"/>
        <v>02-2015</v>
      </c>
    </row>
    <row r="887" spans="3:11" x14ac:dyDescent="0.25">
      <c r="C887" t="str">
        <f>IF(COUNTBLANK(E887:J887) = 6,"",IF(AND(NOT(ISBLANK(E887)),COUNTBLANK(E887:J887) = 5),"3 Delete",IF(ISBLANK(E887),"2 Add",IF(SHA1Range(E887:J887) = "a9eed8c9a1932fa23ed95b3161df1c8a23ee8364","0 Original","1 Modify"))))</f>
        <v>0 Original</v>
      </c>
      <c r="D887" s="5" t="s">
        <v>1846</v>
      </c>
      <c r="E887" s="3">
        <v>1140</v>
      </c>
      <c r="F887" s="13">
        <v>42058</v>
      </c>
      <c r="G887" t="s">
        <v>170</v>
      </c>
      <c r="H887" s="9">
        <v>35.950000000000003</v>
      </c>
      <c r="I887" s="5" t="s">
        <v>68</v>
      </c>
      <c r="J887" s="15">
        <v>42058.834988425922</v>
      </c>
      <c r="K887" t="str">
        <f t="shared" si="13"/>
        <v>02-2015</v>
      </c>
    </row>
    <row r="888" spans="3:11" x14ac:dyDescent="0.25">
      <c r="C888" t="str">
        <f>IF(COUNTBLANK(E888:J888) = 6,"",IF(AND(NOT(ISBLANK(E888)),COUNTBLANK(E888:J888) = 5),"3 Delete",IF(ISBLANK(E888),"2 Add",IF(SHA1Range(E888:J888) = "a5f4cccc7ae4be9306dfde75e7669d439f887279","0 Original","1 Modify"))))</f>
        <v>0 Original</v>
      </c>
      <c r="D888" s="5" t="s">
        <v>1847</v>
      </c>
      <c r="E888" s="3">
        <v>1145</v>
      </c>
      <c r="F888" s="13">
        <v>42059</v>
      </c>
      <c r="G888" t="s">
        <v>245</v>
      </c>
      <c r="H888" s="9">
        <v>47.95</v>
      </c>
      <c r="I888" s="5" t="s">
        <v>68</v>
      </c>
      <c r="J888" s="15">
        <v>42059.094861111109</v>
      </c>
      <c r="K888" t="str">
        <f t="shared" si="13"/>
        <v>02-2015</v>
      </c>
    </row>
    <row r="889" spans="3:11" x14ac:dyDescent="0.25">
      <c r="C889" t="str">
        <f>IF(COUNTBLANK(E889:J889) = 6,"",IF(AND(NOT(ISBLANK(E889)),COUNTBLANK(E889:J889) = 5),"3 Delete",IF(ISBLANK(E889),"2 Add",IF(SHA1Range(E889:J889) = "9a97a8a237e9b2c217576803b996084b1974bd7f","0 Original","1 Modify"))))</f>
        <v>0 Original</v>
      </c>
      <c r="D889" s="5" t="s">
        <v>1848</v>
      </c>
      <c r="E889" s="3">
        <v>1422</v>
      </c>
      <c r="F889" s="13">
        <v>42059</v>
      </c>
      <c r="G889" t="s">
        <v>188</v>
      </c>
      <c r="H889" s="9">
        <v>35.950000000000003</v>
      </c>
      <c r="I889" s="5" t="s">
        <v>68</v>
      </c>
      <c r="J889" s="15">
        <v>42059.446863425925</v>
      </c>
      <c r="K889" t="str">
        <f t="shared" si="13"/>
        <v>02-2015</v>
      </c>
    </row>
    <row r="890" spans="3:11" x14ac:dyDescent="0.25">
      <c r="C890" t="str">
        <f>IF(COUNTBLANK(E890:J890) = 6,"",IF(AND(NOT(ISBLANK(E890)),COUNTBLANK(E890:J890) = 5),"3 Delete",IF(ISBLANK(E890),"2 Add",IF(SHA1Range(E890:J890) = "c4fb23d13f5c90090ddec79a60114e9bac088fd6","0 Original","1 Modify"))))</f>
        <v>0 Original</v>
      </c>
      <c r="D890" s="5" t="s">
        <v>1849</v>
      </c>
      <c r="E890" s="3">
        <v>1401</v>
      </c>
      <c r="F890" s="13">
        <v>42059</v>
      </c>
      <c r="G890" t="s">
        <v>98</v>
      </c>
      <c r="H890" s="9">
        <v>29.96</v>
      </c>
      <c r="I890" s="5" t="s">
        <v>68</v>
      </c>
      <c r="J890" s="15">
        <v>42059.684328703705</v>
      </c>
      <c r="K890" t="str">
        <f t="shared" si="13"/>
        <v>02-2015</v>
      </c>
    </row>
    <row r="891" spans="3:11" x14ac:dyDescent="0.25">
      <c r="C891" t="str">
        <f>IF(COUNTBLANK(E891:J891) = 6,"",IF(AND(NOT(ISBLANK(E891)),COUNTBLANK(E891:J891) = 5),"3 Delete",IF(ISBLANK(E891),"2 Add",IF(SHA1Range(E891:J891) = "8c37c570edaeb941686acb1c3fee17e64347882e","0 Original","1 Modify"))))</f>
        <v>0 Original</v>
      </c>
      <c r="D891" s="5" t="s">
        <v>1850</v>
      </c>
      <c r="E891" s="3">
        <v>1420</v>
      </c>
      <c r="F891" s="13">
        <v>42059</v>
      </c>
      <c r="G891" t="s">
        <v>128</v>
      </c>
      <c r="H891" s="9">
        <v>11.98</v>
      </c>
      <c r="I891" s="5" t="s">
        <v>68</v>
      </c>
      <c r="J891" s="15">
        <v>42059.847604166665</v>
      </c>
      <c r="K891" t="str">
        <f t="shared" si="13"/>
        <v>02-2015</v>
      </c>
    </row>
    <row r="892" spans="3:11" x14ac:dyDescent="0.25">
      <c r="C892" t="str">
        <f>IF(COUNTBLANK(E892:J892) = 6,"",IF(AND(NOT(ISBLANK(E892)),COUNTBLANK(E892:J892) = 5),"3 Delete",IF(ISBLANK(E892),"2 Add",IF(SHA1Range(E892:J892) = "93c49487283e521c3d2df2619a9636d068a45155","0 Original","1 Modify"))))</f>
        <v>0 Original</v>
      </c>
      <c r="D892" s="5" t="s">
        <v>1851</v>
      </c>
      <c r="E892" s="3">
        <v>723</v>
      </c>
      <c r="F892" s="13">
        <v>42060</v>
      </c>
      <c r="G892" t="s">
        <v>272</v>
      </c>
      <c r="H892" s="9">
        <v>42.95</v>
      </c>
      <c r="I892" s="5" t="s">
        <v>68</v>
      </c>
      <c r="J892" s="15">
        <v>42060.17528935185</v>
      </c>
      <c r="K892" t="str">
        <f t="shared" si="13"/>
        <v>02-2015</v>
      </c>
    </row>
    <row r="893" spans="3:11" x14ac:dyDescent="0.25">
      <c r="C893" t="str">
        <f>IF(COUNTBLANK(E893:J893) = 6,"",IF(AND(NOT(ISBLANK(E893)),COUNTBLANK(E893:J893) = 5),"3 Delete",IF(ISBLANK(E893),"2 Add",IF(SHA1Range(E893:J893) = "4b5becf91f19738a3cca900ce9a7ab911d78f399","0 Original","1 Modify"))))</f>
        <v>0 Original</v>
      </c>
      <c r="D893" s="5" t="s">
        <v>1852</v>
      </c>
      <c r="E893" s="3">
        <v>1213</v>
      </c>
      <c r="F893" s="13">
        <v>42060</v>
      </c>
      <c r="G893" t="s">
        <v>353</v>
      </c>
      <c r="H893" s="9">
        <v>103.87</v>
      </c>
      <c r="I893" s="5" t="s">
        <v>68</v>
      </c>
      <c r="J893" s="15">
        <v>42060.565532407411</v>
      </c>
      <c r="K893" t="str">
        <f t="shared" si="13"/>
        <v>02-2015</v>
      </c>
    </row>
    <row r="894" spans="3:11" x14ac:dyDescent="0.25">
      <c r="C894" t="str">
        <f>IF(COUNTBLANK(E894:J894) = 6,"",IF(AND(NOT(ISBLANK(E894)),COUNTBLANK(E894:J894) = 5),"3 Delete",IF(ISBLANK(E894),"2 Add",IF(SHA1Range(E894:J894) = "577e28dcdb4a15748b0c7148520bd1af414a434a","0 Original","1 Modify"))))</f>
        <v>0 Original</v>
      </c>
      <c r="D894" s="5" t="s">
        <v>1853</v>
      </c>
      <c r="E894" s="3">
        <v>1260</v>
      </c>
      <c r="F894" s="13">
        <v>42060</v>
      </c>
      <c r="G894" t="s">
        <v>290</v>
      </c>
      <c r="H894" s="9">
        <v>15.98</v>
      </c>
      <c r="I894" s="5" t="s">
        <v>68</v>
      </c>
      <c r="J894" s="15">
        <v>42060.737557870372</v>
      </c>
      <c r="K894" t="str">
        <f t="shared" si="13"/>
        <v>02-2015</v>
      </c>
    </row>
    <row r="895" spans="3:11" x14ac:dyDescent="0.25">
      <c r="C895" t="str">
        <f>IF(COUNTBLANK(E895:J895) = 6,"",IF(AND(NOT(ISBLANK(E895)),COUNTBLANK(E895:J895) = 5),"3 Delete",IF(ISBLANK(E895),"2 Add",IF(SHA1Range(E895:J895) = "fff484413662b4d175bf0e670269ddfeff6a453f","0 Original","1 Modify"))))</f>
        <v>0 Original</v>
      </c>
      <c r="D895" s="5" t="s">
        <v>1854</v>
      </c>
      <c r="E895" s="3">
        <v>196</v>
      </c>
      <c r="F895" s="13">
        <v>42061</v>
      </c>
      <c r="G895" t="s">
        <v>101</v>
      </c>
      <c r="H895" s="9">
        <v>44.94</v>
      </c>
      <c r="I895" s="5" t="s">
        <v>68</v>
      </c>
      <c r="J895" s="15">
        <v>42061.236574074072</v>
      </c>
      <c r="K895" t="str">
        <f t="shared" si="13"/>
        <v>02-2015</v>
      </c>
    </row>
    <row r="896" spans="3:11" x14ac:dyDescent="0.25">
      <c r="C896" t="str">
        <f>IF(COUNTBLANK(E896:J896) = 6,"",IF(AND(NOT(ISBLANK(E896)),COUNTBLANK(E896:J896) = 5),"3 Delete",IF(ISBLANK(E896),"2 Add",IF(SHA1Range(E896:J896) = "1d3cb29735541e07300f932300eb2a55deec125a","0 Original","1 Modify"))))</f>
        <v>0 Original</v>
      </c>
      <c r="D896" s="5" t="s">
        <v>1855</v>
      </c>
      <c r="E896" s="3">
        <v>104</v>
      </c>
      <c r="F896" s="13">
        <v>42061</v>
      </c>
      <c r="G896" t="s">
        <v>236</v>
      </c>
      <c r="H896" s="9">
        <v>38.950000000000003</v>
      </c>
      <c r="I896" s="5" t="s">
        <v>68</v>
      </c>
      <c r="J896" s="15">
        <v>42061.376597222225</v>
      </c>
      <c r="K896" t="str">
        <f t="shared" si="13"/>
        <v>02-2015</v>
      </c>
    </row>
    <row r="897" spans="3:11" x14ac:dyDescent="0.25">
      <c r="C897" t="str">
        <f>IF(COUNTBLANK(E897:J897) = 6,"",IF(AND(NOT(ISBLANK(E897)),COUNTBLANK(E897:J897) = 5),"3 Delete",IF(ISBLANK(E897),"2 Add",IF(SHA1Range(E897:J897) = "a693c5daa80fc6b8b40882213ca8140e0c826de4","0 Original","1 Modify"))))</f>
        <v>0 Original</v>
      </c>
      <c r="D897" s="5" t="s">
        <v>1856</v>
      </c>
      <c r="E897" s="3">
        <v>1295</v>
      </c>
      <c r="F897" s="13">
        <v>42061</v>
      </c>
      <c r="G897" t="s">
        <v>275</v>
      </c>
      <c r="H897" s="9">
        <v>46.94</v>
      </c>
      <c r="I897" s="5" t="s">
        <v>68</v>
      </c>
      <c r="J897" s="15">
        <v>42061.52071759259</v>
      </c>
      <c r="K897" t="str">
        <f t="shared" si="13"/>
        <v>02-2015</v>
      </c>
    </row>
    <row r="898" spans="3:11" x14ac:dyDescent="0.25">
      <c r="C898" t="str">
        <f>IF(COUNTBLANK(E898:J898) = 6,"",IF(AND(NOT(ISBLANK(E898)),COUNTBLANK(E898:J898) = 5),"3 Delete",IF(ISBLANK(E898),"2 Add",IF(SHA1Range(E898:J898) = "2a76230d91a4ef9964d786c6cd450d5e18dba2a0","0 Original","1 Modify"))))</f>
        <v>0 Original</v>
      </c>
      <c r="D898" s="5" t="s">
        <v>1857</v>
      </c>
      <c r="E898" s="3">
        <v>731</v>
      </c>
      <c r="F898" s="13">
        <v>42061</v>
      </c>
      <c r="G898" t="s">
        <v>242</v>
      </c>
      <c r="H898" s="9">
        <v>26.96</v>
      </c>
      <c r="I898" s="5" t="s">
        <v>68</v>
      </c>
      <c r="J898" s="15">
        <v>42061.632696759261</v>
      </c>
      <c r="K898" t="str">
        <f t="shared" si="13"/>
        <v>02-2015</v>
      </c>
    </row>
    <row r="899" spans="3:11" x14ac:dyDescent="0.25">
      <c r="C899" t="str">
        <f>IF(COUNTBLANK(E899:J899) = 6,"",IF(AND(NOT(ISBLANK(E899)),COUNTBLANK(E899:J899) = 5),"3 Delete",IF(ISBLANK(E899),"2 Add",IF(SHA1Range(E899:J899) = "cb039d7ae286a4806e071a225b4ce895cca7b085","0 Original","1 Modify"))))</f>
        <v>0 Original</v>
      </c>
      <c r="D899" s="5" t="s">
        <v>1858</v>
      </c>
      <c r="E899" s="3">
        <v>122</v>
      </c>
      <c r="F899" s="13">
        <v>42061</v>
      </c>
      <c r="G899" t="s">
        <v>224</v>
      </c>
      <c r="H899" s="9">
        <v>21.97</v>
      </c>
      <c r="I899" s="5" t="s">
        <v>68</v>
      </c>
      <c r="J899" s="15">
        <v>42061.648113425923</v>
      </c>
      <c r="K899" t="str">
        <f t="shared" ref="K899:K962" si="14">TEXT(F899,"mm-yyyy")</f>
        <v>02-2015</v>
      </c>
    </row>
    <row r="900" spans="3:11" x14ac:dyDescent="0.25">
      <c r="C900" t="str">
        <f>IF(COUNTBLANK(E900:J900) = 6,"",IF(AND(NOT(ISBLANK(E900)),COUNTBLANK(E900:J900) = 5),"3 Delete",IF(ISBLANK(E900),"2 Add",IF(SHA1Range(E900:J900) = "7157167d99332949dabebbf3e887e91393f793f7","0 Original","1 Modify"))))</f>
        <v>0 Original</v>
      </c>
      <c r="D900" s="5" t="s">
        <v>1859</v>
      </c>
      <c r="E900" s="3">
        <v>1017</v>
      </c>
      <c r="F900" s="13">
        <v>42061</v>
      </c>
      <c r="G900" t="s">
        <v>221</v>
      </c>
      <c r="H900" s="9">
        <v>29.96</v>
      </c>
      <c r="I900" s="5" t="s">
        <v>68</v>
      </c>
      <c r="J900" s="15">
        <v>42061.705150462964</v>
      </c>
      <c r="K900" t="str">
        <f t="shared" si="14"/>
        <v>02-2015</v>
      </c>
    </row>
    <row r="901" spans="3:11" x14ac:dyDescent="0.25">
      <c r="C901" t="str">
        <f>IF(COUNTBLANK(E901:J901) = 6,"",IF(AND(NOT(ISBLANK(E901)),COUNTBLANK(E901:J901) = 5),"3 Delete",IF(ISBLANK(E901),"2 Add",IF(SHA1Range(E901:J901) = "87a4666bb74ae56ac5566a0ab3ba5154911d1adf","0 Original","1 Modify"))))</f>
        <v>0 Original</v>
      </c>
      <c r="D901" s="5" t="s">
        <v>1860</v>
      </c>
      <c r="E901" s="3">
        <v>1493</v>
      </c>
      <c r="F901" s="13">
        <v>42061</v>
      </c>
      <c r="G901" t="s">
        <v>251</v>
      </c>
      <c r="H901" s="9">
        <v>16.98</v>
      </c>
      <c r="I901" s="5" t="s">
        <v>68</v>
      </c>
      <c r="J901" s="15">
        <v>42061.819502314815</v>
      </c>
      <c r="K901" t="str">
        <f t="shared" si="14"/>
        <v>02-2015</v>
      </c>
    </row>
    <row r="902" spans="3:11" x14ac:dyDescent="0.25">
      <c r="C902" t="str">
        <f>IF(COUNTBLANK(E902:J902) = 6,"",IF(AND(NOT(ISBLANK(E902)),COUNTBLANK(E902:J902) = 5),"3 Delete",IF(ISBLANK(E902),"2 Add",IF(SHA1Range(E902:J902) = "df7b33f61586b81e55000d2ba67916a0c47e8358","0 Original","1 Modify"))))</f>
        <v>0 Original</v>
      </c>
      <c r="D902" s="5" t="s">
        <v>1861</v>
      </c>
      <c r="E902" s="3">
        <v>1500</v>
      </c>
      <c r="F902" s="13">
        <v>42062</v>
      </c>
      <c r="G902" t="s">
        <v>278</v>
      </c>
      <c r="H902" s="9">
        <v>32.96</v>
      </c>
      <c r="I902" s="5" t="s">
        <v>68</v>
      </c>
      <c r="J902" s="15">
        <v>42062.057303240741</v>
      </c>
      <c r="K902" t="str">
        <f t="shared" si="14"/>
        <v>02-2015</v>
      </c>
    </row>
    <row r="903" spans="3:11" x14ac:dyDescent="0.25">
      <c r="C903" t="str">
        <f>IF(COUNTBLANK(E903:J903) = 6,"",IF(AND(NOT(ISBLANK(E903)),COUNTBLANK(E903:J903) = 5),"3 Delete",IF(ISBLANK(E903),"2 Add",IF(SHA1Range(E903:J903) = "2832ae41dcc6b35db7b1af4cfddd09d8218d290a","0 Original","1 Modify"))))</f>
        <v>0 Original</v>
      </c>
      <c r="D903" s="5" t="s">
        <v>1862</v>
      </c>
      <c r="E903" s="3">
        <v>998</v>
      </c>
      <c r="F903" s="13">
        <v>42062</v>
      </c>
      <c r="G903" t="s">
        <v>170</v>
      </c>
      <c r="H903" s="9">
        <v>12.98</v>
      </c>
      <c r="I903" s="5" t="s">
        <v>68</v>
      </c>
      <c r="J903" s="15">
        <v>42062.314722222225</v>
      </c>
      <c r="K903" t="str">
        <f t="shared" si="14"/>
        <v>02-2015</v>
      </c>
    </row>
    <row r="904" spans="3:11" x14ac:dyDescent="0.25">
      <c r="C904" t="str">
        <f>IF(COUNTBLANK(E904:J904) = 6,"",IF(AND(NOT(ISBLANK(E904)),COUNTBLANK(E904:J904) = 5),"3 Delete",IF(ISBLANK(E904),"2 Add",IF(SHA1Range(E904:J904) = "be74b83358033a9d7aff1a69afb0ad1225f6f834","0 Original","1 Modify"))))</f>
        <v>0 Original</v>
      </c>
      <c r="D904" s="5" t="s">
        <v>1863</v>
      </c>
      <c r="E904" s="3">
        <v>1483</v>
      </c>
      <c r="F904" s="13">
        <v>42062</v>
      </c>
      <c r="G904" t="s">
        <v>188</v>
      </c>
      <c r="H904" s="9">
        <v>17.98</v>
      </c>
      <c r="I904" s="5" t="s">
        <v>68</v>
      </c>
      <c r="J904" s="15">
        <v>42062.56386574074</v>
      </c>
      <c r="K904" t="str">
        <f t="shared" si="14"/>
        <v>02-2015</v>
      </c>
    </row>
    <row r="905" spans="3:11" x14ac:dyDescent="0.25">
      <c r="C905" t="str">
        <f>IF(COUNTBLANK(E905:J905) = 6,"",IF(AND(NOT(ISBLANK(E905)),COUNTBLANK(E905:J905) = 5),"3 Delete",IF(ISBLANK(E905),"2 Add",IF(SHA1Range(E905:J905) = "e910f369f54c7b66e0f51c8018899825b5bacb68","0 Original","1 Modify"))))</f>
        <v>0 Original</v>
      </c>
      <c r="D905" s="5" t="s">
        <v>1864</v>
      </c>
      <c r="E905" s="3">
        <v>1291</v>
      </c>
      <c r="F905" s="13">
        <v>42062</v>
      </c>
      <c r="G905" t="s">
        <v>317</v>
      </c>
      <c r="H905" s="9">
        <v>34.96</v>
      </c>
      <c r="I905" s="5" t="s">
        <v>68</v>
      </c>
      <c r="J905" s="15">
        <v>42062.671053240738</v>
      </c>
      <c r="K905" t="str">
        <f t="shared" si="14"/>
        <v>02-2015</v>
      </c>
    </row>
    <row r="906" spans="3:11" x14ac:dyDescent="0.25">
      <c r="C906" t="str">
        <f>IF(COUNTBLANK(E906:J906) = 6,"",IF(AND(NOT(ISBLANK(E906)),COUNTBLANK(E906:J906) = 5),"3 Delete",IF(ISBLANK(E906),"2 Add",IF(SHA1Range(E906:J906) = "4f949db3f054d4247bee7797fc105547dcd869c5","0 Original","1 Modify"))))</f>
        <v>0 Original</v>
      </c>
      <c r="D906" s="5" t="s">
        <v>1865</v>
      </c>
      <c r="E906" s="3">
        <v>1273</v>
      </c>
      <c r="F906" s="13">
        <v>42063</v>
      </c>
      <c r="G906" t="s">
        <v>305</v>
      </c>
      <c r="H906" s="9">
        <v>36.950000000000003</v>
      </c>
      <c r="I906" s="5" t="s">
        <v>68</v>
      </c>
      <c r="J906" s="15">
        <v>42063.535995370374</v>
      </c>
      <c r="K906" t="str">
        <f t="shared" si="14"/>
        <v>02-2015</v>
      </c>
    </row>
    <row r="907" spans="3:11" x14ac:dyDescent="0.25">
      <c r="C907" t="str">
        <f>IF(COUNTBLANK(E907:J907) = 6,"",IF(AND(NOT(ISBLANK(E907)),COUNTBLANK(E907:J907) = 5),"3 Delete",IF(ISBLANK(E907),"2 Add",IF(SHA1Range(E907:J907) = "5e4134c07c7d3c419ba42e1801dad64863d2c5aa","0 Original","1 Modify"))))</f>
        <v>0 Original</v>
      </c>
      <c r="D907" s="5" t="s">
        <v>1866</v>
      </c>
      <c r="E907" s="3">
        <v>1450</v>
      </c>
      <c r="F907" s="13">
        <v>42063</v>
      </c>
      <c r="G907" t="s">
        <v>101</v>
      </c>
      <c r="H907" s="9">
        <v>27.96</v>
      </c>
      <c r="I907" s="5" t="s">
        <v>68</v>
      </c>
      <c r="J907" s="15">
        <v>42063.751192129632</v>
      </c>
      <c r="K907" t="str">
        <f t="shared" si="14"/>
        <v>02-2015</v>
      </c>
    </row>
    <row r="908" spans="3:11" x14ac:dyDescent="0.25">
      <c r="C908" t="str">
        <f>IF(COUNTBLANK(E908:J908) = 6,"",IF(AND(NOT(ISBLANK(E908)),COUNTBLANK(E908:J908) = 5),"3 Delete",IF(ISBLANK(E908),"2 Add",IF(SHA1Range(E908:J908) = "e73d5e55217ae2c87580be9d9431ca373356160a","0 Original","1 Modify"))))</f>
        <v>0 Original</v>
      </c>
      <c r="D908" s="5" t="s">
        <v>1867</v>
      </c>
      <c r="E908" s="3">
        <v>220</v>
      </c>
      <c r="F908" s="13">
        <v>42063</v>
      </c>
      <c r="G908" t="s">
        <v>263</v>
      </c>
      <c r="H908" s="9">
        <v>48.94</v>
      </c>
      <c r="I908" s="5" t="s">
        <v>68</v>
      </c>
      <c r="J908" s="15">
        <v>42063.854363425926</v>
      </c>
      <c r="K908" t="str">
        <f t="shared" si="14"/>
        <v>02-2015</v>
      </c>
    </row>
    <row r="909" spans="3:11" x14ac:dyDescent="0.25">
      <c r="C909" t="str">
        <f>IF(COUNTBLANK(E909:J909) = 6,"",IF(AND(NOT(ISBLANK(E909)),COUNTBLANK(E909:J909) = 5),"3 Delete",IF(ISBLANK(E909),"2 Add",IF(SHA1Range(E909:J909) = "31c03cfb3bed875e5f0358f9b932993c2d9e7240","0 Original","1 Modify"))))</f>
        <v>0 Original</v>
      </c>
      <c r="D909" s="5" t="s">
        <v>1868</v>
      </c>
      <c r="E909" s="3">
        <v>1406</v>
      </c>
      <c r="F909" s="13">
        <v>42064</v>
      </c>
      <c r="G909" t="s">
        <v>305</v>
      </c>
      <c r="H909" s="9">
        <v>8.99</v>
      </c>
      <c r="I909" s="5" t="s">
        <v>68</v>
      </c>
      <c r="J909" s="15">
        <v>42064.166620370372</v>
      </c>
      <c r="K909" t="str">
        <f t="shared" si="14"/>
        <v>03-2015</v>
      </c>
    </row>
    <row r="910" spans="3:11" x14ac:dyDescent="0.25">
      <c r="C910" t="str">
        <f>IF(COUNTBLANK(E910:J910) = 6,"",IF(AND(NOT(ISBLANK(E910)),COUNTBLANK(E910:J910) = 5),"3 Delete",IF(ISBLANK(E910),"2 Add",IF(SHA1Range(E910:J910) = "9de1e1b0f3d28a45ec72f84a823c9a6c7249fecf","0 Original","1 Modify"))))</f>
        <v>0 Original</v>
      </c>
      <c r="D910" s="5" t="s">
        <v>1869</v>
      </c>
      <c r="E910" s="3">
        <v>1280</v>
      </c>
      <c r="F910" s="13">
        <v>42064</v>
      </c>
      <c r="G910" t="s">
        <v>344</v>
      </c>
      <c r="H910" s="9">
        <v>29.96</v>
      </c>
      <c r="I910" s="5" t="s">
        <v>68</v>
      </c>
      <c r="J910" s="15">
        <v>42064.438194444447</v>
      </c>
      <c r="K910" t="str">
        <f t="shared" si="14"/>
        <v>03-2015</v>
      </c>
    </row>
    <row r="911" spans="3:11" x14ac:dyDescent="0.25">
      <c r="C911" t="str">
        <f>IF(COUNTBLANK(E911:J911) = 6,"",IF(AND(NOT(ISBLANK(E911)),COUNTBLANK(E911:J911) = 5),"3 Delete",IF(ISBLANK(E911),"2 Add",IF(SHA1Range(E911:J911) = "76f9e252bd2b76a50327aeb630622793268b5221","0 Original","1 Modify"))))</f>
        <v>0 Original</v>
      </c>
      <c r="D911" s="5" t="s">
        <v>1870</v>
      </c>
      <c r="E911" s="3">
        <v>665</v>
      </c>
      <c r="F911" s="13">
        <v>42064</v>
      </c>
      <c r="G911" t="s">
        <v>278</v>
      </c>
      <c r="H911" s="9">
        <v>73.900000000000006</v>
      </c>
      <c r="I911" s="5" t="s">
        <v>68</v>
      </c>
      <c r="J911" s="15">
        <v>42064.633773148147</v>
      </c>
      <c r="K911" t="str">
        <f t="shared" si="14"/>
        <v>03-2015</v>
      </c>
    </row>
    <row r="912" spans="3:11" x14ac:dyDescent="0.25">
      <c r="C912" t="str">
        <f>IF(COUNTBLANK(E912:J912) = 6,"",IF(AND(NOT(ISBLANK(E912)),COUNTBLANK(E912:J912) = 5),"3 Delete",IF(ISBLANK(E912),"2 Add",IF(SHA1Range(E912:J912) = "0fb40e220b964771e77d9171359976cea5f97a33","0 Original","1 Modify"))))</f>
        <v>0 Original</v>
      </c>
      <c r="D912" s="5" t="s">
        <v>1871</v>
      </c>
      <c r="E912" s="3">
        <v>1343</v>
      </c>
      <c r="F912" s="13">
        <v>42064</v>
      </c>
      <c r="G912" t="s">
        <v>290</v>
      </c>
      <c r="H912" s="9">
        <v>6.99</v>
      </c>
      <c r="I912" s="5" t="s">
        <v>68</v>
      </c>
      <c r="J912" s="15">
        <v>42064.921712962961</v>
      </c>
      <c r="K912" t="str">
        <f t="shared" si="14"/>
        <v>03-2015</v>
      </c>
    </row>
    <row r="913" spans="3:11" x14ac:dyDescent="0.25">
      <c r="C913" t="str">
        <f>IF(COUNTBLANK(E913:J913) = 6,"",IF(AND(NOT(ISBLANK(E913)),COUNTBLANK(E913:J913) = 5),"3 Delete",IF(ISBLANK(E913),"2 Add",IF(SHA1Range(E913:J913) = "c31b404d0eaf09714cda92c439e746e6e19ef716","0 Original","1 Modify"))))</f>
        <v>0 Original</v>
      </c>
      <c r="D913" s="5" t="s">
        <v>1872</v>
      </c>
      <c r="E913" s="3">
        <v>1308</v>
      </c>
      <c r="F913" s="13">
        <v>42065</v>
      </c>
      <c r="G913" t="s">
        <v>281</v>
      </c>
      <c r="H913" s="9">
        <v>15.98</v>
      </c>
      <c r="I913" s="5" t="s">
        <v>68</v>
      </c>
      <c r="J913" s="15">
        <v>42065.403391203705</v>
      </c>
      <c r="K913" t="str">
        <f t="shared" si="14"/>
        <v>03-2015</v>
      </c>
    </row>
    <row r="914" spans="3:11" x14ac:dyDescent="0.25">
      <c r="C914" t="str">
        <f>IF(COUNTBLANK(E914:J914) = 6,"",IF(AND(NOT(ISBLANK(E914)),COUNTBLANK(E914:J914) = 5),"3 Delete",IF(ISBLANK(E914),"2 Add",IF(SHA1Range(E914:J914) = "bd8cf1aca4c3daf357cbed6c7d264d63d05f604c","0 Original","1 Modify"))))</f>
        <v>0 Original</v>
      </c>
      <c r="D914" s="5" t="s">
        <v>1873</v>
      </c>
      <c r="E914" s="3">
        <v>1393</v>
      </c>
      <c r="F914" s="13">
        <v>42065</v>
      </c>
      <c r="G914" t="s">
        <v>323</v>
      </c>
      <c r="H914" s="9">
        <v>13.98</v>
      </c>
      <c r="I914" s="5" t="s">
        <v>68</v>
      </c>
      <c r="J914" s="15">
        <v>42065.428981481484</v>
      </c>
      <c r="K914" t="str">
        <f t="shared" si="14"/>
        <v>03-2015</v>
      </c>
    </row>
    <row r="915" spans="3:11" x14ac:dyDescent="0.25">
      <c r="C915" t="str">
        <f>IF(COUNTBLANK(E915:J915) = 6,"",IF(AND(NOT(ISBLANK(E915)),COUNTBLANK(E915:J915) = 5),"3 Delete",IF(ISBLANK(E915),"2 Add",IF(SHA1Range(E915:J915) = "863f17187cdb856f75203e2ed30df3f660d1567d","0 Original","1 Modify"))))</f>
        <v>0 Original</v>
      </c>
      <c r="D915" s="5" t="s">
        <v>1874</v>
      </c>
      <c r="E915" s="3">
        <v>1207</v>
      </c>
      <c r="F915" s="13">
        <v>42065</v>
      </c>
      <c r="G915" t="s">
        <v>311</v>
      </c>
      <c r="H915" s="9">
        <v>15.98</v>
      </c>
      <c r="I915" s="5" t="s">
        <v>68</v>
      </c>
      <c r="J915" s="15">
        <v>42065.567453703705</v>
      </c>
      <c r="K915" t="str">
        <f t="shared" si="14"/>
        <v>03-2015</v>
      </c>
    </row>
    <row r="916" spans="3:11" x14ac:dyDescent="0.25">
      <c r="C916" t="str">
        <f>IF(COUNTBLANK(E916:J916) = 6,"",IF(AND(NOT(ISBLANK(E916)),COUNTBLANK(E916:J916) = 5),"3 Delete",IF(ISBLANK(E916),"2 Add",IF(SHA1Range(E916:J916) = "11bdb85f962703d0901cfad556f72b1e90282b47","0 Original","1 Modify"))))</f>
        <v>0 Original</v>
      </c>
      <c r="D916" s="5" t="s">
        <v>1875</v>
      </c>
      <c r="E916" s="3">
        <v>1373</v>
      </c>
      <c r="F916" s="13">
        <v>42066</v>
      </c>
      <c r="G916" t="s">
        <v>281</v>
      </c>
      <c r="H916" s="9">
        <v>22.97</v>
      </c>
      <c r="I916" s="5" t="s">
        <v>68</v>
      </c>
      <c r="J916" s="15">
        <v>42066.194236111114</v>
      </c>
      <c r="K916" t="str">
        <f t="shared" si="14"/>
        <v>03-2015</v>
      </c>
    </row>
    <row r="917" spans="3:11" x14ac:dyDescent="0.25">
      <c r="C917" t="str">
        <f>IF(COUNTBLANK(E917:J917) = 6,"",IF(AND(NOT(ISBLANK(E917)),COUNTBLANK(E917:J917) = 5),"3 Delete",IF(ISBLANK(E917),"2 Add",IF(SHA1Range(E917:J917) = "28d1afabebd6a3d7e5216c47fe0daa020481f652","0 Original","1 Modify"))))</f>
        <v>0 Original</v>
      </c>
      <c r="D917" s="5" t="s">
        <v>1876</v>
      </c>
      <c r="E917" s="3">
        <v>1383</v>
      </c>
      <c r="F917" s="13">
        <v>42066</v>
      </c>
      <c r="G917" t="s">
        <v>272</v>
      </c>
      <c r="H917" s="9">
        <v>18.97</v>
      </c>
      <c r="I917" s="5" t="s">
        <v>68</v>
      </c>
      <c r="J917" s="15">
        <v>42066.427546296298</v>
      </c>
      <c r="K917" t="str">
        <f t="shared" si="14"/>
        <v>03-2015</v>
      </c>
    </row>
    <row r="918" spans="3:11" x14ac:dyDescent="0.25">
      <c r="C918" t="str">
        <f>IF(COUNTBLANK(E918:J918) = 6,"",IF(AND(NOT(ISBLANK(E918)),COUNTBLANK(E918:J918) = 5),"3 Delete",IF(ISBLANK(E918),"2 Add",IF(SHA1Range(E918:J918) = "c81716bc9920cfc86f3736141a64dbb20221f03b","0 Original","1 Modify"))))</f>
        <v>0 Original</v>
      </c>
      <c r="D918" s="5" t="s">
        <v>1877</v>
      </c>
      <c r="E918" s="3">
        <v>1312</v>
      </c>
      <c r="F918" s="13">
        <v>42066</v>
      </c>
      <c r="G918" t="s">
        <v>212</v>
      </c>
      <c r="H918" s="9">
        <v>12.98</v>
      </c>
      <c r="I918" s="5" t="s">
        <v>68</v>
      </c>
      <c r="J918" s="15">
        <v>42066.824629629627</v>
      </c>
      <c r="K918" t="str">
        <f t="shared" si="14"/>
        <v>03-2015</v>
      </c>
    </row>
    <row r="919" spans="3:11" x14ac:dyDescent="0.25">
      <c r="C919" t="str">
        <f>IF(COUNTBLANK(E919:J919) = 6,"",IF(AND(NOT(ISBLANK(E919)),COUNTBLANK(E919:J919) = 5),"3 Delete",IF(ISBLANK(E919),"2 Add",IF(SHA1Range(E919:J919) = "8e06412307ec1c6f4d38f7c37851dbc2cd706403","0 Original","1 Modify"))))</f>
        <v>0 Original</v>
      </c>
      <c r="D919" s="5" t="s">
        <v>1878</v>
      </c>
      <c r="E919" s="3">
        <v>128</v>
      </c>
      <c r="F919" s="13">
        <v>42066</v>
      </c>
      <c r="G919" t="s">
        <v>155</v>
      </c>
      <c r="H919" s="9">
        <v>29.96</v>
      </c>
      <c r="I919" s="5" t="s">
        <v>68</v>
      </c>
      <c r="J919" s="15">
        <v>42066.825636574074</v>
      </c>
      <c r="K919" t="str">
        <f t="shared" si="14"/>
        <v>03-2015</v>
      </c>
    </row>
    <row r="920" spans="3:11" x14ac:dyDescent="0.25">
      <c r="C920" t="str">
        <f>IF(COUNTBLANK(E920:J920) = 6,"",IF(AND(NOT(ISBLANK(E920)),COUNTBLANK(E920:J920) = 5),"3 Delete",IF(ISBLANK(E920),"2 Add",IF(SHA1Range(E920:J920) = "299db271ad680b02570db8a5e2611e3eb9bdfa18","0 Original","1 Modify"))))</f>
        <v>0 Original</v>
      </c>
      <c r="D920" s="5" t="s">
        <v>1879</v>
      </c>
      <c r="E920" s="3">
        <v>1217</v>
      </c>
      <c r="F920" s="13">
        <v>42066</v>
      </c>
      <c r="G920" t="s">
        <v>281</v>
      </c>
      <c r="H920" s="9">
        <v>34.950000000000003</v>
      </c>
      <c r="I920" s="5" t="s">
        <v>68</v>
      </c>
      <c r="J920" s="15">
        <v>42066.86310185185</v>
      </c>
      <c r="K920" t="str">
        <f t="shared" si="14"/>
        <v>03-2015</v>
      </c>
    </row>
    <row r="921" spans="3:11" x14ac:dyDescent="0.25">
      <c r="C921" t="str">
        <f>IF(COUNTBLANK(E921:J921) = 6,"",IF(AND(NOT(ISBLANK(E921)),COUNTBLANK(E921:J921) = 5),"3 Delete",IF(ISBLANK(E921),"2 Add",IF(SHA1Range(E921:J921) = "bd8f5070ee6562f7b4e4dfb1cea35d8a33bf5ff7","0 Original","1 Modify"))))</f>
        <v>0 Original</v>
      </c>
      <c r="D921" s="5" t="s">
        <v>1880</v>
      </c>
      <c r="E921" s="3">
        <v>696</v>
      </c>
      <c r="F921" s="13">
        <v>42066</v>
      </c>
      <c r="G921" t="s">
        <v>119</v>
      </c>
      <c r="H921" s="9">
        <v>17.98</v>
      </c>
      <c r="I921" s="5" t="s">
        <v>68</v>
      </c>
      <c r="J921" s="15">
        <v>42066.869525462964</v>
      </c>
      <c r="K921" t="str">
        <f t="shared" si="14"/>
        <v>03-2015</v>
      </c>
    </row>
    <row r="922" spans="3:11" x14ac:dyDescent="0.25">
      <c r="C922" t="str">
        <f>IF(COUNTBLANK(E922:J922) = 6,"",IF(AND(NOT(ISBLANK(E922)),COUNTBLANK(E922:J922) = 5),"3 Delete",IF(ISBLANK(E922),"2 Add",IF(SHA1Range(E922:J922) = "df61e37b2184ce0aafc3d77630aae45cd1e91ccc","0 Original","1 Modify"))))</f>
        <v>0 Original</v>
      </c>
      <c r="D922" s="5" t="s">
        <v>1881</v>
      </c>
      <c r="E922" s="3">
        <v>1267</v>
      </c>
      <c r="F922" s="13">
        <v>42067</v>
      </c>
      <c r="G922" t="s">
        <v>101</v>
      </c>
      <c r="H922" s="9">
        <v>23.97</v>
      </c>
      <c r="I922" s="5" t="s">
        <v>68</v>
      </c>
      <c r="J922" s="15">
        <v>42067.239247685182</v>
      </c>
      <c r="K922" t="str">
        <f t="shared" si="14"/>
        <v>03-2015</v>
      </c>
    </row>
    <row r="923" spans="3:11" x14ac:dyDescent="0.25">
      <c r="C923" t="str">
        <f>IF(COUNTBLANK(E923:J923) = 6,"",IF(AND(NOT(ISBLANK(E923)),COUNTBLANK(E923:J923) = 5),"3 Delete",IF(ISBLANK(E923),"2 Add",IF(SHA1Range(E923:J923) = "4f516feae18a721d8e3dc7506b09f2d29f48b30e","0 Original","1 Modify"))))</f>
        <v>0 Original</v>
      </c>
      <c r="D923" s="5" t="s">
        <v>1882</v>
      </c>
      <c r="E923" s="3">
        <v>1466</v>
      </c>
      <c r="F923" s="13">
        <v>42067</v>
      </c>
      <c r="G923" t="s">
        <v>92</v>
      </c>
      <c r="H923" s="9">
        <v>26.97</v>
      </c>
      <c r="I923" s="5" t="s">
        <v>68</v>
      </c>
      <c r="J923" s="15">
        <v>42067.298530092594</v>
      </c>
      <c r="K923" t="str">
        <f t="shared" si="14"/>
        <v>03-2015</v>
      </c>
    </row>
    <row r="924" spans="3:11" x14ac:dyDescent="0.25">
      <c r="C924" t="str">
        <f>IF(COUNTBLANK(E924:J924) = 6,"",IF(AND(NOT(ISBLANK(E924)),COUNTBLANK(E924:J924) = 5),"3 Delete",IF(ISBLANK(E924),"2 Add",IF(SHA1Range(E924:J924) = "d9d61a6f3d531da5edf560e838240ddb88da90c5","0 Original","1 Modify"))))</f>
        <v>0 Original</v>
      </c>
      <c r="D924" s="5" t="s">
        <v>1883</v>
      </c>
      <c r="E924" s="3">
        <v>1368</v>
      </c>
      <c r="F924" s="13">
        <v>42067</v>
      </c>
      <c r="G924" t="s">
        <v>257</v>
      </c>
      <c r="H924" s="9">
        <v>49.94</v>
      </c>
      <c r="I924" s="5" t="s">
        <v>68</v>
      </c>
      <c r="J924" s="15">
        <v>42067.552476851852</v>
      </c>
      <c r="K924" t="str">
        <f t="shared" si="14"/>
        <v>03-2015</v>
      </c>
    </row>
    <row r="925" spans="3:11" x14ac:dyDescent="0.25">
      <c r="C925" t="str">
        <f>IF(COUNTBLANK(E925:J925) = 6,"",IF(AND(NOT(ISBLANK(E925)),COUNTBLANK(E925:J925) = 5),"3 Delete",IF(ISBLANK(E925),"2 Add",IF(SHA1Range(E925:J925) = "3d6d8ae9861537468d5adf743ae14bf70459f7b3","0 Original","1 Modify"))))</f>
        <v>0 Original</v>
      </c>
      <c r="D925" s="5" t="s">
        <v>1884</v>
      </c>
      <c r="E925" s="3">
        <v>1433</v>
      </c>
      <c r="F925" s="13">
        <v>42068</v>
      </c>
      <c r="G925" t="s">
        <v>245</v>
      </c>
      <c r="H925" s="9">
        <v>17.98</v>
      </c>
      <c r="I925" s="5" t="s">
        <v>68</v>
      </c>
      <c r="J925" s="15">
        <v>42068.584027777775</v>
      </c>
      <c r="K925" t="str">
        <f t="shared" si="14"/>
        <v>03-2015</v>
      </c>
    </row>
    <row r="926" spans="3:11" x14ac:dyDescent="0.25">
      <c r="C926" t="str">
        <f>IF(COUNTBLANK(E926:J926) = 6,"",IF(AND(NOT(ISBLANK(E926)),COUNTBLANK(E926:J926) = 5),"3 Delete",IF(ISBLANK(E926),"2 Add",IF(SHA1Range(E926:J926) = "112ae14b77073cc11a692721376f2b5f3b390e61","0 Original","1 Modify"))))</f>
        <v>0 Original</v>
      </c>
      <c r="D926" s="5" t="s">
        <v>1885</v>
      </c>
      <c r="E926" s="3">
        <v>1489</v>
      </c>
      <c r="F926" s="13">
        <v>42068</v>
      </c>
      <c r="G926" t="s">
        <v>245</v>
      </c>
      <c r="H926" s="9">
        <v>57.92</v>
      </c>
      <c r="I926" s="5" t="s">
        <v>68</v>
      </c>
      <c r="J926" s="15">
        <v>42068.785497685189</v>
      </c>
      <c r="K926" t="str">
        <f t="shared" si="14"/>
        <v>03-2015</v>
      </c>
    </row>
    <row r="927" spans="3:11" x14ac:dyDescent="0.25">
      <c r="C927" t="str">
        <f>IF(COUNTBLANK(E927:J927) = 6,"",IF(AND(NOT(ISBLANK(E927)),COUNTBLANK(E927:J927) = 5),"3 Delete",IF(ISBLANK(E927),"2 Add",IF(SHA1Range(E927:J927) = "5fd7e2d5551337bc16a2d93aa5a1ca9a7d3784a1","0 Original","1 Modify"))))</f>
        <v>0 Original</v>
      </c>
      <c r="D927" s="5" t="s">
        <v>1886</v>
      </c>
      <c r="E927" s="3">
        <v>242</v>
      </c>
      <c r="F927" s="13">
        <v>42068</v>
      </c>
      <c r="G927" t="s">
        <v>302</v>
      </c>
      <c r="H927" s="9">
        <v>16.98</v>
      </c>
      <c r="I927" s="5" t="s">
        <v>68</v>
      </c>
      <c r="J927" s="15">
        <v>42068.841192129628</v>
      </c>
      <c r="K927" t="str">
        <f t="shared" si="14"/>
        <v>03-2015</v>
      </c>
    </row>
    <row r="928" spans="3:11" x14ac:dyDescent="0.25">
      <c r="C928" t="str">
        <f>IF(COUNTBLANK(E928:J928) = 6,"",IF(AND(NOT(ISBLANK(E928)),COUNTBLANK(E928:J928) = 5),"3 Delete",IF(ISBLANK(E928),"2 Add",IF(SHA1Range(E928:J928) = "4e0d5ed779e4621c58f5dfb6a4571acca0c4c13e","0 Original","1 Modify"))))</f>
        <v>0 Original</v>
      </c>
      <c r="D928" s="5" t="s">
        <v>1887</v>
      </c>
      <c r="E928" s="3">
        <v>1474</v>
      </c>
      <c r="F928" s="13">
        <v>42068</v>
      </c>
      <c r="G928" t="s">
        <v>182</v>
      </c>
      <c r="H928" s="9">
        <v>22.97</v>
      </c>
      <c r="I928" s="5" t="s">
        <v>68</v>
      </c>
      <c r="J928" s="15">
        <v>42068.851377314815</v>
      </c>
      <c r="K928" t="str">
        <f t="shared" si="14"/>
        <v>03-2015</v>
      </c>
    </row>
    <row r="929" spans="3:11" x14ac:dyDescent="0.25">
      <c r="C929" t="str">
        <f>IF(COUNTBLANK(E929:J929) = 6,"",IF(AND(NOT(ISBLANK(E929)),COUNTBLANK(E929:J929) = 5),"3 Delete",IF(ISBLANK(E929),"2 Add",IF(SHA1Range(E929:J929) = "3d874db1c6292f50a6e0f1c5dbdb0a7d0fe23aaa","0 Original","1 Modify"))))</f>
        <v>0 Original</v>
      </c>
      <c r="D929" s="5" t="s">
        <v>1888</v>
      </c>
      <c r="E929" s="3">
        <v>1121</v>
      </c>
      <c r="F929" s="13">
        <v>42068</v>
      </c>
      <c r="G929" t="s">
        <v>260</v>
      </c>
      <c r="H929" s="9">
        <v>19.98</v>
      </c>
      <c r="I929" s="5" t="s">
        <v>68</v>
      </c>
      <c r="J929" s="15">
        <v>42068.868136574078</v>
      </c>
      <c r="K929" t="str">
        <f t="shared" si="14"/>
        <v>03-2015</v>
      </c>
    </row>
    <row r="930" spans="3:11" x14ac:dyDescent="0.25">
      <c r="C930" t="str">
        <f>IF(COUNTBLANK(E930:J930) = 6,"",IF(AND(NOT(ISBLANK(E930)),COUNTBLANK(E930:J930) = 5),"3 Delete",IF(ISBLANK(E930),"2 Add",IF(SHA1Range(E930:J930) = "4e2be5b758acad7fb71b18e423b5f61d6aee7bd2","0 Original","1 Modify"))))</f>
        <v>0 Original</v>
      </c>
      <c r="D930" s="5" t="s">
        <v>1889</v>
      </c>
      <c r="E930" s="3">
        <v>464</v>
      </c>
      <c r="F930" s="13">
        <v>42068</v>
      </c>
      <c r="G930" t="s">
        <v>212</v>
      </c>
      <c r="H930" s="9">
        <v>22.97</v>
      </c>
      <c r="I930" s="5" t="s">
        <v>68</v>
      </c>
      <c r="J930" s="15">
        <v>42068.875844907408</v>
      </c>
      <c r="K930" t="str">
        <f t="shared" si="14"/>
        <v>03-2015</v>
      </c>
    </row>
    <row r="931" spans="3:11" x14ac:dyDescent="0.25">
      <c r="C931" t="str">
        <f>IF(COUNTBLANK(E931:J931) = 6,"",IF(AND(NOT(ISBLANK(E931)),COUNTBLANK(E931:J931) = 5),"3 Delete",IF(ISBLANK(E931),"2 Add",IF(SHA1Range(E931:J931) = "ee49fd0e729164ae59ae85ea17ad7df9683c51bf","0 Original","1 Modify"))))</f>
        <v>0 Original</v>
      </c>
      <c r="D931" s="5" t="s">
        <v>1890</v>
      </c>
      <c r="E931" s="3">
        <v>662</v>
      </c>
      <c r="F931" s="13">
        <v>42068</v>
      </c>
      <c r="G931" t="s">
        <v>218</v>
      </c>
      <c r="H931" s="9">
        <v>5.99</v>
      </c>
      <c r="I931" s="5" t="s">
        <v>68</v>
      </c>
      <c r="J931" s="15">
        <v>42068.881793981483</v>
      </c>
      <c r="K931" t="str">
        <f t="shared" si="14"/>
        <v>03-2015</v>
      </c>
    </row>
    <row r="932" spans="3:11" x14ac:dyDescent="0.25">
      <c r="C932" t="str">
        <f>IF(COUNTBLANK(E932:J932) = 6,"",IF(AND(NOT(ISBLANK(E932)),COUNTBLANK(E932:J932) = 5),"3 Delete",IF(ISBLANK(E932),"2 Add",IF(SHA1Range(E932:J932) = "e706f25aa61bd166f2f26e5e266a433b39062f0c","0 Original","1 Modify"))))</f>
        <v>0 Original</v>
      </c>
      <c r="D932" s="5" t="s">
        <v>1891</v>
      </c>
      <c r="E932" s="3">
        <v>333</v>
      </c>
      <c r="F932" s="13">
        <v>42068</v>
      </c>
      <c r="G932" t="s">
        <v>354</v>
      </c>
      <c r="H932" s="9">
        <v>44.95</v>
      </c>
      <c r="I932" s="5" t="s">
        <v>68</v>
      </c>
      <c r="J932" s="15">
        <v>42068.931307870371</v>
      </c>
      <c r="K932" t="str">
        <f t="shared" si="14"/>
        <v>03-2015</v>
      </c>
    </row>
    <row r="933" spans="3:11" x14ac:dyDescent="0.25">
      <c r="C933" t="str">
        <f>IF(COUNTBLANK(E933:J933) = 6,"",IF(AND(NOT(ISBLANK(E933)),COUNTBLANK(E933:J933) = 5),"3 Delete",IF(ISBLANK(E933),"2 Add",IF(SHA1Range(E933:J933) = "1e848b3177f6082812a27ecda7c2b7ab0c8e5946","0 Original","1 Modify"))))</f>
        <v>0 Original</v>
      </c>
      <c r="D933" s="5" t="s">
        <v>1892</v>
      </c>
      <c r="E933" s="3">
        <v>1005</v>
      </c>
      <c r="F933" s="13">
        <v>42069</v>
      </c>
      <c r="G933" t="s">
        <v>302</v>
      </c>
      <c r="H933" s="9">
        <v>14.98</v>
      </c>
      <c r="I933" s="5" t="s">
        <v>68</v>
      </c>
      <c r="J933" s="15">
        <v>42069.064872685187</v>
      </c>
      <c r="K933" t="str">
        <f t="shared" si="14"/>
        <v>03-2015</v>
      </c>
    </row>
    <row r="934" spans="3:11" x14ac:dyDescent="0.25">
      <c r="C934" t="str">
        <f>IF(COUNTBLANK(E934:J934) = 6,"",IF(AND(NOT(ISBLANK(E934)),COUNTBLANK(E934:J934) = 5),"3 Delete",IF(ISBLANK(E934),"2 Add",IF(SHA1Range(E934:J934) = "112942517c10dbfec57c54c56a57106ac8eeb5ad","0 Original","1 Modify"))))</f>
        <v>0 Original</v>
      </c>
      <c r="D934" s="5" t="s">
        <v>1893</v>
      </c>
      <c r="E934" s="3">
        <v>416</v>
      </c>
      <c r="F934" s="13">
        <v>42069</v>
      </c>
      <c r="G934" t="s">
        <v>341</v>
      </c>
      <c r="H934" s="9">
        <v>16.98</v>
      </c>
      <c r="I934" s="5" t="s">
        <v>68</v>
      </c>
      <c r="J934" s="15">
        <v>42069.103993055556</v>
      </c>
      <c r="K934" t="str">
        <f t="shared" si="14"/>
        <v>03-2015</v>
      </c>
    </row>
    <row r="935" spans="3:11" x14ac:dyDescent="0.25">
      <c r="C935" t="str">
        <f>IF(COUNTBLANK(E935:J935) = 6,"",IF(AND(NOT(ISBLANK(E935)),COUNTBLANK(E935:J935) = 5),"3 Delete",IF(ISBLANK(E935),"2 Add",IF(SHA1Range(E935:J935) = "fc43a795fce3f008caad764fea27d3b6384476c5","0 Original","1 Modify"))))</f>
        <v>0 Original</v>
      </c>
      <c r="D935" s="5" t="s">
        <v>1894</v>
      </c>
      <c r="E935" s="3">
        <v>618</v>
      </c>
      <c r="F935" s="13">
        <v>42069</v>
      </c>
      <c r="G935" t="s">
        <v>128</v>
      </c>
      <c r="H935" s="9">
        <v>76.91</v>
      </c>
      <c r="I935" s="5" t="s">
        <v>68</v>
      </c>
      <c r="J935" s="15">
        <v>42069.115833333337</v>
      </c>
      <c r="K935" t="str">
        <f t="shared" si="14"/>
        <v>03-2015</v>
      </c>
    </row>
    <row r="936" spans="3:11" x14ac:dyDescent="0.25">
      <c r="C936" t="str">
        <f>IF(COUNTBLANK(E936:J936) = 6,"",IF(AND(NOT(ISBLANK(E936)),COUNTBLANK(E936:J936) = 5),"3 Delete",IF(ISBLANK(E936),"2 Add",IF(SHA1Range(E936:J936) = "12bfeb8cd706d45f56b4e163ad1e21bb58c26290","0 Original","1 Modify"))))</f>
        <v>0 Original</v>
      </c>
      <c r="D936" s="5" t="s">
        <v>1895</v>
      </c>
      <c r="E936" s="3">
        <v>1298</v>
      </c>
      <c r="F936" s="13">
        <v>42069</v>
      </c>
      <c r="G936" t="s">
        <v>275</v>
      </c>
      <c r="H936" s="9">
        <v>36.950000000000003</v>
      </c>
      <c r="I936" s="5" t="s">
        <v>68</v>
      </c>
      <c r="J936" s="15">
        <v>42069.195972222224</v>
      </c>
      <c r="K936" t="str">
        <f t="shared" si="14"/>
        <v>03-2015</v>
      </c>
    </row>
    <row r="937" spans="3:11" x14ac:dyDescent="0.25">
      <c r="C937" t="str">
        <f>IF(COUNTBLANK(E937:J937) = 6,"",IF(AND(NOT(ISBLANK(E937)),COUNTBLANK(E937:J937) = 5),"3 Delete",IF(ISBLANK(E937),"2 Add",IF(SHA1Range(E937:J937) = "65f9330d64cd0b514447c44058a38e3b5fea32e8","0 Original","1 Modify"))))</f>
        <v>0 Original</v>
      </c>
      <c r="D937" s="5" t="s">
        <v>1896</v>
      </c>
      <c r="E937" s="3">
        <v>886</v>
      </c>
      <c r="F937" s="13">
        <v>42069</v>
      </c>
      <c r="G937" t="s">
        <v>326</v>
      </c>
      <c r="H937" s="9">
        <v>23.97</v>
      </c>
      <c r="I937" s="5" t="s">
        <v>68</v>
      </c>
      <c r="J937" s="15">
        <v>42069.414652777778</v>
      </c>
      <c r="K937" t="str">
        <f t="shared" si="14"/>
        <v>03-2015</v>
      </c>
    </row>
    <row r="938" spans="3:11" x14ac:dyDescent="0.25">
      <c r="C938" t="str">
        <f>IF(COUNTBLANK(E938:J938) = 6,"",IF(AND(NOT(ISBLANK(E938)),COUNTBLANK(E938:J938) = 5),"3 Delete",IF(ISBLANK(E938),"2 Add",IF(SHA1Range(E938:J938) = "659d5d1e1af96172410791a025a841b86406a9b8","0 Original","1 Modify"))))</f>
        <v>0 Original</v>
      </c>
      <c r="D938" s="5" t="s">
        <v>1897</v>
      </c>
      <c r="E938" s="3">
        <v>1242</v>
      </c>
      <c r="F938" s="13">
        <v>42069</v>
      </c>
      <c r="G938" t="s">
        <v>311</v>
      </c>
      <c r="H938" s="9">
        <v>39.96</v>
      </c>
      <c r="I938" s="5" t="s">
        <v>68</v>
      </c>
      <c r="J938" s="15">
        <v>42069.564965277779</v>
      </c>
      <c r="K938" t="str">
        <f t="shared" si="14"/>
        <v>03-2015</v>
      </c>
    </row>
    <row r="939" spans="3:11" x14ac:dyDescent="0.25">
      <c r="C939" t="str">
        <f>IF(COUNTBLANK(E939:J939) = 6,"",IF(AND(NOT(ISBLANK(E939)),COUNTBLANK(E939:J939) = 5),"3 Delete",IF(ISBLANK(E939),"2 Add",IF(SHA1Range(E939:J939) = "40c645d64fee13dd0cd1cf8c61b37a5752211552","0 Original","1 Modify"))))</f>
        <v>0 Original</v>
      </c>
      <c r="D939" s="5" t="s">
        <v>1898</v>
      </c>
      <c r="E939" s="3">
        <v>458</v>
      </c>
      <c r="F939" s="13">
        <v>42069</v>
      </c>
      <c r="G939" t="s">
        <v>251</v>
      </c>
      <c r="H939" s="9">
        <v>39.950000000000003</v>
      </c>
      <c r="I939" s="5" t="s">
        <v>68</v>
      </c>
      <c r="J939" s="15">
        <v>42069.737881944442</v>
      </c>
      <c r="K939" t="str">
        <f t="shared" si="14"/>
        <v>03-2015</v>
      </c>
    </row>
    <row r="940" spans="3:11" x14ac:dyDescent="0.25">
      <c r="C940" t="str">
        <f>IF(COUNTBLANK(E940:J940) = 6,"",IF(AND(NOT(ISBLANK(E940)),COUNTBLANK(E940:J940) = 5),"3 Delete",IF(ISBLANK(E940),"2 Add",IF(SHA1Range(E940:J940) = "e7dd13972d9058c8f6fcfcdad0b2260de8f85e49","0 Original","1 Modify"))))</f>
        <v>0 Original</v>
      </c>
      <c r="D940" s="5" t="s">
        <v>1899</v>
      </c>
      <c r="E940" s="3">
        <v>1371</v>
      </c>
      <c r="F940" s="13">
        <v>42069</v>
      </c>
      <c r="G940" t="s">
        <v>296</v>
      </c>
      <c r="H940" s="9">
        <v>25.96</v>
      </c>
      <c r="I940" s="5" t="s">
        <v>68</v>
      </c>
      <c r="J940" s="15">
        <v>42069.896226851852</v>
      </c>
      <c r="K940" t="str">
        <f t="shared" si="14"/>
        <v>03-2015</v>
      </c>
    </row>
    <row r="941" spans="3:11" x14ac:dyDescent="0.25">
      <c r="C941" t="str">
        <f>IF(COUNTBLANK(E941:J941) = 6,"",IF(AND(NOT(ISBLANK(E941)),COUNTBLANK(E941:J941) = 5),"3 Delete",IF(ISBLANK(E941),"2 Add",IF(SHA1Range(E941:J941) = "a7da436d0928b304b0c9209b3ac6c5289ea8b20c","0 Original","1 Modify"))))</f>
        <v>0 Original</v>
      </c>
      <c r="D941" s="5" t="s">
        <v>1900</v>
      </c>
      <c r="E941" s="3">
        <v>473</v>
      </c>
      <c r="F941" s="13">
        <v>42070</v>
      </c>
      <c r="G941" t="s">
        <v>248</v>
      </c>
      <c r="H941" s="9">
        <v>28.96</v>
      </c>
      <c r="I941" s="5" t="s">
        <v>68</v>
      </c>
      <c r="J941" s="15">
        <v>42070.013657407406</v>
      </c>
      <c r="K941" t="str">
        <f t="shared" si="14"/>
        <v>03-2015</v>
      </c>
    </row>
    <row r="942" spans="3:11" x14ac:dyDescent="0.25">
      <c r="C942" t="str">
        <f>IF(COUNTBLANK(E942:J942) = 6,"",IF(AND(NOT(ISBLANK(E942)),COUNTBLANK(E942:J942) = 5),"3 Delete",IF(ISBLANK(E942),"2 Add",IF(SHA1Range(E942:J942) = "180a02790508923a7933d3621722ad24a0f74b86","0 Original","1 Modify"))))</f>
        <v>0 Original</v>
      </c>
      <c r="D942" s="5" t="s">
        <v>1901</v>
      </c>
      <c r="E942" s="3">
        <v>1235</v>
      </c>
      <c r="F942" s="13">
        <v>42070</v>
      </c>
      <c r="G942" t="s">
        <v>212</v>
      </c>
      <c r="H942" s="9">
        <v>6.99</v>
      </c>
      <c r="I942" s="5" t="s">
        <v>68</v>
      </c>
      <c r="J942" s="15">
        <v>42070.015046296299</v>
      </c>
      <c r="K942" t="str">
        <f t="shared" si="14"/>
        <v>03-2015</v>
      </c>
    </row>
    <row r="943" spans="3:11" x14ac:dyDescent="0.25">
      <c r="C943" t="str">
        <f>IF(COUNTBLANK(E943:J943) = 6,"",IF(AND(NOT(ISBLANK(E943)),COUNTBLANK(E943:J943) = 5),"3 Delete",IF(ISBLANK(E943),"2 Add",IF(SHA1Range(E943:J943) = "8728bca8fba73feb07201ad44d904e12110ef472","0 Original","1 Modify"))))</f>
        <v>0 Original</v>
      </c>
      <c r="D943" s="5" t="s">
        <v>1902</v>
      </c>
      <c r="E943" s="3">
        <v>968</v>
      </c>
      <c r="F943" s="13">
        <v>42070</v>
      </c>
      <c r="G943" t="s">
        <v>272</v>
      </c>
      <c r="H943" s="9">
        <v>56.93</v>
      </c>
      <c r="I943" s="5" t="s">
        <v>68</v>
      </c>
      <c r="J943" s="15">
        <v>42070.395474537036</v>
      </c>
      <c r="K943" t="str">
        <f t="shared" si="14"/>
        <v>03-2015</v>
      </c>
    </row>
    <row r="944" spans="3:11" x14ac:dyDescent="0.25">
      <c r="C944" t="str">
        <f>IF(COUNTBLANK(E944:J944) = 6,"",IF(AND(NOT(ISBLANK(E944)),COUNTBLANK(E944:J944) = 5),"3 Delete",IF(ISBLANK(E944),"2 Add",IF(SHA1Range(E944:J944) = "bf9d43383cfef2293167fd4f3266b389fd0b10ca","0 Original","1 Modify"))))</f>
        <v>0 Original</v>
      </c>
      <c r="D944" s="5" t="s">
        <v>1903</v>
      </c>
      <c r="E944" s="3">
        <v>39</v>
      </c>
      <c r="F944" s="13">
        <v>42070</v>
      </c>
      <c r="G944" t="s">
        <v>257</v>
      </c>
      <c r="H944" s="9">
        <v>60.93</v>
      </c>
      <c r="I944" s="5" t="s">
        <v>68</v>
      </c>
      <c r="J944" s="15">
        <v>42070.447534722225</v>
      </c>
      <c r="K944" t="str">
        <f t="shared" si="14"/>
        <v>03-2015</v>
      </c>
    </row>
    <row r="945" spans="3:11" x14ac:dyDescent="0.25">
      <c r="C945" t="str">
        <f>IF(COUNTBLANK(E945:J945) = 6,"",IF(AND(NOT(ISBLANK(E945)),COUNTBLANK(E945:J945) = 5),"3 Delete",IF(ISBLANK(E945),"2 Add",IF(SHA1Range(E945:J945) = "edb0fcb97bd4663c199e20bd396b3b1b91415d7a","0 Original","1 Modify"))))</f>
        <v>0 Original</v>
      </c>
      <c r="D945" s="5" t="s">
        <v>1904</v>
      </c>
      <c r="E945" s="3">
        <v>1386</v>
      </c>
      <c r="F945" s="13">
        <v>42070</v>
      </c>
      <c r="G945" t="s">
        <v>257</v>
      </c>
      <c r="H945" s="9">
        <v>52.93</v>
      </c>
      <c r="I945" s="5" t="s">
        <v>68</v>
      </c>
      <c r="J945" s="15">
        <v>42070.53224537037</v>
      </c>
      <c r="K945" t="str">
        <f t="shared" si="14"/>
        <v>03-2015</v>
      </c>
    </row>
    <row r="946" spans="3:11" x14ac:dyDescent="0.25">
      <c r="C946" t="str">
        <f>IF(COUNTBLANK(E946:J946) = 6,"",IF(AND(NOT(ISBLANK(E946)),COUNTBLANK(E946:J946) = 5),"3 Delete",IF(ISBLANK(E946),"2 Add",IF(SHA1Range(E946:J946) = "e7b7733e458b96fb64f20ce74a2f18b35f8ffbdc","0 Original","1 Modify"))))</f>
        <v>0 Original</v>
      </c>
      <c r="D946" s="5" t="s">
        <v>1905</v>
      </c>
      <c r="E946" s="3">
        <v>578</v>
      </c>
      <c r="F946" s="13">
        <v>42070</v>
      </c>
      <c r="G946" t="s">
        <v>176</v>
      </c>
      <c r="H946" s="9">
        <v>29.96</v>
      </c>
      <c r="I946" s="5" t="s">
        <v>68</v>
      </c>
      <c r="J946" s="15">
        <v>42070.654166666667</v>
      </c>
      <c r="K946" t="str">
        <f t="shared" si="14"/>
        <v>03-2015</v>
      </c>
    </row>
    <row r="947" spans="3:11" x14ac:dyDescent="0.25">
      <c r="C947" t="str">
        <f>IF(COUNTBLANK(E947:J947) = 6,"",IF(AND(NOT(ISBLANK(E947)),COUNTBLANK(E947:J947) = 5),"3 Delete",IF(ISBLANK(E947),"2 Add",IF(SHA1Range(E947:J947) = "0797d35fbdb820e033aaddf1b53499cd2f63750a","0 Original","1 Modify"))))</f>
        <v>0 Original</v>
      </c>
      <c r="D947" s="5" t="s">
        <v>1906</v>
      </c>
      <c r="E947" s="3">
        <v>1490</v>
      </c>
      <c r="F947" s="13">
        <v>42070</v>
      </c>
      <c r="G947" t="s">
        <v>188</v>
      </c>
      <c r="H947" s="9">
        <v>61.92</v>
      </c>
      <c r="I947" s="5" t="s">
        <v>68</v>
      </c>
      <c r="J947" s="15">
        <v>42070.6565625</v>
      </c>
      <c r="K947" t="str">
        <f t="shared" si="14"/>
        <v>03-2015</v>
      </c>
    </row>
    <row r="948" spans="3:11" x14ac:dyDescent="0.25">
      <c r="C948" t="str">
        <f>IF(COUNTBLANK(E948:J948) = 6,"",IF(AND(NOT(ISBLANK(E948)),COUNTBLANK(E948:J948) = 5),"3 Delete",IF(ISBLANK(E948),"2 Add",IF(SHA1Range(E948:J948) = "78bee261c376003a1da5aa11d99eef3acc7fd7fd","0 Original","1 Modify"))))</f>
        <v>0 Original</v>
      </c>
      <c r="D948" s="5" t="s">
        <v>1907</v>
      </c>
      <c r="E948" s="3">
        <v>1366</v>
      </c>
      <c r="F948" s="13">
        <v>42071</v>
      </c>
      <c r="G948" t="s">
        <v>344</v>
      </c>
      <c r="H948" s="9">
        <v>42.95</v>
      </c>
      <c r="I948" s="5" t="s">
        <v>68</v>
      </c>
      <c r="J948" s="15">
        <v>42071.240590277775</v>
      </c>
      <c r="K948" t="str">
        <f t="shared" si="14"/>
        <v>03-2015</v>
      </c>
    </row>
    <row r="949" spans="3:11" x14ac:dyDescent="0.25">
      <c r="C949" t="str">
        <f>IF(COUNTBLANK(E949:J949) = 6,"",IF(AND(NOT(ISBLANK(E949)),COUNTBLANK(E949:J949) = 5),"3 Delete",IF(ISBLANK(E949),"2 Add",IF(SHA1Range(E949:J949) = "f3ea7230bf0d65061cd743d985ee4198e3d4b2a4","0 Original","1 Modify"))))</f>
        <v>0 Original</v>
      </c>
      <c r="D949" s="5" t="s">
        <v>1908</v>
      </c>
      <c r="E949" s="3">
        <v>131</v>
      </c>
      <c r="F949" s="13">
        <v>42071</v>
      </c>
      <c r="G949" t="s">
        <v>143</v>
      </c>
      <c r="H949" s="9">
        <v>11.98</v>
      </c>
      <c r="I949" s="5" t="s">
        <v>68</v>
      </c>
      <c r="J949" s="15">
        <v>42071.391238425924</v>
      </c>
      <c r="K949" t="str">
        <f t="shared" si="14"/>
        <v>03-2015</v>
      </c>
    </row>
    <row r="950" spans="3:11" x14ac:dyDescent="0.25">
      <c r="C950" t="str">
        <f>IF(COUNTBLANK(E950:J950) = 6,"",IF(AND(NOT(ISBLANK(E950)),COUNTBLANK(E950:J950) = 5),"3 Delete",IF(ISBLANK(E950),"2 Add",IF(SHA1Range(E950:J950) = "09ce35f85bd7504fb1f8017131fd9e937062311d","0 Original","1 Modify"))))</f>
        <v>0 Original</v>
      </c>
      <c r="D950" s="5" t="s">
        <v>1909</v>
      </c>
      <c r="E950" s="3">
        <v>1234</v>
      </c>
      <c r="F950" s="13">
        <v>42071</v>
      </c>
      <c r="G950" t="s">
        <v>188</v>
      </c>
      <c r="H950" s="9">
        <v>27.96</v>
      </c>
      <c r="I950" s="5" t="s">
        <v>68</v>
      </c>
      <c r="J950" s="15">
        <v>42071.446712962963</v>
      </c>
      <c r="K950" t="str">
        <f t="shared" si="14"/>
        <v>03-2015</v>
      </c>
    </row>
    <row r="951" spans="3:11" x14ac:dyDescent="0.25">
      <c r="C951" t="str">
        <f>IF(COUNTBLANK(E951:J951) = 6,"",IF(AND(NOT(ISBLANK(E951)),COUNTBLANK(E951:J951) = 5),"3 Delete",IF(ISBLANK(E951),"2 Add",IF(SHA1Range(E951:J951) = "ac9cdbe3e36c267cde39297872fda8b4bbd836d8","0 Original","1 Modify"))))</f>
        <v>0 Original</v>
      </c>
      <c r="D951" s="5" t="s">
        <v>1910</v>
      </c>
      <c r="E951" s="3">
        <v>410</v>
      </c>
      <c r="F951" s="13">
        <v>42071</v>
      </c>
      <c r="G951" t="s">
        <v>302</v>
      </c>
      <c r="H951" s="9">
        <v>20.97</v>
      </c>
      <c r="I951" s="5" t="s">
        <v>68</v>
      </c>
      <c r="J951" s="15">
        <v>42071.523402777777</v>
      </c>
      <c r="K951" t="str">
        <f t="shared" si="14"/>
        <v>03-2015</v>
      </c>
    </row>
    <row r="952" spans="3:11" x14ac:dyDescent="0.25">
      <c r="C952" t="str">
        <f>IF(COUNTBLANK(E952:J952) = 6,"",IF(AND(NOT(ISBLANK(E952)),COUNTBLANK(E952:J952) = 5),"3 Delete",IF(ISBLANK(E952),"2 Add",IF(SHA1Range(E952:J952) = "de3a241df6ae2bcebd9cd4308019b9d92ba325d9","0 Original","1 Modify"))))</f>
        <v>0 Original</v>
      </c>
      <c r="D952" s="5" t="s">
        <v>1911</v>
      </c>
      <c r="E952" s="3">
        <v>1071</v>
      </c>
      <c r="F952" s="13">
        <v>42071</v>
      </c>
      <c r="G952" t="s">
        <v>242</v>
      </c>
      <c r="H952" s="9">
        <v>21.97</v>
      </c>
      <c r="I952" s="5" t="s">
        <v>68</v>
      </c>
      <c r="J952" s="15">
        <v>42071.628194444442</v>
      </c>
      <c r="K952" t="str">
        <f t="shared" si="14"/>
        <v>03-2015</v>
      </c>
    </row>
    <row r="953" spans="3:11" x14ac:dyDescent="0.25">
      <c r="C953" t="str">
        <f>IF(COUNTBLANK(E953:J953) = 6,"",IF(AND(NOT(ISBLANK(E953)),COUNTBLANK(E953:J953) = 5),"3 Delete",IF(ISBLANK(E953),"2 Add",IF(SHA1Range(E953:J953) = "3c952918fefc34b50b479c6423c7d5a26d4de659","0 Original","1 Modify"))))</f>
        <v>0 Original</v>
      </c>
      <c r="D953" s="5" t="s">
        <v>1912</v>
      </c>
      <c r="E953" s="3">
        <v>1447</v>
      </c>
      <c r="F953" s="13">
        <v>42071</v>
      </c>
      <c r="G953" t="s">
        <v>278</v>
      </c>
      <c r="H953" s="9">
        <v>5.99</v>
      </c>
      <c r="I953" s="5" t="s">
        <v>68</v>
      </c>
      <c r="J953" s="15">
        <v>42071.645532407405</v>
      </c>
      <c r="K953" t="str">
        <f t="shared" si="14"/>
        <v>03-2015</v>
      </c>
    </row>
    <row r="954" spans="3:11" x14ac:dyDescent="0.25">
      <c r="C954" t="str">
        <f>IF(COUNTBLANK(E954:J954) = 6,"",IF(AND(NOT(ISBLANK(E954)),COUNTBLANK(E954:J954) = 5),"3 Delete",IF(ISBLANK(E954),"2 Add",IF(SHA1Range(E954:J954) = "7cf56296e46a5f4f9a4c3dab6833261fefdb90ab","0 Original","1 Modify"))))</f>
        <v>0 Original</v>
      </c>
      <c r="D954" s="5" t="s">
        <v>1913</v>
      </c>
      <c r="E954" s="3">
        <v>270</v>
      </c>
      <c r="F954" s="13">
        <v>42071</v>
      </c>
      <c r="G954" t="s">
        <v>149</v>
      </c>
      <c r="H954" s="9">
        <v>27.96</v>
      </c>
      <c r="I954" s="5" t="s">
        <v>68</v>
      </c>
      <c r="J954" s="15">
        <v>42071.64644675926</v>
      </c>
      <c r="K954" t="str">
        <f t="shared" si="14"/>
        <v>03-2015</v>
      </c>
    </row>
    <row r="955" spans="3:11" x14ac:dyDescent="0.25">
      <c r="C955" t="str">
        <f>IF(COUNTBLANK(E955:J955) = 6,"",IF(AND(NOT(ISBLANK(E955)),COUNTBLANK(E955:J955) = 5),"3 Delete",IF(ISBLANK(E955),"2 Add",IF(SHA1Range(E955:J955) = "37da9b74db9ad2170753828792923f6c493eef1b","0 Original","1 Modify"))))</f>
        <v>0 Original</v>
      </c>
      <c r="D955" s="5" t="s">
        <v>1914</v>
      </c>
      <c r="E955" s="3">
        <v>1369</v>
      </c>
      <c r="F955" s="13">
        <v>42071</v>
      </c>
      <c r="G955" t="s">
        <v>353</v>
      </c>
      <c r="H955" s="9">
        <v>39.950000000000003</v>
      </c>
      <c r="I955" s="5" t="s">
        <v>68</v>
      </c>
      <c r="J955" s="15">
        <v>42071.650138888886</v>
      </c>
      <c r="K955" t="str">
        <f t="shared" si="14"/>
        <v>03-2015</v>
      </c>
    </row>
    <row r="956" spans="3:11" x14ac:dyDescent="0.25">
      <c r="C956" t="str">
        <f>IF(COUNTBLANK(E956:J956) = 6,"",IF(AND(NOT(ISBLANK(E956)),COUNTBLANK(E956:J956) = 5),"3 Delete",IF(ISBLANK(E956),"2 Add",IF(SHA1Range(E956:J956) = "7beeadfac78907e969ad7d70e7bf2f03a0cf7800","0 Original","1 Modify"))))</f>
        <v>0 Original</v>
      </c>
      <c r="D956" s="5" t="s">
        <v>1915</v>
      </c>
      <c r="E956" s="3">
        <v>582</v>
      </c>
      <c r="F956" s="13">
        <v>42071</v>
      </c>
      <c r="G956" t="s">
        <v>203</v>
      </c>
      <c r="H956" s="9">
        <v>67.92</v>
      </c>
      <c r="I956" s="5" t="s">
        <v>68</v>
      </c>
      <c r="J956" s="15">
        <v>42071.88585648148</v>
      </c>
      <c r="K956" t="str">
        <f t="shared" si="14"/>
        <v>03-2015</v>
      </c>
    </row>
    <row r="957" spans="3:11" x14ac:dyDescent="0.25">
      <c r="C957" t="str">
        <f>IF(COUNTBLANK(E957:J957) = 6,"",IF(AND(NOT(ISBLANK(E957)),COUNTBLANK(E957:J957) = 5),"3 Delete",IF(ISBLANK(E957),"2 Add",IF(SHA1Range(E957:J957) = "99bb9600cc9e881c1302fe88b3a5ad7787d611cf","0 Original","1 Modify"))))</f>
        <v>0 Original</v>
      </c>
      <c r="D957" s="5" t="s">
        <v>1916</v>
      </c>
      <c r="E957" s="3">
        <v>1381</v>
      </c>
      <c r="F957" s="13">
        <v>42071</v>
      </c>
      <c r="G957" t="s">
        <v>128</v>
      </c>
      <c r="H957" s="9">
        <v>22.97</v>
      </c>
      <c r="I957" s="5" t="s">
        <v>68</v>
      </c>
      <c r="J957" s="15">
        <v>42071.933958333335</v>
      </c>
      <c r="K957" t="str">
        <f t="shared" si="14"/>
        <v>03-2015</v>
      </c>
    </row>
    <row r="958" spans="3:11" x14ac:dyDescent="0.25">
      <c r="C958" t="str">
        <f>IF(COUNTBLANK(E958:J958) = 6,"",IF(AND(NOT(ISBLANK(E958)),COUNTBLANK(E958:J958) = 5),"3 Delete",IF(ISBLANK(E958),"2 Add",IF(SHA1Range(E958:J958) = "56d856d73d49d3e0fe33d84373fb526e99cbbc6b","0 Original","1 Modify"))))</f>
        <v>0 Original</v>
      </c>
      <c r="D958" s="5" t="s">
        <v>1917</v>
      </c>
      <c r="E958" s="3">
        <v>1279</v>
      </c>
      <c r="F958" s="13">
        <v>42072</v>
      </c>
      <c r="G958" t="s">
        <v>305</v>
      </c>
      <c r="H958" s="9">
        <v>28.95</v>
      </c>
      <c r="I958" s="5" t="s">
        <v>68</v>
      </c>
      <c r="J958" s="15">
        <v>42072.343495370369</v>
      </c>
      <c r="K958" t="str">
        <f t="shared" si="14"/>
        <v>03-2015</v>
      </c>
    </row>
    <row r="959" spans="3:11" x14ac:dyDescent="0.25">
      <c r="C959" t="str">
        <f>IF(COUNTBLANK(E959:J959) = 6,"",IF(AND(NOT(ISBLANK(E959)),COUNTBLANK(E959:J959) = 5),"3 Delete",IF(ISBLANK(E959),"2 Add",IF(SHA1Range(E959:J959) = "c1ec679296af8d1b347d6bbb9e280ba69b82a194","0 Original","1 Modify"))))</f>
        <v>0 Original</v>
      </c>
      <c r="D959" s="5" t="s">
        <v>1918</v>
      </c>
      <c r="E959" s="3">
        <v>1379</v>
      </c>
      <c r="F959" s="13">
        <v>42072</v>
      </c>
      <c r="G959" t="s">
        <v>73</v>
      </c>
      <c r="H959" s="9">
        <v>14.98</v>
      </c>
      <c r="I959" s="5" t="s">
        <v>68</v>
      </c>
      <c r="J959" s="15">
        <v>42072.488298611112</v>
      </c>
      <c r="K959" t="str">
        <f t="shared" si="14"/>
        <v>03-2015</v>
      </c>
    </row>
    <row r="960" spans="3:11" x14ac:dyDescent="0.25">
      <c r="C960" t="str">
        <f>IF(COUNTBLANK(E960:J960) = 6,"",IF(AND(NOT(ISBLANK(E960)),COUNTBLANK(E960:J960) = 5),"3 Delete",IF(ISBLANK(E960),"2 Add",IF(SHA1Range(E960:J960) = "a6280bd276679b66c2333f65abc73e8d85b14bf2","0 Original","1 Modify"))))</f>
        <v>0 Original</v>
      </c>
      <c r="D960" s="5" t="s">
        <v>1919</v>
      </c>
      <c r="E960" s="3">
        <v>1334</v>
      </c>
      <c r="F960" s="13">
        <v>42072</v>
      </c>
      <c r="G960" t="s">
        <v>212</v>
      </c>
      <c r="H960" s="9">
        <v>98.87</v>
      </c>
      <c r="I960" s="5" t="s">
        <v>68</v>
      </c>
      <c r="J960" s="15">
        <v>42072.503032407411</v>
      </c>
      <c r="K960" t="str">
        <f t="shared" si="14"/>
        <v>03-2015</v>
      </c>
    </row>
    <row r="961" spans="3:11" x14ac:dyDescent="0.25">
      <c r="C961" t="str">
        <f>IF(COUNTBLANK(E961:J961) = 6,"",IF(AND(NOT(ISBLANK(E961)),COUNTBLANK(E961:J961) = 5),"3 Delete",IF(ISBLANK(E961),"2 Add",IF(SHA1Range(E961:J961) = "3a8840ad4872d79733b7b8fea6312841fddf7bd2","0 Original","1 Modify"))))</f>
        <v>0 Original</v>
      </c>
      <c r="D961" s="5" t="s">
        <v>1920</v>
      </c>
      <c r="E961" s="3">
        <v>486</v>
      </c>
      <c r="F961" s="13">
        <v>42072</v>
      </c>
      <c r="G961" t="s">
        <v>248</v>
      </c>
      <c r="H961" s="9">
        <v>22.97</v>
      </c>
      <c r="I961" s="5" t="s">
        <v>68</v>
      </c>
      <c r="J961" s="15">
        <v>42072.861319444448</v>
      </c>
      <c r="K961" t="str">
        <f t="shared" si="14"/>
        <v>03-2015</v>
      </c>
    </row>
    <row r="962" spans="3:11" x14ac:dyDescent="0.25">
      <c r="C962" t="str">
        <f>IF(COUNTBLANK(E962:J962) = 6,"",IF(AND(NOT(ISBLANK(E962)),COUNTBLANK(E962:J962) = 5),"3 Delete",IF(ISBLANK(E962),"2 Add",IF(SHA1Range(E962:J962) = "7115a2637a698613c1ca7424592702bd444b0300","0 Original","1 Modify"))))</f>
        <v>0 Original</v>
      </c>
      <c r="D962" s="5" t="s">
        <v>1921</v>
      </c>
      <c r="E962" s="3">
        <v>1392</v>
      </c>
      <c r="F962" s="13">
        <v>42074</v>
      </c>
      <c r="G962" t="s">
        <v>317</v>
      </c>
      <c r="H962" s="9">
        <v>43.93</v>
      </c>
      <c r="I962" s="5" t="s">
        <v>68</v>
      </c>
      <c r="J962" s="15">
        <v>42074.430995370371</v>
      </c>
      <c r="K962" t="str">
        <f t="shared" si="14"/>
        <v>03-2015</v>
      </c>
    </row>
    <row r="963" spans="3:11" x14ac:dyDescent="0.25">
      <c r="C963" t="str">
        <f>IF(COUNTBLANK(E963:J963) = 6,"",IF(AND(NOT(ISBLANK(E963)),COUNTBLANK(E963:J963) = 5),"3 Delete",IF(ISBLANK(E963),"2 Add",IF(SHA1Range(E963:J963) = "99d1dfbc2db4f2e0ee0d2ba8e0e6d36c323d6ae0","0 Original","1 Modify"))))</f>
        <v>0 Original</v>
      </c>
      <c r="D963" s="5" t="s">
        <v>1922</v>
      </c>
      <c r="E963" s="3">
        <v>501</v>
      </c>
      <c r="F963" s="13">
        <v>42074</v>
      </c>
      <c r="G963" t="s">
        <v>164</v>
      </c>
      <c r="H963" s="9">
        <v>11.98</v>
      </c>
      <c r="I963" s="5" t="s">
        <v>68</v>
      </c>
      <c r="J963" s="15">
        <v>42074.658136574071</v>
      </c>
      <c r="K963" t="str">
        <f t="shared" ref="K963:K1026" si="15">TEXT(F963,"mm-yyyy")</f>
        <v>03-2015</v>
      </c>
    </row>
    <row r="964" spans="3:11" x14ac:dyDescent="0.25">
      <c r="C964" t="str">
        <f>IF(COUNTBLANK(E964:J964) = 6,"",IF(AND(NOT(ISBLANK(E964)),COUNTBLANK(E964:J964) = 5),"3 Delete",IF(ISBLANK(E964),"2 Add",IF(SHA1Range(E964:J964) = "b669cb59a2f368b0efee31055d2edb7622632af5","0 Original","1 Modify"))))</f>
        <v>0 Original</v>
      </c>
      <c r="D964" s="5" t="s">
        <v>1923</v>
      </c>
      <c r="E964" s="3">
        <v>1315</v>
      </c>
      <c r="F964" s="13">
        <v>42074</v>
      </c>
      <c r="G964" t="s">
        <v>92</v>
      </c>
      <c r="H964" s="9">
        <v>4.99</v>
      </c>
      <c r="I964" s="5" t="s">
        <v>68</v>
      </c>
      <c r="J964" s="15">
        <v>42074.74790509259</v>
      </c>
      <c r="K964" t="str">
        <f t="shared" si="15"/>
        <v>03-2015</v>
      </c>
    </row>
    <row r="965" spans="3:11" x14ac:dyDescent="0.25">
      <c r="C965" t="str">
        <f>IF(COUNTBLANK(E965:J965) = 6,"",IF(AND(NOT(ISBLANK(E965)),COUNTBLANK(E965:J965) = 5),"3 Delete",IF(ISBLANK(E965),"2 Add",IF(SHA1Range(E965:J965) = "709f5782e7f771fa3e9ea34236af6f4fa5c6cab2","0 Original","1 Modify"))))</f>
        <v>0 Original</v>
      </c>
      <c r="D965" s="5" t="s">
        <v>1924</v>
      </c>
      <c r="E965" s="3">
        <v>778</v>
      </c>
      <c r="F965" s="13">
        <v>42074</v>
      </c>
      <c r="G965" t="s">
        <v>221</v>
      </c>
      <c r="H965" s="9">
        <v>9.98</v>
      </c>
      <c r="I965" s="5" t="s">
        <v>68</v>
      </c>
      <c r="J965" s="15">
        <v>42074.940266203703</v>
      </c>
      <c r="K965" t="str">
        <f t="shared" si="15"/>
        <v>03-2015</v>
      </c>
    </row>
    <row r="966" spans="3:11" x14ac:dyDescent="0.25">
      <c r="C966" t="str">
        <f>IF(COUNTBLANK(E966:J966) = 6,"",IF(AND(NOT(ISBLANK(E966)),COUNTBLANK(E966:J966) = 5),"3 Delete",IF(ISBLANK(E966),"2 Add",IF(SHA1Range(E966:J966) = "7b8e7395736796828a83795df959288829e9673d","0 Original","1 Modify"))))</f>
        <v>0 Original</v>
      </c>
      <c r="D966" s="5" t="s">
        <v>1925</v>
      </c>
      <c r="E966" s="3">
        <v>1278</v>
      </c>
      <c r="F966" s="13">
        <v>42074</v>
      </c>
      <c r="G966" t="s">
        <v>305</v>
      </c>
      <c r="H966" s="9">
        <v>49.93</v>
      </c>
      <c r="I966" s="5" t="s">
        <v>68</v>
      </c>
      <c r="J966" s="15">
        <v>42074.954652777778</v>
      </c>
      <c r="K966" t="str">
        <f t="shared" si="15"/>
        <v>03-2015</v>
      </c>
    </row>
    <row r="967" spans="3:11" x14ac:dyDescent="0.25">
      <c r="C967" t="str">
        <f>IF(COUNTBLANK(E967:J967) = 6,"",IF(AND(NOT(ISBLANK(E967)),COUNTBLANK(E967:J967) = 5),"3 Delete",IF(ISBLANK(E967),"2 Add",IF(SHA1Range(E967:J967) = "a2de69445d12ba503f03d0ae0009896aff04787d","0 Original","1 Modify"))))</f>
        <v>0 Original</v>
      </c>
      <c r="D967" s="5" t="s">
        <v>1926</v>
      </c>
      <c r="E967" s="3">
        <v>1307</v>
      </c>
      <c r="F967" s="13">
        <v>42075</v>
      </c>
      <c r="G967" t="s">
        <v>248</v>
      </c>
      <c r="H967" s="9">
        <v>34.950000000000003</v>
      </c>
      <c r="I967" s="5" t="s">
        <v>68</v>
      </c>
      <c r="J967" s="15">
        <v>42075.17627314815</v>
      </c>
      <c r="K967" t="str">
        <f t="shared" si="15"/>
        <v>03-2015</v>
      </c>
    </row>
    <row r="968" spans="3:11" x14ac:dyDescent="0.25">
      <c r="C968" t="str">
        <f>IF(COUNTBLANK(E968:J968) = 6,"",IF(AND(NOT(ISBLANK(E968)),COUNTBLANK(E968:J968) = 5),"3 Delete",IF(ISBLANK(E968),"2 Add",IF(SHA1Range(E968:J968) = "11f0306ee2a2646909820672185e8d0870ae3087","0 Original","1 Modify"))))</f>
        <v>0 Original</v>
      </c>
      <c r="D968" s="5" t="s">
        <v>1927</v>
      </c>
      <c r="E968" s="3">
        <v>1405</v>
      </c>
      <c r="F968" s="13">
        <v>42075</v>
      </c>
      <c r="G968" t="s">
        <v>257</v>
      </c>
      <c r="H968" s="9">
        <v>25.97</v>
      </c>
      <c r="I968" s="5" t="s">
        <v>68</v>
      </c>
      <c r="J968" s="15">
        <v>42075.21738425926</v>
      </c>
      <c r="K968" t="str">
        <f t="shared" si="15"/>
        <v>03-2015</v>
      </c>
    </row>
    <row r="969" spans="3:11" x14ac:dyDescent="0.25">
      <c r="C969" t="str">
        <f>IF(COUNTBLANK(E969:J969) = 6,"",IF(AND(NOT(ISBLANK(E969)),COUNTBLANK(E969:J969) = 5),"3 Delete",IF(ISBLANK(E969),"2 Add",IF(SHA1Range(E969:J969) = "64f8c6ed800501bedf37b3fffef6e7deda852da3","0 Original","1 Modify"))))</f>
        <v>0 Original</v>
      </c>
      <c r="D969" s="5" t="s">
        <v>1928</v>
      </c>
      <c r="E969" s="3">
        <v>274</v>
      </c>
      <c r="F969" s="13">
        <v>42075</v>
      </c>
      <c r="G969" t="s">
        <v>329</v>
      </c>
      <c r="H969" s="9">
        <v>79.900000000000006</v>
      </c>
      <c r="I969" s="5" t="s">
        <v>68</v>
      </c>
      <c r="J969" s="15">
        <v>42075.305543981478</v>
      </c>
      <c r="K969" t="str">
        <f t="shared" si="15"/>
        <v>03-2015</v>
      </c>
    </row>
    <row r="970" spans="3:11" x14ac:dyDescent="0.25">
      <c r="C970" t="str">
        <f>IF(COUNTBLANK(E970:J970) = 6,"",IF(AND(NOT(ISBLANK(E970)),COUNTBLANK(E970:J970) = 5),"3 Delete",IF(ISBLANK(E970),"2 Add",IF(SHA1Range(E970:J970) = "bd7e5b0760d085bff11179170c808548bdbca7a2","0 Original","1 Modify"))))</f>
        <v>0 Original</v>
      </c>
      <c r="D970" s="5" t="s">
        <v>1929</v>
      </c>
      <c r="E970" s="3">
        <v>1205</v>
      </c>
      <c r="F970" s="13">
        <v>42075</v>
      </c>
      <c r="G970" t="s">
        <v>65</v>
      </c>
      <c r="H970" s="9">
        <v>43.95</v>
      </c>
      <c r="I970" s="5" t="s">
        <v>68</v>
      </c>
      <c r="J970" s="15">
        <v>42075.809351851851</v>
      </c>
      <c r="K970" t="str">
        <f t="shared" si="15"/>
        <v>03-2015</v>
      </c>
    </row>
    <row r="971" spans="3:11" x14ac:dyDescent="0.25">
      <c r="C971" t="str">
        <f>IF(COUNTBLANK(E971:J971) = 6,"",IF(AND(NOT(ISBLANK(E971)),COUNTBLANK(E971:J971) = 5),"3 Delete",IF(ISBLANK(E971),"2 Add",IF(SHA1Range(E971:J971) = "9b10d49eee67b00628771e82cfaeab965705a568","0 Original","1 Modify"))))</f>
        <v>0 Original</v>
      </c>
      <c r="D971" s="5" t="s">
        <v>1930</v>
      </c>
      <c r="E971" s="3">
        <v>1495</v>
      </c>
      <c r="F971" s="13">
        <v>42076</v>
      </c>
      <c r="G971" t="s">
        <v>128</v>
      </c>
      <c r="H971" s="9">
        <v>70.900000000000006</v>
      </c>
      <c r="I971" s="5" t="s">
        <v>68</v>
      </c>
      <c r="J971" s="15">
        <v>42076.289918981478</v>
      </c>
      <c r="K971" t="str">
        <f t="shared" si="15"/>
        <v>03-2015</v>
      </c>
    </row>
    <row r="972" spans="3:11" x14ac:dyDescent="0.25">
      <c r="C972" t="str">
        <f>IF(COUNTBLANK(E972:J972) = 6,"",IF(AND(NOT(ISBLANK(E972)),COUNTBLANK(E972:J972) = 5),"3 Delete",IF(ISBLANK(E972),"2 Add",IF(SHA1Range(E972:J972) = "d7828d70d3e57c6ee456146bf08710451747db8c","0 Original","1 Modify"))))</f>
        <v>0 Original</v>
      </c>
      <c r="D972" s="5" t="s">
        <v>1931</v>
      </c>
      <c r="E972" s="3">
        <v>1043</v>
      </c>
      <c r="F972" s="13">
        <v>42076</v>
      </c>
      <c r="G972" t="s">
        <v>98</v>
      </c>
      <c r="H972" s="9">
        <v>69.91</v>
      </c>
      <c r="I972" s="5" t="s">
        <v>68</v>
      </c>
      <c r="J972" s="15">
        <v>42076.512696759259</v>
      </c>
      <c r="K972" t="str">
        <f t="shared" si="15"/>
        <v>03-2015</v>
      </c>
    </row>
    <row r="973" spans="3:11" x14ac:dyDescent="0.25">
      <c r="C973" t="str">
        <f>IF(COUNTBLANK(E973:J973) = 6,"",IF(AND(NOT(ISBLANK(E973)),COUNTBLANK(E973:J973) = 5),"3 Delete",IF(ISBLANK(E973),"2 Add",IF(SHA1Range(E973:J973) = "d62610751c1c0f5e393ee6d6be9ab049865066c8","0 Original","1 Modify"))))</f>
        <v>0 Original</v>
      </c>
      <c r="D973" s="5" t="s">
        <v>1932</v>
      </c>
      <c r="E973" s="3">
        <v>1478</v>
      </c>
      <c r="F973" s="13">
        <v>42076</v>
      </c>
      <c r="G973" t="s">
        <v>65</v>
      </c>
      <c r="H973" s="9">
        <v>8.99</v>
      </c>
      <c r="I973" s="5" t="s">
        <v>68</v>
      </c>
      <c r="J973" s="15">
        <v>42076.704629629632</v>
      </c>
      <c r="K973" t="str">
        <f t="shared" si="15"/>
        <v>03-2015</v>
      </c>
    </row>
    <row r="974" spans="3:11" x14ac:dyDescent="0.25">
      <c r="C974" t="str">
        <f>IF(COUNTBLANK(E974:J974) = 6,"",IF(AND(NOT(ISBLANK(E974)),COUNTBLANK(E974:J974) = 5),"3 Delete",IF(ISBLANK(E974),"2 Add",IF(SHA1Range(E974:J974) = "8f429e33fec8399d8a2f08f47c1e8f602a45fa76","0 Original","1 Modify"))))</f>
        <v>0 Original</v>
      </c>
      <c r="D974" s="5" t="s">
        <v>1933</v>
      </c>
      <c r="E974" s="3">
        <v>1382</v>
      </c>
      <c r="F974" s="13">
        <v>42076</v>
      </c>
      <c r="G974" t="s">
        <v>257</v>
      </c>
      <c r="H974" s="9">
        <v>98.87</v>
      </c>
      <c r="I974" s="5" t="s">
        <v>68</v>
      </c>
      <c r="J974" s="15">
        <v>42076.90525462963</v>
      </c>
      <c r="K974" t="str">
        <f t="shared" si="15"/>
        <v>03-2015</v>
      </c>
    </row>
    <row r="975" spans="3:11" x14ac:dyDescent="0.25">
      <c r="C975" t="str">
        <f>IF(COUNTBLANK(E975:J975) = 6,"",IF(AND(NOT(ISBLANK(E975)),COUNTBLANK(E975:J975) = 5),"3 Delete",IF(ISBLANK(E975),"2 Add",IF(SHA1Range(E975:J975) = "303899d66d6d8c9a9341d9693821d204e49a3545","0 Original","1 Modify"))))</f>
        <v>0 Original</v>
      </c>
      <c r="D975" s="5" t="s">
        <v>1934</v>
      </c>
      <c r="E975" s="3">
        <v>1339</v>
      </c>
      <c r="F975" s="13">
        <v>42077</v>
      </c>
      <c r="G975" t="s">
        <v>251</v>
      </c>
      <c r="H975" s="9">
        <v>79.900000000000006</v>
      </c>
      <c r="I975" s="5" t="s">
        <v>68</v>
      </c>
      <c r="J975" s="15">
        <v>42077.010347222225</v>
      </c>
      <c r="K975" t="str">
        <f t="shared" si="15"/>
        <v>03-2015</v>
      </c>
    </row>
    <row r="976" spans="3:11" x14ac:dyDescent="0.25">
      <c r="C976" t="str">
        <f>IF(COUNTBLANK(E976:J976) = 6,"",IF(AND(NOT(ISBLANK(E976)),COUNTBLANK(E976:J976) = 5),"3 Delete",IF(ISBLANK(E976),"2 Add",IF(SHA1Range(E976:J976) = "51a45028cba8b88bcd3f424a53731730686ed6ca","0 Original","1 Modify"))))</f>
        <v>0 Original</v>
      </c>
      <c r="D976" s="5" t="s">
        <v>1935</v>
      </c>
      <c r="E976" s="3">
        <v>1227</v>
      </c>
      <c r="F976" s="13">
        <v>42077</v>
      </c>
      <c r="G976" t="s">
        <v>287</v>
      </c>
      <c r="H976" s="9">
        <v>20.97</v>
      </c>
      <c r="I976" s="5" t="s">
        <v>68</v>
      </c>
      <c r="J976" s="15">
        <v>42077.133391203701</v>
      </c>
      <c r="K976" t="str">
        <f t="shared" si="15"/>
        <v>03-2015</v>
      </c>
    </row>
    <row r="977" spans="3:11" x14ac:dyDescent="0.25">
      <c r="C977" t="str">
        <f>IF(COUNTBLANK(E977:J977) = 6,"",IF(AND(NOT(ISBLANK(E977)),COUNTBLANK(E977:J977) = 5),"3 Delete",IF(ISBLANK(E977),"2 Add",IF(SHA1Range(E977:J977) = "5685e026331f76d853e58028110fffcb561aa18f","0 Original","1 Modify"))))</f>
        <v>0 Original</v>
      </c>
      <c r="D977" s="5" t="s">
        <v>1936</v>
      </c>
      <c r="E977" s="3">
        <v>950</v>
      </c>
      <c r="F977" s="13">
        <v>42077</v>
      </c>
      <c r="G977" t="s">
        <v>242</v>
      </c>
      <c r="H977" s="9">
        <v>7.99</v>
      </c>
      <c r="I977" s="5" t="s">
        <v>68</v>
      </c>
      <c r="J977" s="15">
        <v>42077.603368055556</v>
      </c>
      <c r="K977" t="str">
        <f t="shared" si="15"/>
        <v>03-2015</v>
      </c>
    </row>
    <row r="978" spans="3:11" x14ac:dyDescent="0.25">
      <c r="C978" t="str">
        <f>IF(COUNTBLANK(E978:J978) = 6,"",IF(AND(NOT(ISBLANK(E978)),COUNTBLANK(E978:J978) = 5),"3 Delete",IF(ISBLANK(E978),"2 Add",IF(SHA1Range(E978:J978) = "671640abf638782b2a5f83ac41e68f8c0dd30b15","0 Original","1 Modify"))))</f>
        <v>0 Original</v>
      </c>
      <c r="D978" s="5" t="s">
        <v>1937</v>
      </c>
      <c r="E978" s="3">
        <v>1471</v>
      </c>
      <c r="F978" s="13">
        <v>42077</v>
      </c>
      <c r="G978" t="s">
        <v>296</v>
      </c>
      <c r="H978" s="9">
        <v>15.98</v>
      </c>
      <c r="I978" s="5" t="s">
        <v>68</v>
      </c>
      <c r="J978" s="15">
        <v>42077.644479166665</v>
      </c>
      <c r="K978" t="str">
        <f t="shared" si="15"/>
        <v>03-2015</v>
      </c>
    </row>
    <row r="979" spans="3:11" x14ac:dyDescent="0.25">
      <c r="C979" t="str">
        <f>IF(COUNTBLANK(E979:J979) = 6,"",IF(AND(NOT(ISBLANK(E979)),COUNTBLANK(E979:J979) = 5),"3 Delete",IF(ISBLANK(E979),"2 Add",IF(SHA1Range(E979:J979) = "3457bd7b0b6bc9c552baf350c590562baf645d04","0 Original","1 Modify"))))</f>
        <v>0 Original</v>
      </c>
      <c r="D979" s="5" t="s">
        <v>1938</v>
      </c>
      <c r="E979" s="3">
        <v>134</v>
      </c>
      <c r="F979" s="13">
        <v>42077</v>
      </c>
      <c r="G979" t="s">
        <v>194</v>
      </c>
      <c r="H979" s="9">
        <v>34.950000000000003</v>
      </c>
      <c r="I979" s="5" t="s">
        <v>68</v>
      </c>
      <c r="J979" s="15">
        <v>42077.900902777779</v>
      </c>
      <c r="K979" t="str">
        <f t="shared" si="15"/>
        <v>03-2015</v>
      </c>
    </row>
    <row r="980" spans="3:11" x14ac:dyDescent="0.25">
      <c r="C980" t="str">
        <f>IF(COUNTBLANK(E980:J980) = 6,"",IF(AND(NOT(ISBLANK(E980)),COUNTBLANK(E980:J980) = 5),"3 Delete",IF(ISBLANK(E980),"2 Add",IF(SHA1Range(E980:J980) = "5b619f22c1070f2f8792d6f620abf55b9ba123e0","0 Original","1 Modify"))))</f>
        <v>0 Original</v>
      </c>
      <c r="D980" s="5" t="s">
        <v>1939</v>
      </c>
      <c r="E980" s="3">
        <v>1264</v>
      </c>
      <c r="F980" s="13">
        <v>42077</v>
      </c>
      <c r="G980" t="s">
        <v>317</v>
      </c>
      <c r="H980" s="9">
        <v>15.98</v>
      </c>
      <c r="I980" s="5" t="s">
        <v>68</v>
      </c>
      <c r="J980" s="15">
        <v>42077.932106481479</v>
      </c>
      <c r="K980" t="str">
        <f t="shared" si="15"/>
        <v>03-2015</v>
      </c>
    </row>
    <row r="981" spans="3:11" x14ac:dyDescent="0.25">
      <c r="C981" t="str">
        <f>IF(COUNTBLANK(E981:J981) = 6,"",IF(AND(NOT(ISBLANK(E981)),COUNTBLANK(E981:J981) = 5),"3 Delete",IF(ISBLANK(E981),"2 Add",IF(SHA1Range(E981:J981) = "2e8308cd2b9b9653dda7b34da1b813d3c818b6bf","0 Original","1 Modify"))))</f>
        <v>0 Original</v>
      </c>
      <c r="D981" s="5" t="s">
        <v>1940</v>
      </c>
      <c r="E981" s="3">
        <v>1476</v>
      </c>
      <c r="F981" s="13">
        <v>42078</v>
      </c>
      <c r="G981" t="s">
        <v>248</v>
      </c>
      <c r="H981" s="9">
        <v>31.96</v>
      </c>
      <c r="I981" s="5" t="s">
        <v>68</v>
      </c>
      <c r="J981" s="15">
        <v>42078.248171296298</v>
      </c>
      <c r="K981" t="str">
        <f t="shared" si="15"/>
        <v>03-2015</v>
      </c>
    </row>
    <row r="982" spans="3:11" x14ac:dyDescent="0.25">
      <c r="C982" t="str">
        <f>IF(COUNTBLANK(E982:J982) = 6,"",IF(AND(NOT(ISBLANK(E982)),COUNTBLANK(E982:J982) = 5),"3 Delete",IF(ISBLANK(E982),"2 Add",IF(SHA1Range(E982:J982) = "9f5ece2a28003b946448aaa626e4c64b9a9d5ea5","0 Original","1 Modify"))))</f>
        <v>0 Original</v>
      </c>
      <c r="D982" s="5" t="s">
        <v>1941</v>
      </c>
      <c r="E982" s="3">
        <v>157</v>
      </c>
      <c r="F982" s="13">
        <v>42078</v>
      </c>
      <c r="G982" t="s">
        <v>146</v>
      </c>
      <c r="H982" s="9">
        <v>17.98</v>
      </c>
      <c r="I982" s="5" t="s">
        <v>68</v>
      </c>
      <c r="J982" s="15">
        <v>42078.294872685183</v>
      </c>
      <c r="K982" t="str">
        <f t="shared" si="15"/>
        <v>03-2015</v>
      </c>
    </row>
    <row r="983" spans="3:11" x14ac:dyDescent="0.25">
      <c r="C983" t="str">
        <f>IF(COUNTBLANK(E983:J983) = 6,"",IF(AND(NOT(ISBLANK(E983)),COUNTBLANK(E983:J983) = 5),"3 Delete",IF(ISBLANK(E983),"2 Add",IF(SHA1Range(E983:J983) = "153c0c815cd095e8b8f3fe3758bd8d73be1f8109","0 Original","1 Modify"))))</f>
        <v>0 Original</v>
      </c>
      <c r="D983" s="5" t="s">
        <v>1942</v>
      </c>
      <c r="E983" s="3">
        <v>891</v>
      </c>
      <c r="F983" s="13">
        <v>42078</v>
      </c>
      <c r="G983" t="s">
        <v>302</v>
      </c>
      <c r="H983" s="9">
        <v>18.97</v>
      </c>
      <c r="I983" s="5" t="s">
        <v>68</v>
      </c>
      <c r="J983" s="15">
        <v>42078.524745370371</v>
      </c>
      <c r="K983" t="str">
        <f t="shared" si="15"/>
        <v>03-2015</v>
      </c>
    </row>
    <row r="984" spans="3:11" x14ac:dyDescent="0.25">
      <c r="C984" t="str">
        <f>IF(COUNTBLANK(E984:J984) = 6,"",IF(AND(NOT(ISBLANK(E984)),COUNTBLANK(E984:J984) = 5),"3 Delete",IF(ISBLANK(E984),"2 Add",IF(SHA1Range(E984:J984) = "5f62dbf91bcbb0a5b6fe09ff8dae123baceb0469","0 Original","1 Modify"))))</f>
        <v>0 Original</v>
      </c>
      <c r="D984" s="5" t="s">
        <v>1943</v>
      </c>
      <c r="E984" s="3">
        <v>191</v>
      </c>
      <c r="F984" s="13">
        <v>42078</v>
      </c>
      <c r="G984" t="s">
        <v>344</v>
      </c>
      <c r="H984" s="9">
        <v>5.99</v>
      </c>
      <c r="I984" s="5" t="s">
        <v>68</v>
      </c>
      <c r="J984" s="15">
        <v>42078.678553240738</v>
      </c>
      <c r="K984" t="str">
        <f t="shared" si="15"/>
        <v>03-2015</v>
      </c>
    </row>
    <row r="985" spans="3:11" x14ac:dyDescent="0.25">
      <c r="C985" t="str">
        <f>IF(COUNTBLANK(E985:J985) = 6,"",IF(AND(NOT(ISBLANK(E985)),COUNTBLANK(E985:J985) = 5),"3 Delete",IF(ISBLANK(E985),"2 Add",IF(SHA1Range(E985:J985) = "b6687bcaa231c1b349333f77615fb90cf37d480f","0 Original","1 Modify"))))</f>
        <v>0 Original</v>
      </c>
      <c r="D985" s="5" t="s">
        <v>1944</v>
      </c>
      <c r="E985" s="3">
        <v>1452</v>
      </c>
      <c r="F985" s="13">
        <v>42079</v>
      </c>
      <c r="G985" t="s">
        <v>281</v>
      </c>
      <c r="H985" s="9">
        <v>38.950000000000003</v>
      </c>
      <c r="I985" s="5" t="s">
        <v>68</v>
      </c>
      <c r="J985" s="15">
        <v>42079.16814814815</v>
      </c>
      <c r="K985" t="str">
        <f t="shared" si="15"/>
        <v>03-2015</v>
      </c>
    </row>
    <row r="986" spans="3:11" x14ac:dyDescent="0.25">
      <c r="C986" t="str">
        <f>IF(COUNTBLANK(E986:J986) = 6,"",IF(AND(NOT(ISBLANK(E986)),COUNTBLANK(E986:J986) = 5),"3 Delete",IF(ISBLANK(E986),"2 Add",IF(SHA1Range(E986:J986) = "e74fb809801f41c87071b0c0852defc9576090e9","0 Original","1 Modify"))))</f>
        <v>0 Original</v>
      </c>
      <c r="D986" s="5" t="s">
        <v>1945</v>
      </c>
      <c r="E986" s="3">
        <v>262</v>
      </c>
      <c r="F986" s="13">
        <v>42079</v>
      </c>
      <c r="G986" t="s">
        <v>149</v>
      </c>
      <c r="H986" s="9">
        <v>22.97</v>
      </c>
      <c r="I986" s="5" t="s">
        <v>68</v>
      </c>
      <c r="J986" s="15">
        <v>42079.319560185184</v>
      </c>
      <c r="K986" t="str">
        <f t="shared" si="15"/>
        <v>03-2015</v>
      </c>
    </row>
    <row r="987" spans="3:11" x14ac:dyDescent="0.25">
      <c r="C987" t="str">
        <f>IF(COUNTBLANK(E987:J987) = 6,"",IF(AND(NOT(ISBLANK(E987)),COUNTBLANK(E987:J987) = 5),"3 Delete",IF(ISBLANK(E987),"2 Add",IF(SHA1Range(E987:J987) = "216202b1e0e1bb8c569da6184bf12e95c81f86ff","0 Original","1 Modify"))))</f>
        <v>0 Original</v>
      </c>
      <c r="D987" s="5" t="s">
        <v>1946</v>
      </c>
      <c r="E987" s="3">
        <v>155</v>
      </c>
      <c r="F987" s="13">
        <v>42079</v>
      </c>
      <c r="G987" t="s">
        <v>275</v>
      </c>
      <c r="H987" s="9">
        <v>23.96</v>
      </c>
      <c r="I987" s="5" t="s">
        <v>68</v>
      </c>
      <c r="J987" s="15">
        <v>42079.355567129627</v>
      </c>
      <c r="K987" t="str">
        <f t="shared" si="15"/>
        <v>03-2015</v>
      </c>
    </row>
    <row r="988" spans="3:11" x14ac:dyDescent="0.25">
      <c r="C988" t="str">
        <f>IF(COUNTBLANK(E988:J988) = 6,"",IF(AND(NOT(ISBLANK(E988)),COUNTBLANK(E988:J988) = 5),"3 Delete",IF(ISBLANK(E988),"2 Add",IF(SHA1Range(E988:J988) = "5dc475adf50893e4f8a7b8ec6d485c5f832f7d8a","0 Original","1 Modify"))))</f>
        <v>0 Original</v>
      </c>
      <c r="D988" s="5" t="s">
        <v>1947</v>
      </c>
      <c r="E988" s="3">
        <v>1203</v>
      </c>
      <c r="F988" s="13">
        <v>42079</v>
      </c>
      <c r="G988" t="s">
        <v>257</v>
      </c>
      <c r="H988" s="9">
        <v>23.97</v>
      </c>
      <c r="I988" s="5" t="s">
        <v>68</v>
      </c>
      <c r="J988" s="15">
        <v>42079.378321759257</v>
      </c>
      <c r="K988" t="str">
        <f t="shared" si="15"/>
        <v>03-2015</v>
      </c>
    </row>
    <row r="989" spans="3:11" x14ac:dyDescent="0.25">
      <c r="C989" t="str">
        <f>IF(COUNTBLANK(E989:J989) = 6,"",IF(AND(NOT(ISBLANK(E989)),COUNTBLANK(E989:J989) = 5),"3 Delete",IF(ISBLANK(E989),"2 Add",IF(SHA1Range(E989:J989) = "6a6c39c44293a58eb22c9eee7c22c9eab0fb29f7","0 Original","1 Modify"))))</f>
        <v>0 Original</v>
      </c>
      <c r="D989" s="5" t="s">
        <v>1948</v>
      </c>
      <c r="E989" s="3">
        <v>1329</v>
      </c>
      <c r="F989" s="13">
        <v>42079</v>
      </c>
      <c r="G989" t="s">
        <v>140</v>
      </c>
      <c r="H989" s="9">
        <v>32.96</v>
      </c>
      <c r="I989" s="5" t="s">
        <v>68</v>
      </c>
      <c r="J989" s="15">
        <v>42079.540266203701</v>
      </c>
      <c r="K989" t="str">
        <f t="shared" si="15"/>
        <v>03-2015</v>
      </c>
    </row>
    <row r="990" spans="3:11" x14ac:dyDescent="0.25">
      <c r="C990" t="str">
        <f>IF(COUNTBLANK(E990:J990) = 6,"",IF(AND(NOT(ISBLANK(E990)),COUNTBLANK(E990:J990) = 5),"3 Delete",IF(ISBLANK(E990),"2 Add",IF(SHA1Range(E990:J990) = "7457aa74f7456e5b5f965f5123b62c6bdadc4f71","0 Original","1 Modify"))))</f>
        <v>0 Original</v>
      </c>
      <c r="D990" s="5" t="s">
        <v>1949</v>
      </c>
      <c r="E990" s="3">
        <v>1311</v>
      </c>
      <c r="F990" s="13">
        <v>42079</v>
      </c>
      <c r="G990" t="s">
        <v>188</v>
      </c>
      <c r="H990" s="9">
        <v>26.97</v>
      </c>
      <c r="I990" s="5" t="s">
        <v>68</v>
      </c>
      <c r="J990" s="15">
        <v>42079.684814814813</v>
      </c>
      <c r="K990" t="str">
        <f t="shared" si="15"/>
        <v>03-2015</v>
      </c>
    </row>
    <row r="991" spans="3:11" x14ac:dyDescent="0.25">
      <c r="C991" t="str">
        <f>IF(COUNTBLANK(E991:J991) = 6,"",IF(AND(NOT(ISBLANK(E991)),COUNTBLANK(E991:J991) = 5),"3 Delete",IF(ISBLANK(E991),"2 Add",IF(SHA1Range(E991:J991) = "3c6dfa046b4bf05bd384654dbd2bc7cfdb43045d","0 Original","1 Modify"))))</f>
        <v>0 Original</v>
      </c>
      <c r="D991" s="5" t="s">
        <v>1950</v>
      </c>
      <c r="E991" s="3">
        <v>509</v>
      </c>
      <c r="F991" s="13">
        <v>42079</v>
      </c>
      <c r="G991" t="s">
        <v>212</v>
      </c>
      <c r="H991" s="9">
        <v>40.950000000000003</v>
      </c>
      <c r="I991" s="5" t="s">
        <v>68</v>
      </c>
      <c r="J991" s="15">
        <v>42079.697048611109</v>
      </c>
      <c r="K991" t="str">
        <f t="shared" si="15"/>
        <v>03-2015</v>
      </c>
    </row>
    <row r="992" spans="3:11" x14ac:dyDescent="0.25">
      <c r="C992" t="str">
        <f>IF(COUNTBLANK(E992:J992) = 6,"",IF(AND(NOT(ISBLANK(E992)),COUNTBLANK(E992:J992) = 5),"3 Delete",IF(ISBLANK(E992),"2 Add",IF(SHA1Range(E992:J992) = "3d6b791d6f0351fc474b7a4dabb7328aed8f4cd4","0 Original","1 Modify"))))</f>
        <v>0 Original</v>
      </c>
      <c r="D992" s="5" t="s">
        <v>1951</v>
      </c>
      <c r="E992" s="3">
        <v>1233</v>
      </c>
      <c r="F992" s="13">
        <v>42079</v>
      </c>
      <c r="G992" t="s">
        <v>65</v>
      </c>
      <c r="H992" s="9">
        <v>44.93</v>
      </c>
      <c r="I992" s="5" t="s">
        <v>68</v>
      </c>
      <c r="J992" s="15">
        <v>42079.931111111109</v>
      </c>
      <c r="K992" t="str">
        <f t="shared" si="15"/>
        <v>03-2015</v>
      </c>
    </row>
    <row r="993" spans="3:11" x14ac:dyDescent="0.25">
      <c r="C993" t="str">
        <f>IF(COUNTBLANK(E993:J993) = 6,"",IF(AND(NOT(ISBLANK(E993)),COUNTBLANK(E993:J993) = 5),"3 Delete",IF(ISBLANK(E993),"2 Add",IF(SHA1Range(E993:J993) = "f53cb10a043ffa8a1b14fbcb239fc65272b3a7c9","0 Original","1 Modify"))))</f>
        <v>0 Original</v>
      </c>
      <c r="D993" s="5" t="s">
        <v>1952</v>
      </c>
      <c r="E993" s="3">
        <v>1293</v>
      </c>
      <c r="F993" s="13">
        <v>42080</v>
      </c>
      <c r="G993" t="s">
        <v>92</v>
      </c>
      <c r="H993" s="9">
        <v>40.950000000000003</v>
      </c>
      <c r="I993" s="5" t="s">
        <v>68</v>
      </c>
      <c r="J993" s="15">
        <v>42080.091331018521</v>
      </c>
      <c r="K993" t="str">
        <f t="shared" si="15"/>
        <v>03-2015</v>
      </c>
    </row>
    <row r="994" spans="3:11" x14ac:dyDescent="0.25">
      <c r="C994" t="str">
        <f>IF(COUNTBLANK(E994:J994) = 6,"",IF(AND(NOT(ISBLANK(E994)),COUNTBLANK(E994:J994) = 5),"3 Delete",IF(ISBLANK(E994),"2 Add",IF(SHA1Range(E994:J994) = "c33b10fe637f2443112fdeae1067fbed6567d5dd","0 Original","1 Modify"))))</f>
        <v>0 Original</v>
      </c>
      <c r="D994" s="5" t="s">
        <v>1953</v>
      </c>
      <c r="E994" s="3">
        <v>1384</v>
      </c>
      <c r="F994" s="13">
        <v>42080</v>
      </c>
      <c r="G994" t="s">
        <v>245</v>
      </c>
      <c r="H994" s="9">
        <v>18.98</v>
      </c>
      <c r="I994" s="5" t="s">
        <v>68</v>
      </c>
      <c r="J994" s="15">
        <v>42080.192939814813</v>
      </c>
      <c r="K994" t="str">
        <f t="shared" si="15"/>
        <v>03-2015</v>
      </c>
    </row>
    <row r="995" spans="3:11" x14ac:dyDescent="0.25">
      <c r="C995" t="str">
        <f>IF(COUNTBLANK(E995:J995) = 6,"",IF(AND(NOT(ISBLANK(E995)),COUNTBLANK(E995:J995) = 5),"3 Delete",IF(ISBLANK(E995),"2 Add",IF(SHA1Range(E995:J995) = "2bd5101290274612798efc2204e32fa01a3ed0ce","0 Original","1 Modify"))))</f>
        <v>0 Original</v>
      </c>
      <c r="D995" s="5" t="s">
        <v>1954</v>
      </c>
      <c r="E995" s="3">
        <v>1321</v>
      </c>
      <c r="F995" s="13">
        <v>42080</v>
      </c>
      <c r="G995" t="s">
        <v>278</v>
      </c>
      <c r="H995" s="9">
        <v>22.97</v>
      </c>
      <c r="I995" s="5" t="s">
        <v>68</v>
      </c>
      <c r="J995" s="15">
        <v>42080.357025462959</v>
      </c>
      <c r="K995" t="str">
        <f t="shared" si="15"/>
        <v>03-2015</v>
      </c>
    </row>
    <row r="996" spans="3:11" x14ac:dyDescent="0.25">
      <c r="C996" t="str">
        <f>IF(COUNTBLANK(E996:J996) = 6,"",IF(AND(NOT(ISBLANK(E996)),COUNTBLANK(E996:J996) = 5),"3 Delete",IF(ISBLANK(E996),"2 Add",IF(SHA1Range(E996:J996) = "c34d97b84b15a372f268fae5afbc36fadc7c06dd","0 Original","1 Modify"))))</f>
        <v>0 Original</v>
      </c>
      <c r="D996" s="5" t="s">
        <v>1955</v>
      </c>
      <c r="E996" s="3">
        <v>1440</v>
      </c>
      <c r="F996" s="13">
        <v>42080</v>
      </c>
      <c r="G996" t="s">
        <v>308</v>
      </c>
      <c r="H996" s="9">
        <v>18.98</v>
      </c>
      <c r="I996" s="5" t="s">
        <v>68</v>
      </c>
      <c r="J996" s="15">
        <v>42080.479907407411</v>
      </c>
      <c r="K996" t="str">
        <f t="shared" si="15"/>
        <v>03-2015</v>
      </c>
    </row>
    <row r="997" spans="3:11" x14ac:dyDescent="0.25">
      <c r="C997" t="str">
        <f>IF(COUNTBLANK(E997:J997) = 6,"",IF(AND(NOT(ISBLANK(E997)),COUNTBLANK(E997:J997) = 5),"3 Delete",IF(ISBLANK(E997),"2 Add",IF(SHA1Range(E997:J997) = "f557efd1b8f973e1150c573dfb2d3169f122324d","0 Original","1 Modify"))))</f>
        <v>0 Original</v>
      </c>
      <c r="D997" s="5" t="s">
        <v>1956</v>
      </c>
      <c r="E997" s="3">
        <v>1342</v>
      </c>
      <c r="F997" s="13">
        <v>42082</v>
      </c>
      <c r="G997" t="s">
        <v>281</v>
      </c>
      <c r="H997" s="9">
        <v>18.97</v>
      </c>
      <c r="I997" s="5" t="s">
        <v>68</v>
      </c>
      <c r="J997" s="15">
        <v>42082.086041666669</v>
      </c>
      <c r="K997" t="str">
        <f t="shared" si="15"/>
        <v>03-2015</v>
      </c>
    </row>
    <row r="998" spans="3:11" x14ac:dyDescent="0.25">
      <c r="C998" t="str">
        <f>IF(COUNTBLANK(E998:J998) = 6,"",IF(AND(NOT(ISBLANK(E998)),COUNTBLANK(E998:J998) = 5),"3 Delete",IF(ISBLANK(E998),"2 Add",IF(SHA1Range(E998:J998) = "fd48e891f7f23728a701c353a4405da7947ae100","0 Original","1 Modify"))))</f>
        <v>0 Original</v>
      </c>
      <c r="D998" s="5" t="s">
        <v>1957</v>
      </c>
      <c r="E998" s="3">
        <v>1488</v>
      </c>
      <c r="F998" s="13">
        <v>42082</v>
      </c>
      <c r="G998" t="s">
        <v>128</v>
      </c>
      <c r="H998" s="9">
        <v>82.89</v>
      </c>
      <c r="I998" s="5" t="s">
        <v>68</v>
      </c>
      <c r="J998" s="15">
        <v>42082.273912037039</v>
      </c>
      <c r="K998" t="str">
        <f t="shared" si="15"/>
        <v>03-2015</v>
      </c>
    </row>
    <row r="999" spans="3:11" x14ac:dyDescent="0.25">
      <c r="C999" t="str">
        <f>IF(COUNTBLANK(E999:J999) = 6,"",IF(AND(NOT(ISBLANK(E999)),COUNTBLANK(E999:J999) = 5),"3 Delete",IF(ISBLANK(E999),"2 Add",IF(SHA1Range(E999:J999) = "88d900c386a650f46afac25cb90df2f995d56b38","0 Original","1 Modify"))))</f>
        <v>0 Original</v>
      </c>
      <c r="D999" s="5" t="s">
        <v>1958</v>
      </c>
      <c r="E999" s="3">
        <v>1362</v>
      </c>
      <c r="F999" s="13">
        <v>42082</v>
      </c>
      <c r="G999" t="s">
        <v>248</v>
      </c>
      <c r="H999" s="9">
        <v>26.97</v>
      </c>
      <c r="I999" s="5" t="s">
        <v>68</v>
      </c>
      <c r="J999" s="15">
        <v>42082.317175925928</v>
      </c>
      <c r="K999" t="str">
        <f t="shared" si="15"/>
        <v>03-2015</v>
      </c>
    </row>
    <row r="1000" spans="3:11" x14ac:dyDescent="0.25">
      <c r="C1000" t="str">
        <f>IF(COUNTBLANK(E1000:J1000) = 6,"",IF(AND(NOT(ISBLANK(E1000)),COUNTBLANK(E1000:J1000) = 5),"3 Delete",IF(ISBLANK(E1000),"2 Add",IF(SHA1Range(E1000:J1000) = "cdb2c731f10a70621f5c138a1f19789c9436c7d1","0 Original","1 Modify"))))</f>
        <v>0 Original</v>
      </c>
      <c r="D1000" s="5" t="s">
        <v>1959</v>
      </c>
      <c r="E1000" s="3">
        <v>148</v>
      </c>
      <c r="F1000" s="13">
        <v>42082</v>
      </c>
      <c r="G1000" t="s">
        <v>272</v>
      </c>
      <c r="H1000" s="9">
        <v>22.97</v>
      </c>
      <c r="I1000" s="5" t="s">
        <v>68</v>
      </c>
      <c r="J1000" s="15">
        <v>42082.440127314818</v>
      </c>
      <c r="K1000" t="str">
        <f t="shared" si="15"/>
        <v>03-2015</v>
      </c>
    </row>
    <row r="1001" spans="3:11" x14ac:dyDescent="0.25">
      <c r="C1001" t="str">
        <f>IF(COUNTBLANK(E1001:J1001) = 6,"",IF(AND(NOT(ISBLANK(E1001)),COUNTBLANK(E1001:J1001) = 5),"3 Delete",IF(ISBLANK(E1001),"2 Add",IF(SHA1Range(E1001:J1001) = "55fbb5b660050b754e08e2bc8ced26a6ee5ee24b","0 Original","1 Modify"))))</f>
        <v>0 Original</v>
      </c>
      <c r="D1001" s="5" t="s">
        <v>1960</v>
      </c>
      <c r="E1001" s="3">
        <v>1421</v>
      </c>
      <c r="F1001" s="13">
        <v>42082</v>
      </c>
      <c r="G1001" t="s">
        <v>308</v>
      </c>
      <c r="H1001" s="9">
        <v>31.96</v>
      </c>
      <c r="I1001" s="5" t="s">
        <v>68</v>
      </c>
      <c r="J1001" s="15">
        <v>42082.534803240742</v>
      </c>
      <c r="K1001" t="str">
        <f t="shared" si="15"/>
        <v>03-2015</v>
      </c>
    </row>
    <row r="1002" spans="3:11" x14ac:dyDescent="0.25">
      <c r="C1002" t="str">
        <f>IF(COUNTBLANK(E1002:J1002) = 6,"",IF(AND(NOT(ISBLANK(E1002)),COUNTBLANK(E1002:J1002) = 5),"3 Delete",IF(ISBLANK(E1002),"2 Add",IF(SHA1Range(E1002:J1002) = "f937c8ef76de1c0f23b629b2f25766b9b26ba77c","0 Original","1 Modify"))))</f>
        <v>0 Original</v>
      </c>
      <c r="D1002" s="5" t="s">
        <v>1961</v>
      </c>
      <c r="E1002" s="3">
        <v>1091</v>
      </c>
      <c r="F1002" s="13">
        <v>42082</v>
      </c>
      <c r="G1002" t="s">
        <v>260</v>
      </c>
      <c r="H1002" s="9">
        <v>52.93</v>
      </c>
      <c r="I1002" s="5" t="s">
        <v>68</v>
      </c>
      <c r="J1002" s="15">
        <v>42082.593391203707</v>
      </c>
      <c r="K1002" t="str">
        <f t="shared" si="15"/>
        <v>03-2015</v>
      </c>
    </row>
    <row r="1003" spans="3:11" x14ac:dyDescent="0.25">
      <c r="C1003" t="str">
        <f>IF(COUNTBLANK(E1003:J1003) = 6,"",IF(AND(NOT(ISBLANK(E1003)),COUNTBLANK(E1003:J1003) = 5),"3 Delete",IF(ISBLANK(E1003),"2 Add",IF(SHA1Range(E1003:J1003) = "094b56a2c2f8a050ec1b0aad098ee4ebfa4374b4","0 Original","1 Modify"))))</f>
        <v>0 Original</v>
      </c>
      <c r="D1003" s="5" t="s">
        <v>1962</v>
      </c>
      <c r="E1003" s="3">
        <v>1340</v>
      </c>
      <c r="F1003" s="13">
        <v>42082</v>
      </c>
      <c r="G1003" t="s">
        <v>251</v>
      </c>
      <c r="H1003" s="9">
        <v>9.98</v>
      </c>
      <c r="I1003" s="5" t="s">
        <v>68</v>
      </c>
      <c r="J1003" s="15">
        <v>42082.754953703705</v>
      </c>
      <c r="K1003" t="str">
        <f t="shared" si="15"/>
        <v>03-2015</v>
      </c>
    </row>
    <row r="1004" spans="3:11" x14ac:dyDescent="0.25">
      <c r="C1004" t="str">
        <f>IF(COUNTBLANK(E1004:J1004) = 6,"",IF(AND(NOT(ISBLANK(E1004)),COUNTBLANK(E1004:J1004) = 5),"3 Delete",IF(ISBLANK(E1004),"2 Add",IF(SHA1Range(E1004:J1004) = "407d89a38bec9ab6acd4c4df3a4150660373aee8","0 Original","1 Modify"))))</f>
        <v>0 Original</v>
      </c>
      <c r="D1004" s="5" t="s">
        <v>1963</v>
      </c>
      <c r="E1004" s="3">
        <v>1286</v>
      </c>
      <c r="F1004" s="13">
        <v>42082</v>
      </c>
      <c r="G1004" t="s">
        <v>311</v>
      </c>
      <c r="H1004" s="9">
        <v>13.98</v>
      </c>
      <c r="I1004" s="5" t="s">
        <v>68</v>
      </c>
      <c r="J1004" s="15">
        <v>42082.863796296297</v>
      </c>
      <c r="K1004" t="str">
        <f t="shared" si="15"/>
        <v>03-2015</v>
      </c>
    </row>
    <row r="1005" spans="3:11" x14ac:dyDescent="0.25">
      <c r="C1005" t="str">
        <f>IF(COUNTBLANK(E1005:J1005) = 6,"",IF(AND(NOT(ISBLANK(E1005)),COUNTBLANK(E1005:J1005) = 5),"3 Delete",IF(ISBLANK(E1005),"2 Add",IF(SHA1Range(E1005:J1005) = "059360f008b30a9bf67031bfda1f994f74b5b75c","0 Original","1 Modify"))))</f>
        <v>0 Original</v>
      </c>
      <c r="D1005" s="5" t="s">
        <v>1964</v>
      </c>
      <c r="E1005" s="3">
        <v>1204</v>
      </c>
      <c r="F1005" s="13">
        <v>42082</v>
      </c>
      <c r="G1005" t="s">
        <v>305</v>
      </c>
      <c r="H1005" s="9">
        <v>41.94</v>
      </c>
      <c r="I1005" s="5" t="s">
        <v>68</v>
      </c>
      <c r="J1005" s="15">
        <v>42082.902766203704</v>
      </c>
      <c r="K1005" t="str">
        <f t="shared" si="15"/>
        <v>03-2015</v>
      </c>
    </row>
    <row r="1006" spans="3:11" x14ac:dyDescent="0.25">
      <c r="C1006" t="str">
        <f>IF(COUNTBLANK(E1006:J1006) = 6,"",IF(AND(NOT(ISBLANK(E1006)),COUNTBLANK(E1006:J1006) = 5),"3 Delete",IF(ISBLANK(E1006),"2 Add",IF(SHA1Range(E1006:J1006) = "8eacccb50846ce69cbae892d57c57b48deb92bf8","0 Original","1 Modify"))))</f>
        <v>0 Original</v>
      </c>
      <c r="D1006" s="5" t="s">
        <v>1965</v>
      </c>
      <c r="E1006" s="3">
        <v>1240</v>
      </c>
      <c r="F1006" s="13">
        <v>42083</v>
      </c>
      <c r="G1006" t="s">
        <v>296</v>
      </c>
      <c r="H1006" s="9">
        <v>13.98</v>
      </c>
      <c r="I1006" s="5" t="s">
        <v>68</v>
      </c>
      <c r="J1006" s="15">
        <v>42083.638391203705</v>
      </c>
      <c r="K1006" t="str">
        <f t="shared" si="15"/>
        <v>03-2015</v>
      </c>
    </row>
    <row r="1007" spans="3:11" x14ac:dyDescent="0.25">
      <c r="C1007" t="str">
        <f>IF(COUNTBLANK(E1007:J1007) = 6,"",IF(AND(NOT(ISBLANK(E1007)),COUNTBLANK(E1007:J1007) = 5),"3 Delete",IF(ISBLANK(E1007),"2 Add",IF(SHA1Range(E1007:J1007) = "ef10a2f61475a411d6d71112f7cec368fcb55cc0","0 Original","1 Modify"))))</f>
        <v>0 Original</v>
      </c>
      <c r="D1007" s="5" t="s">
        <v>4156</v>
      </c>
      <c r="E1007" s="3">
        <v>408</v>
      </c>
      <c r="F1007" s="13">
        <v>42083</v>
      </c>
      <c r="G1007" t="s">
        <v>284</v>
      </c>
      <c r="H1007" s="9">
        <v>16.97</v>
      </c>
      <c r="I1007" s="5" t="s">
        <v>68</v>
      </c>
      <c r="J1007" s="15">
        <v>42083.733703703707</v>
      </c>
      <c r="K1007" t="str">
        <f t="shared" si="15"/>
        <v>03-2015</v>
      </c>
    </row>
    <row r="1008" spans="3:11" x14ac:dyDescent="0.25">
      <c r="C1008" t="str">
        <f>IF(COUNTBLANK(E1008:J1008) = 6,"",IF(AND(NOT(ISBLANK(E1008)),COUNTBLANK(E1008:J1008) = 5),"3 Delete",IF(ISBLANK(E1008),"2 Add",IF(SHA1Range(E1008:J1008) = "cc94695db4903feaed00e14c2f9a8107de86c4c6","0 Original","1 Modify"))))</f>
        <v>0 Original</v>
      </c>
      <c r="D1008" s="5" t="s">
        <v>1966</v>
      </c>
      <c r="E1008" s="3">
        <v>1455</v>
      </c>
      <c r="F1008" s="13">
        <v>42084</v>
      </c>
      <c r="G1008" t="s">
        <v>92</v>
      </c>
      <c r="H1008" s="9">
        <v>25.97</v>
      </c>
      <c r="I1008" s="5" t="s">
        <v>68</v>
      </c>
      <c r="J1008" s="15">
        <v>42084.712280092594</v>
      </c>
      <c r="K1008" t="str">
        <f t="shared" si="15"/>
        <v>03-2015</v>
      </c>
    </row>
    <row r="1009" spans="3:11" x14ac:dyDescent="0.25">
      <c r="C1009" t="str">
        <f>IF(COUNTBLANK(E1009:J1009) = 6,"",IF(AND(NOT(ISBLANK(E1009)),COUNTBLANK(E1009:J1009) = 5),"3 Delete",IF(ISBLANK(E1009),"2 Add",IF(SHA1Range(E1009:J1009) = "83af31ab52ba30261567822e15808446e5bed31b","0 Original","1 Modify"))))</f>
        <v>0 Original</v>
      </c>
      <c r="D1009" s="5" t="s">
        <v>1967</v>
      </c>
      <c r="E1009" s="3">
        <v>1313</v>
      </c>
      <c r="F1009" s="13">
        <v>42085</v>
      </c>
      <c r="G1009" t="s">
        <v>73</v>
      </c>
      <c r="H1009" s="9">
        <v>17.98</v>
      </c>
      <c r="I1009" s="5" t="s">
        <v>68</v>
      </c>
      <c r="J1009" s="15">
        <v>42085.169768518521</v>
      </c>
      <c r="K1009" t="str">
        <f t="shared" si="15"/>
        <v>03-2015</v>
      </c>
    </row>
    <row r="1010" spans="3:11" x14ac:dyDescent="0.25">
      <c r="C1010" t="str">
        <f>IF(COUNTBLANK(E1010:J1010) = 6,"",IF(AND(NOT(ISBLANK(E1010)),COUNTBLANK(E1010:J1010) = 5),"3 Delete",IF(ISBLANK(E1010),"2 Add",IF(SHA1Range(E1010:J1010) = "90639d3f68f90d676d8ac2aa873485e5d49e5af1","0 Original","1 Modify"))))</f>
        <v>0 Original</v>
      </c>
      <c r="D1010" s="5" t="s">
        <v>1968</v>
      </c>
      <c r="E1010" s="3">
        <v>1288</v>
      </c>
      <c r="F1010" s="13">
        <v>42085</v>
      </c>
      <c r="G1010" t="s">
        <v>305</v>
      </c>
      <c r="H1010" s="9">
        <v>14.98</v>
      </c>
      <c r="I1010" s="5" t="s">
        <v>68</v>
      </c>
      <c r="J1010" s="15">
        <v>42085.205567129633</v>
      </c>
      <c r="K1010" t="str">
        <f t="shared" si="15"/>
        <v>03-2015</v>
      </c>
    </row>
    <row r="1011" spans="3:11" x14ac:dyDescent="0.25">
      <c r="C1011" t="str">
        <f>IF(COUNTBLANK(E1011:J1011) = 6,"",IF(AND(NOT(ISBLANK(E1011)),COUNTBLANK(E1011:J1011) = 5),"3 Delete",IF(ISBLANK(E1011),"2 Add",IF(SHA1Range(E1011:J1011) = "9d73f7ee263829c859c8fec51117210649a4d832","0 Original","1 Modify"))))</f>
        <v>0 Original</v>
      </c>
      <c r="D1011" s="5" t="s">
        <v>1969</v>
      </c>
      <c r="E1011" s="3">
        <v>1223</v>
      </c>
      <c r="F1011" s="13">
        <v>42085</v>
      </c>
      <c r="G1011" t="s">
        <v>245</v>
      </c>
      <c r="H1011" s="9">
        <v>11.98</v>
      </c>
      <c r="I1011" s="5" t="s">
        <v>68</v>
      </c>
      <c r="J1011" s="15">
        <v>42085.227094907408</v>
      </c>
      <c r="K1011" t="str">
        <f t="shared" si="15"/>
        <v>03-2015</v>
      </c>
    </row>
    <row r="1012" spans="3:11" x14ac:dyDescent="0.25">
      <c r="C1012" t="str">
        <f>IF(COUNTBLANK(E1012:J1012) = 6,"",IF(AND(NOT(ISBLANK(E1012)),COUNTBLANK(E1012:J1012) = 5),"3 Delete",IF(ISBLANK(E1012),"2 Add",IF(SHA1Range(E1012:J1012) = "45a2649497edbb28282ea9450ebf2c7ec6704e96","0 Original","1 Modify"))))</f>
        <v>0 Original</v>
      </c>
      <c r="D1012" s="5" t="s">
        <v>1970</v>
      </c>
      <c r="E1012" s="3">
        <v>1133</v>
      </c>
      <c r="F1012" s="13">
        <v>42085</v>
      </c>
      <c r="G1012" t="s">
        <v>326</v>
      </c>
      <c r="H1012" s="9">
        <v>79.900000000000006</v>
      </c>
      <c r="I1012" s="5" t="s">
        <v>68</v>
      </c>
      <c r="J1012" s="15">
        <v>42085.315879629627</v>
      </c>
      <c r="K1012" t="str">
        <f t="shared" si="15"/>
        <v>03-2015</v>
      </c>
    </row>
    <row r="1013" spans="3:11" x14ac:dyDescent="0.25">
      <c r="C1013" t="str">
        <f>IF(COUNTBLANK(E1013:J1013) = 6,"",IF(AND(NOT(ISBLANK(E1013)),COUNTBLANK(E1013:J1013) = 5),"3 Delete",IF(ISBLANK(E1013),"2 Add",IF(SHA1Range(E1013:J1013) = "afcc0dd4a05450c9d3e76ba4334d7c05bc604e4e","0 Original","1 Modify"))))</f>
        <v>0 Original</v>
      </c>
      <c r="D1013" s="5" t="s">
        <v>1971</v>
      </c>
      <c r="E1013" s="3">
        <v>1274</v>
      </c>
      <c r="F1013" s="13">
        <v>42085</v>
      </c>
      <c r="G1013" t="s">
        <v>161</v>
      </c>
      <c r="H1013" s="9">
        <v>43.94</v>
      </c>
      <c r="I1013" s="5" t="s">
        <v>68</v>
      </c>
      <c r="J1013" s="15">
        <v>42085.613715277781</v>
      </c>
      <c r="K1013" t="str">
        <f t="shared" si="15"/>
        <v>03-2015</v>
      </c>
    </row>
    <row r="1014" spans="3:11" x14ac:dyDescent="0.25">
      <c r="C1014" t="str">
        <f>IF(COUNTBLANK(E1014:J1014) = 6,"",IF(AND(NOT(ISBLANK(E1014)),COUNTBLANK(E1014:J1014) = 5),"3 Delete",IF(ISBLANK(E1014),"2 Add",IF(SHA1Range(E1014:J1014) = "136a6ac0d832dbb6862d4d78c27d181f000097e9","0 Original","1 Modify"))))</f>
        <v>0 Original</v>
      </c>
      <c r="D1014" s="5" t="s">
        <v>1972</v>
      </c>
      <c r="E1014" s="3">
        <v>1396</v>
      </c>
      <c r="F1014" s="13">
        <v>42086</v>
      </c>
      <c r="G1014" t="s">
        <v>281</v>
      </c>
      <c r="H1014" s="9">
        <v>19.97</v>
      </c>
      <c r="I1014" s="5" t="s">
        <v>68</v>
      </c>
      <c r="J1014" s="15">
        <v>42086.256377314814</v>
      </c>
      <c r="K1014" t="str">
        <f t="shared" si="15"/>
        <v>03-2015</v>
      </c>
    </row>
    <row r="1015" spans="3:11" x14ac:dyDescent="0.25">
      <c r="C1015" t="str">
        <f>IF(COUNTBLANK(E1015:J1015) = 6,"",IF(AND(NOT(ISBLANK(E1015)),COUNTBLANK(E1015:J1015) = 5),"3 Delete",IF(ISBLANK(E1015),"2 Add",IF(SHA1Range(E1015:J1015) = "1ee1262f7e3c1e392ea0a7517986f67d3db96b7d","0 Original","1 Modify"))))</f>
        <v>0 Original</v>
      </c>
      <c r="D1015" s="5" t="s">
        <v>4152</v>
      </c>
      <c r="E1015" s="3">
        <v>328</v>
      </c>
      <c r="F1015" s="13">
        <v>42086</v>
      </c>
      <c r="G1015" t="s">
        <v>125</v>
      </c>
      <c r="H1015" s="9">
        <v>6.99</v>
      </c>
      <c r="I1015" s="5" t="s">
        <v>68</v>
      </c>
      <c r="J1015" s="15">
        <v>42086.296215277776</v>
      </c>
      <c r="K1015" t="str">
        <f t="shared" si="15"/>
        <v>03-2015</v>
      </c>
    </row>
    <row r="1016" spans="3:11" x14ac:dyDescent="0.25">
      <c r="C1016" t="str">
        <f>IF(COUNTBLANK(E1016:J1016) = 6,"",IF(AND(NOT(ISBLANK(E1016)),COUNTBLANK(E1016:J1016) = 5),"3 Delete",IF(ISBLANK(E1016),"2 Add",IF(SHA1Range(E1016:J1016) = "95e44571af866bf85a136792cf7b938b96984d1d","0 Original","1 Modify"))))</f>
        <v>0 Original</v>
      </c>
      <c r="D1016" s="5" t="s">
        <v>1973</v>
      </c>
      <c r="E1016" s="3">
        <v>1250</v>
      </c>
      <c r="F1016" s="13">
        <v>42086</v>
      </c>
      <c r="G1016" t="s">
        <v>305</v>
      </c>
      <c r="H1016" s="9">
        <v>42.95</v>
      </c>
      <c r="I1016" s="5" t="s">
        <v>68</v>
      </c>
      <c r="J1016" s="15">
        <v>42086.702118055553</v>
      </c>
      <c r="K1016" t="str">
        <f t="shared" si="15"/>
        <v>03-2015</v>
      </c>
    </row>
    <row r="1017" spans="3:11" x14ac:dyDescent="0.25">
      <c r="C1017" t="str">
        <f>IF(COUNTBLANK(E1017:J1017) = 6,"",IF(AND(NOT(ISBLANK(E1017)),COUNTBLANK(E1017:J1017) = 5),"3 Delete",IF(ISBLANK(E1017),"2 Add",IF(SHA1Range(E1017:J1017) = "75d1eb2cdca8bbada442d9708d0ffcd96584bb78","0 Original","1 Modify"))))</f>
        <v>0 Original</v>
      </c>
      <c r="D1017" s="5" t="s">
        <v>1974</v>
      </c>
      <c r="E1017" s="3">
        <v>1465</v>
      </c>
      <c r="F1017" s="13">
        <v>42086</v>
      </c>
      <c r="G1017" t="s">
        <v>182</v>
      </c>
      <c r="H1017" s="9">
        <v>56.93</v>
      </c>
      <c r="I1017" s="5" t="s">
        <v>68</v>
      </c>
      <c r="J1017" s="15">
        <v>42086.808009259257</v>
      </c>
      <c r="K1017" t="str">
        <f t="shared" si="15"/>
        <v>03-2015</v>
      </c>
    </row>
    <row r="1018" spans="3:11" x14ac:dyDescent="0.25">
      <c r="C1018" t="str">
        <f>IF(COUNTBLANK(E1018:J1018) = 6,"",IF(AND(NOT(ISBLANK(E1018)),COUNTBLANK(E1018:J1018) = 5),"3 Delete",IF(ISBLANK(E1018),"2 Add",IF(SHA1Range(E1018:J1018) = "01bb4109b1145e395afbc03a1257638ba48f70e7","0 Original","1 Modify"))))</f>
        <v>0 Original</v>
      </c>
      <c r="D1018" s="5" t="s">
        <v>4374</v>
      </c>
      <c r="E1018" s="3">
        <v>29</v>
      </c>
      <c r="F1018" s="13">
        <v>42086</v>
      </c>
      <c r="G1018" t="s">
        <v>266</v>
      </c>
      <c r="H1018" s="9">
        <v>19.97</v>
      </c>
      <c r="I1018" s="5" t="s">
        <v>68</v>
      </c>
      <c r="J1018" s="15">
        <v>42086.829768518517</v>
      </c>
      <c r="K1018" t="str">
        <f t="shared" si="15"/>
        <v>03-2015</v>
      </c>
    </row>
    <row r="1019" spans="3:11" x14ac:dyDescent="0.25">
      <c r="C1019" t="str">
        <f>IF(COUNTBLANK(E1019:J1019) = 6,"",IF(AND(NOT(ISBLANK(E1019)),COUNTBLANK(E1019:J1019) = 5),"3 Delete",IF(ISBLANK(E1019),"2 Add",IF(SHA1Range(E1019:J1019) = "0cc482b7ff929f79e86652e16d9c2a19afabab42","0 Original","1 Modify"))))</f>
        <v>0 Original</v>
      </c>
      <c r="D1019" s="5" t="s">
        <v>1975</v>
      </c>
      <c r="E1019" s="3">
        <v>1494</v>
      </c>
      <c r="F1019" s="13">
        <v>42087</v>
      </c>
      <c r="G1019" t="s">
        <v>344</v>
      </c>
      <c r="H1019" s="9">
        <v>5.99</v>
      </c>
      <c r="I1019" s="5" t="s">
        <v>68</v>
      </c>
      <c r="J1019" s="15">
        <v>42087.092048611114</v>
      </c>
      <c r="K1019" t="str">
        <f t="shared" si="15"/>
        <v>03-2015</v>
      </c>
    </row>
    <row r="1020" spans="3:11" x14ac:dyDescent="0.25">
      <c r="C1020" t="str">
        <f>IF(COUNTBLANK(E1020:J1020) = 6,"",IF(AND(NOT(ISBLANK(E1020)),COUNTBLANK(E1020:J1020) = 5),"3 Delete",IF(ISBLANK(E1020),"2 Add",IF(SHA1Range(E1020:J1020) = "f41f337f7a127be4b53f2664135823479c771d56","0 Original","1 Modify"))))</f>
        <v>0 Original</v>
      </c>
      <c r="D1020" s="5" t="s">
        <v>1976</v>
      </c>
      <c r="E1020" s="3">
        <v>1395</v>
      </c>
      <c r="F1020" s="13">
        <v>42087</v>
      </c>
      <c r="G1020" t="s">
        <v>140</v>
      </c>
      <c r="H1020" s="9">
        <v>34.96</v>
      </c>
      <c r="I1020" s="5" t="s">
        <v>68</v>
      </c>
      <c r="J1020" s="15">
        <v>42087.200289351851</v>
      </c>
      <c r="K1020" t="str">
        <f t="shared" si="15"/>
        <v>03-2015</v>
      </c>
    </row>
    <row r="1021" spans="3:11" x14ac:dyDescent="0.25">
      <c r="C1021" t="str">
        <f>IF(COUNTBLANK(E1021:J1021) = 6,"",IF(AND(NOT(ISBLANK(E1021)),COUNTBLANK(E1021:J1021) = 5),"3 Delete",IF(ISBLANK(E1021),"2 Add",IF(SHA1Range(E1021:J1021) = "07615fcda18a9c6fe4bf0566a9d63cebd845ffb9","0 Original","1 Modify"))))</f>
        <v>0 Original</v>
      </c>
      <c r="D1021" s="5" t="s">
        <v>1977</v>
      </c>
      <c r="E1021" s="3">
        <v>979</v>
      </c>
      <c r="F1021" s="13">
        <v>42087</v>
      </c>
      <c r="G1021" t="s">
        <v>260</v>
      </c>
      <c r="H1021" s="9">
        <v>39.96</v>
      </c>
      <c r="I1021" s="5" t="s">
        <v>68</v>
      </c>
      <c r="J1021" s="15">
        <v>42087.441168981481</v>
      </c>
      <c r="K1021" t="str">
        <f t="shared" si="15"/>
        <v>03-2015</v>
      </c>
    </row>
    <row r="1022" spans="3:11" x14ac:dyDescent="0.25">
      <c r="C1022" t="str">
        <f>IF(COUNTBLANK(E1022:J1022) = 6,"",IF(AND(NOT(ISBLANK(E1022)),COUNTBLANK(E1022:J1022) = 5),"3 Delete",IF(ISBLANK(E1022),"2 Add",IF(SHA1Range(E1022:J1022) = "2f6c821852485a9cb8b5a7330c21208b8bfd44e4","0 Original","1 Modify"))))</f>
        <v>0 Original</v>
      </c>
      <c r="D1022" s="5" t="s">
        <v>1978</v>
      </c>
      <c r="E1022" s="3">
        <v>1208</v>
      </c>
      <c r="F1022" s="13">
        <v>42087</v>
      </c>
      <c r="G1022" t="s">
        <v>344</v>
      </c>
      <c r="H1022" s="9">
        <v>25.96</v>
      </c>
      <c r="I1022" s="5" t="s">
        <v>68</v>
      </c>
      <c r="J1022" s="15">
        <v>42087.752152777779</v>
      </c>
      <c r="K1022" t="str">
        <f t="shared" si="15"/>
        <v>03-2015</v>
      </c>
    </row>
    <row r="1023" spans="3:11" x14ac:dyDescent="0.25">
      <c r="C1023" t="str">
        <f>IF(COUNTBLANK(E1023:J1023) = 6,"",IF(AND(NOT(ISBLANK(E1023)),COUNTBLANK(E1023:J1023) = 5),"3 Delete",IF(ISBLANK(E1023),"2 Add",IF(SHA1Range(E1023:J1023) = "2132debad29e39b0dd8bf70b48526ceb1f029085","0 Original","1 Modify"))))</f>
        <v>0 Original</v>
      </c>
      <c r="D1023" s="5" t="s">
        <v>1979</v>
      </c>
      <c r="E1023" s="3">
        <v>569</v>
      </c>
      <c r="F1023" s="13">
        <v>42087</v>
      </c>
      <c r="G1023" t="s">
        <v>221</v>
      </c>
      <c r="H1023" s="9">
        <v>54.94</v>
      </c>
      <c r="I1023" s="5" t="s">
        <v>68</v>
      </c>
      <c r="J1023" s="15">
        <v>42087.99459490741</v>
      </c>
      <c r="K1023" t="str">
        <f t="shared" si="15"/>
        <v>03-2015</v>
      </c>
    </row>
    <row r="1024" spans="3:11" x14ac:dyDescent="0.25">
      <c r="C1024" t="str">
        <f>IF(COUNTBLANK(E1024:J1024) = 6,"",IF(AND(NOT(ISBLANK(E1024)),COUNTBLANK(E1024:J1024) = 5),"3 Delete",IF(ISBLANK(E1024),"2 Add",IF(SHA1Range(E1024:J1024) = "1aeea527b328db5b9d51f3e5a93c746b24d88de1","0 Original","1 Modify"))))</f>
        <v>0 Original</v>
      </c>
      <c r="D1024" s="5" t="s">
        <v>1980</v>
      </c>
      <c r="E1024" s="3">
        <v>1244</v>
      </c>
      <c r="F1024" s="13">
        <v>42088</v>
      </c>
      <c r="G1024" t="s">
        <v>290</v>
      </c>
      <c r="H1024" s="9">
        <v>11.98</v>
      </c>
      <c r="I1024" s="5" t="s">
        <v>68</v>
      </c>
      <c r="J1024" s="15">
        <v>42088.402777777781</v>
      </c>
      <c r="K1024" t="str">
        <f t="shared" si="15"/>
        <v>03-2015</v>
      </c>
    </row>
    <row r="1025" spans="3:11" x14ac:dyDescent="0.25">
      <c r="C1025" t="str">
        <f>IF(COUNTBLANK(E1025:J1025) = 6,"",IF(AND(NOT(ISBLANK(E1025)),COUNTBLANK(E1025:J1025) = 5),"3 Delete",IF(ISBLANK(E1025),"2 Add",IF(SHA1Range(E1025:J1025) = "af145e9022c71ce72e6f57b7c51c457552c3a887","0 Original","1 Modify"))))</f>
        <v>0 Original</v>
      </c>
      <c r="D1025" s="5" t="s">
        <v>1981</v>
      </c>
      <c r="E1025" s="3">
        <v>1410</v>
      </c>
      <c r="F1025" s="13">
        <v>42089</v>
      </c>
      <c r="G1025" t="s">
        <v>323</v>
      </c>
      <c r="H1025" s="9">
        <v>26.97</v>
      </c>
      <c r="I1025" s="5" t="s">
        <v>68</v>
      </c>
      <c r="J1025" s="15">
        <v>42089.398993055554</v>
      </c>
      <c r="K1025" t="str">
        <f t="shared" si="15"/>
        <v>03-2015</v>
      </c>
    </row>
    <row r="1026" spans="3:11" x14ac:dyDescent="0.25">
      <c r="C1026" t="str">
        <f>IF(COUNTBLANK(E1026:J1026) = 6,"",IF(AND(NOT(ISBLANK(E1026)),COUNTBLANK(E1026:J1026) = 5),"3 Delete",IF(ISBLANK(E1026),"2 Add",IF(SHA1Range(E1026:J1026) = "3f7b18b62dcf3b24a4841c68586880748072b735","0 Original","1 Modify"))))</f>
        <v>0 Original</v>
      </c>
      <c r="D1026" s="5" t="s">
        <v>1982</v>
      </c>
      <c r="E1026" s="3">
        <v>1122</v>
      </c>
      <c r="F1026" s="13">
        <v>42089</v>
      </c>
      <c r="G1026" t="s">
        <v>134</v>
      </c>
      <c r="H1026" s="9">
        <v>15.98</v>
      </c>
      <c r="I1026" s="5" t="s">
        <v>68</v>
      </c>
      <c r="J1026" s="15">
        <v>42089.510555555556</v>
      </c>
      <c r="K1026" t="str">
        <f t="shared" si="15"/>
        <v>03-2015</v>
      </c>
    </row>
    <row r="1027" spans="3:11" x14ac:dyDescent="0.25">
      <c r="C1027" t="str">
        <f>IF(COUNTBLANK(E1027:J1027) = 6,"",IF(AND(NOT(ISBLANK(E1027)),COUNTBLANK(E1027:J1027) = 5),"3 Delete",IF(ISBLANK(E1027),"2 Add",IF(SHA1Range(E1027:J1027) = "5f55d26a32d2b74813d57703dd103045ff7f88d1","0 Original","1 Modify"))))</f>
        <v>0 Original</v>
      </c>
      <c r="D1027" s="5" t="s">
        <v>1983</v>
      </c>
      <c r="E1027" s="3">
        <v>1338</v>
      </c>
      <c r="F1027" s="13">
        <v>42089</v>
      </c>
      <c r="G1027" t="s">
        <v>140</v>
      </c>
      <c r="H1027" s="9">
        <v>67.92</v>
      </c>
      <c r="I1027" s="5" t="s">
        <v>68</v>
      </c>
      <c r="J1027" s="15">
        <v>42089.803784722222</v>
      </c>
      <c r="K1027" t="str">
        <f t="shared" ref="K1027:K1090" si="16">TEXT(F1027,"mm-yyyy")</f>
        <v>03-2015</v>
      </c>
    </row>
    <row r="1028" spans="3:11" x14ac:dyDescent="0.25">
      <c r="C1028" t="str">
        <f>IF(COUNTBLANK(E1028:J1028) = 6,"",IF(AND(NOT(ISBLANK(E1028)),COUNTBLANK(E1028:J1028) = 5),"3 Delete",IF(ISBLANK(E1028),"2 Add",IF(SHA1Range(E1028:J1028) = "8a6e4e054efc7f6d92d5e820e58477dd17adb2f2","0 Original","1 Modify"))))</f>
        <v>0 Original</v>
      </c>
      <c r="D1028" s="5" t="s">
        <v>1984</v>
      </c>
      <c r="E1028" s="3">
        <v>1198</v>
      </c>
      <c r="F1028" s="13">
        <v>42089</v>
      </c>
      <c r="G1028" t="s">
        <v>326</v>
      </c>
      <c r="H1028" s="9">
        <v>26.96</v>
      </c>
      <c r="I1028" s="5" t="s">
        <v>68</v>
      </c>
      <c r="J1028" s="15">
        <v>42089.829837962963</v>
      </c>
      <c r="K1028" t="str">
        <f t="shared" si="16"/>
        <v>03-2015</v>
      </c>
    </row>
    <row r="1029" spans="3:11" x14ac:dyDescent="0.25">
      <c r="C1029" t="str">
        <f>IF(COUNTBLANK(E1029:J1029) = 6,"",IF(AND(NOT(ISBLANK(E1029)),COUNTBLANK(E1029:J1029) = 5),"3 Delete",IF(ISBLANK(E1029),"2 Add",IF(SHA1Range(E1029:J1029) = "7a7411131428bc06da1238116c9d179e2e565db4","0 Original","1 Modify"))))</f>
        <v>0 Original</v>
      </c>
      <c r="D1029" s="5" t="s">
        <v>1985</v>
      </c>
      <c r="E1029" s="3">
        <v>1061</v>
      </c>
      <c r="F1029" s="13">
        <v>42089</v>
      </c>
      <c r="G1029" t="s">
        <v>170</v>
      </c>
      <c r="H1029" s="9">
        <v>24.97</v>
      </c>
      <c r="I1029" s="5" t="s">
        <v>68</v>
      </c>
      <c r="J1029" s="15">
        <v>42089.874016203707</v>
      </c>
      <c r="K1029" t="str">
        <f t="shared" si="16"/>
        <v>03-2015</v>
      </c>
    </row>
    <row r="1030" spans="3:11" x14ac:dyDescent="0.25">
      <c r="C1030" t="str">
        <f>IF(COUNTBLANK(E1030:J1030) = 6,"",IF(AND(NOT(ISBLANK(E1030)),COUNTBLANK(E1030:J1030) = 5),"3 Delete",IF(ISBLANK(E1030),"2 Add",IF(SHA1Range(E1030:J1030) = "ea25a789646f5cd0a333dc608609f57670dc8a9d","0 Original","1 Modify"))))</f>
        <v>0 Original</v>
      </c>
      <c r="D1030" s="5" t="s">
        <v>1986</v>
      </c>
      <c r="E1030" s="3">
        <v>1349</v>
      </c>
      <c r="F1030" s="13">
        <v>42089</v>
      </c>
      <c r="G1030" t="s">
        <v>290</v>
      </c>
      <c r="H1030" s="9">
        <v>23.97</v>
      </c>
      <c r="I1030" s="5" t="s">
        <v>68</v>
      </c>
      <c r="J1030" s="15">
        <v>42089.961875000001</v>
      </c>
      <c r="K1030" t="str">
        <f t="shared" si="16"/>
        <v>03-2015</v>
      </c>
    </row>
    <row r="1031" spans="3:11" x14ac:dyDescent="0.25">
      <c r="C1031" t="str">
        <f>IF(COUNTBLANK(E1031:J1031) = 6,"",IF(AND(NOT(ISBLANK(E1031)),COUNTBLANK(E1031:J1031) = 5),"3 Delete",IF(ISBLANK(E1031),"2 Add",IF(SHA1Range(E1031:J1031) = "7dda06a7652498578e980717a49658f458d3ac77","0 Original","1 Modify"))))</f>
        <v>0 Original</v>
      </c>
      <c r="D1031" s="5" t="s">
        <v>1987</v>
      </c>
      <c r="E1031" s="3">
        <v>1354</v>
      </c>
      <c r="F1031" s="13">
        <v>42090</v>
      </c>
      <c r="G1031" t="s">
        <v>317</v>
      </c>
      <c r="H1031" s="9">
        <v>59.92</v>
      </c>
      <c r="I1031" s="5" t="s">
        <v>68</v>
      </c>
      <c r="J1031" s="15">
        <v>42090.079699074071</v>
      </c>
      <c r="K1031" t="str">
        <f t="shared" si="16"/>
        <v>03-2015</v>
      </c>
    </row>
    <row r="1032" spans="3:11" x14ac:dyDescent="0.25">
      <c r="C1032" t="str">
        <f>IF(COUNTBLANK(E1032:J1032) = 6,"",IF(AND(NOT(ISBLANK(E1032)),COUNTBLANK(E1032:J1032) = 5),"3 Delete",IF(ISBLANK(E1032),"2 Add",IF(SHA1Range(E1032:J1032) = "47f526494a7efdff41e9539157c7e56a097e2d40","0 Original","1 Modify"))))</f>
        <v>0 Original</v>
      </c>
      <c r="D1032" s="5" t="s">
        <v>1988</v>
      </c>
      <c r="E1032" s="3">
        <v>1324</v>
      </c>
      <c r="F1032" s="13">
        <v>42090</v>
      </c>
      <c r="G1032" t="s">
        <v>290</v>
      </c>
      <c r="H1032" s="9">
        <v>13.98</v>
      </c>
      <c r="I1032" s="5" t="s">
        <v>68</v>
      </c>
      <c r="J1032" s="15">
        <v>42090.33834490741</v>
      </c>
      <c r="K1032" t="str">
        <f t="shared" si="16"/>
        <v>03-2015</v>
      </c>
    </row>
    <row r="1033" spans="3:11" x14ac:dyDescent="0.25">
      <c r="C1033" t="str">
        <f>IF(COUNTBLANK(E1033:J1033) = 6,"",IF(AND(NOT(ISBLANK(E1033)),COUNTBLANK(E1033:J1033) = 5),"3 Delete",IF(ISBLANK(E1033),"2 Add",IF(SHA1Range(E1033:J1033) = "97ffc74e8dfb1539080fbb5a857bb4c6c9ff113a","0 Original","1 Modify"))))</f>
        <v>0 Original</v>
      </c>
      <c r="D1033" s="5" t="s">
        <v>1989</v>
      </c>
      <c r="E1033" s="3">
        <v>1423</v>
      </c>
      <c r="F1033" s="13">
        <v>42090</v>
      </c>
      <c r="G1033" t="s">
        <v>65</v>
      </c>
      <c r="H1033" s="9">
        <v>65.92</v>
      </c>
      <c r="I1033" s="5" t="s">
        <v>68</v>
      </c>
      <c r="J1033" s="15">
        <v>42090.348807870374</v>
      </c>
      <c r="K1033" t="str">
        <f t="shared" si="16"/>
        <v>03-2015</v>
      </c>
    </row>
    <row r="1034" spans="3:11" x14ac:dyDescent="0.25">
      <c r="C1034" t="str">
        <f>IF(COUNTBLANK(E1034:J1034) = 6,"",IF(AND(NOT(ISBLANK(E1034)),COUNTBLANK(E1034:J1034) = 5),"3 Delete",IF(ISBLANK(E1034),"2 Add",IF(SHA1Range(E1034:J1034) = "7e8fa69245c05e4acf8ebe68bdc8ca255996222c","0 Original","1 Modify"))))</f>
        <v>0 Original</v>
      </c>
      <c r="D1034" s="5" t="s">
        <v>1990</v>
      </c>
      <c r="E1034" s="3">
        <v>1289</v>
      </c>
      <c r="F1034" s="13">
        <v>42090</v>
      </c>
      <c r="G1034" t="s">
        <v>308</v>
      </c>
      <c r="H1034" s="9">
        <v>83.9</v>
      </c>
      <c r="I1034" s="5" t="s">
        <v>68</v>
      </c>
      <c r="J1034" s="15">
        <v>42090.362083333333</v>
      </c>
      <c r="K1034" t="str">
        <f t="shared" si="16"/>
        <v>03-2015</v>
      </c>
    </row>
    <row r="1035" spans="3:11" x14ac:dyDescent="0.25">
      <c r="C1035" t="str">
        <f>IF(COUNTBLANK(E1035:J1035) = 6,"",IF(AND(NOT(ISBLANK(E1035)),COUNTBLANK(E1035:J1035) = 5),"3 Delete",IF(ISBLANK(E1035),"2 Add",IF(SHA1Range(E1035:J1035) = "2cab2b92e429ca1c1438ea3c59a3766dd745be88","0 Original","1 Modify"))))</f>
        <v>0 Original</v>
      </c>
      <c r="D1035" s="5" t="s">
        <v>1991</v>
      </c>
      <c r="E1035" s="3">
        <v>1359</v>
      </c>
      <c r="F1035" s="13">
        <v>42090</v>
      </c>
      <c r="G1035" t="s">
        <v>101</v>
      </c>
      <c r="H1035" s="9">
        <v>52.93</v>
      </c>
      <c r="I1035" s="5" t="s">
        <v>68</v>
      </c>
      <c r="J1035" s="15">
        <v>42090.516215277778</v>
      </c>
      <c r="K1035" t="str">
        <f t="shared" si="16"/>
        <v>03-2015</v>
      </c>
    </row>
    <row r="1036" spans="3:11" x14ac:dyDescent="0.25">
      <c r="C1036" t="str">
        <f>IF(COUNTBLANK(E1036:J1036) = 6,"",IF(AND(NOT(ISBLANK(E1036)),COUNTBLANK(E1036:J1036) = 5),"3 Delete",IF(ISBLANK(E1036),"2 Add",IF(SHA1Range(E1036:J1036) = "fa29502f52bbe970f1e5df80d78299894a5a3ff0","0 Original","1 Modify"))))</f>
        <v>0 Original</v>
      </c>
      <c r="D1036" s="5" t="s">
        <v>4375</v>
      </c>
      <c r="E1036" s="3">
        <v>193</v>
      </c>
      <c r="F1036" s="13">
        <v>42090</v>
      </c>
      <c r="G1036" t="s">
        <v>230</v>
      </c>
      <c r="H1036" s="9">
        <v>18.98</v>
      </c>
      <c r="I1036" s="5" t="s">
        <v>68</v>
      </c>
      <c r="J1036" s="15">
        <v>42090.629988425928</v>
      </c>
      <c r="K1036" t="str">
        <f t="shared" si="16"/>
        <v>03-2015</v>
      </c>
    </row>
    <row r="1037" spans="3:11" x14ac:dyDescent="0.25">
      <c r="C1037" t="str">
        <f>IF(COUNTBLANK(E1037:J1037) = 6,"",IF(AND(NOT(ISBLANK(E1037)),COUNTBLANK(E1037:J1037) = 5),"3 Delete",IF(ISBLANK(E1037),"2 Add",IF(SHA1Range(E1037:J1037) = "0e6cd528eeacf2c1aff7bb65d8401b0848ad447f","0 Original","1 Modify"))))</f>
        <v>0 Original</v>
      </c>
      <c r="D1037" s="5" t="s">
        <v>4376</v>
      </c>
      <c r="E1037" s="3">
        <v>491</v>
      </c>
      <c r="F1037" s="13">
        <v>42090</v>
      </c>
      <c r="G1037" t="s">
        <v>73</v>
      </c>
      <c r="H1037" s="9">
        <v>27.96</v>
      </c>
      <c r="I1037" s="5" t="s">
        <v>68</v>
      </c>
      <c r="J1037" s="15">
        <v>42090.933217592596</v>
      </c>
      <c r="K1037" t="str">
        <f t="shared" si="16"/>
        <v>03-2015</v>
      </c>
    </row>
    <row r="1038" spans="3:11" x14ac:dyDescent="0.25">
      <c r="C1038" t="str">
        <f>IF(COUNTBLANK(E1038:J1038) = 6,"",IF(AND(NOT(ISBLANK(E1038)),COUNTBLANK(E1038:J1038) = 5),"3 Delete",IF(ISBLANK(E1038),"2 Add",IF(SHA1Range(E1038:J1038) = "f655b87dd94bc0e9989a83c9d88d22477459f879","0 Original","1 Modify"))))</f>
        <v>0 Original</v>
      </c>
      <c r="D1038" s="5" t="s">
        <v>1992</v>
      </c>
      <c r="E1038" s="3">
        <v>1358</v>
      </c>
      <c r="F1038" s="13">
        <v>42090</v>
      </c>
      <c r="G1038" t="s">
        <v>161</v>
      </c>
      <c r="H1038" s="9">
        <v>14.98</v>
      </c>
      <c r="I1038" s="5" t="s">
        <v>68</v>
      </c>
      <c r="J1038" s="15">
        <v>42090.999537037038</v>
      </c>
      <c r="K1038" t="str">
        <f t="shared" si="16"/>
        <v>03-2015</v>
      </c>
    </row>
    <row r="1039" spans="3:11" x14ac:dyDescent="0.25">
      <c r="C1039" t="str">
        <f>IF(COUNTBLANK(E1039:J1039) = 6,"",IF(AND(NOT(ISBLANK(E1039)),COUNTBLANK(E1039:J1039) = 5),"3 Delete",IF(ISBLANK(E1039),"2 Add",IF(SHA1Range(E1039:J1039) = "c48153d5a6821a026f2d4b9f8ff60c9de82d274d","0 Original","1 Modify"))))</f>
        <v>0 Original</v>
      </c>
      <c r="D1039" s="5" t="s">
        <v>1993</v>
      </c>
      <c r="E1039" s="3">
        <v>1407</v>
      </c>
      <c r="F1039" s="13">
        <v>42091</v>
      </c>
      <c r="G1039" t="s">
        <v>353</v>
      </c>
      <c r="H1039" s="9">
        <v>44.94</v>
      </c>
      <c r="I1039" s="5" t="s">
        <v>68</v>
      </c>
      <c r="J1039" s="15">
        <v>42091.054618055554</v>
      </c>
      <c r="K1039" t="str">
        <f t="shared" si="16"/>
        <v>03-2015</v>
      </c>
    </row>
    <row r="1040" spans="3:11" x14ac:dyDescent="0.25">
      <c r="C1040" t="str">
        <f>IF(COUNTBLANK(E1040:J1040) = 6,"",IF(AND(NOT(ISBLANK(E1040)),COUNTBLANK(E1040:J1040) = 5),"3 Delete",IF(ISBLANK(E1040),"2 Add",IF(SHA1Range(E1040:J1040) = "cdfb97efdfad73f7c641fea3a76ae5d912645955","0 Original","1 Modify"))))</f>
        <v>0 Original</v>
      </c>
      <c r="D1040" s="5" t="s">
        <v>1994</v>
      </c>
      <c r="E1040" s="3">
        <v>1231</v>
      </c>
      <c r="F1040" s="13">
        <v>42091</v>
      </c>
      <c r="G1040" t="s">
        <v>212</v>
      </c>
      <c r="H1040" s="9">
        <v>9.99</v>
      </c>
      <c r="I1040" s="5" t="s">
        <v>68</v>
      </c>
      <c r="J1040" s="15">
        <v>42091.070798611108</v>
      </c>
      <c r="K1040" t="str">
        <f t="shared" si="16"/>
        <v>03-2015</v>
      </c>
    </row>
    <row r="1041" spans="3:11" x14ac:dyDescent="0.25">
      <c r="C1041" t="str">
        <f>IF(COUNTBLANK(E1041:J1041) = 6,"",IF(AND(NOT(ISBLANK(E1041)),COUNTBLANK(E1041:J1041) = 5),"3 Delete",IF(ISBLANK(E1041),"2 Add",IF(SHA1Range(E1041:J1041) = "5143e17bf8bfc131e0cfb8f70a7871570606f5d3","0 Original","1 Modify"))))</f>
        <v>0 Original</v>
      </c>
      <c r="D1041" s="5" t="s">
        <v>1995</v>
      </c>
      <c r="E1041" s="3">
        <v>1389</v>
      </c>
      <c r="F1041" s="13">
        <v>42091</v>
      </c>
      <c r="G1041" t="s">
        <v>101</v>
      </c>
      <c r="H1041" s="9">
        <v>48.93</v>
      </c>
      <c r="I1041" s="5" t="s">
        <v>68</v>
      </c>
      <c r="J1041" s="15">
        <v>42091.155428240738</v>
      </c>
      <c r="K1041" t="str">
        <f t="shared" si="16"/>
        <v>03-2015</v>
      </c>
    </row>
    <row r="1042" spans="3:11" x14ac:dyDescent="0.25">
      <c r="C1042" t="str">
        <f>IF(COUNTBLANK(E1042:J1042) = 6,"",IF(AND(NOT(ISBLANK(E1042)),COUNTBLANK(E1042:J1042) = 5),"3 Delete",IF(ISBLANK(E1042),"2 Add",IF(SHA1Range(E1042:J1042) = "b39919c79a56edb69970d18f5c47c335c2b1fe96","0 Original","1 Modify"))))</f>
        <v>0 Original</v>
      </c>
      <c r="D1042" s="5" t="s">
        <v>4150</v>
      </c>
      <c r="E1042" s="3">
        <v>299</v>
      </c>
      <c r="F1042" s="13">
        <v>42091</v>
      </c>
      <c r="G1042" t="s">
        <v>182</v>
      </c>
      <c r="H1042" s="9">
        <v>60.93</v>
      </c>
      <c r="I1042" s="5" t="s">
        <v>68</v>
      </c>
      <c r="J1042" s="15">
        <v>42091.271423611113</v>
      </c>
      <c r="K1042" t="str">
        <f t="shared" si="16"/>
        <v>03-2015</v>
      </c>
    </row>
    <row r="1043" spans="3:11" x14ac:dyDescent="0.25">
      <c r="C1043" t="str">
        <f>IF(COUNTBLANK(E1043:J1043) = 6,"",IF(AND(NOT(ISBLANK(E1043)),COUNTBLANK(E1043:J1043) = 5),"3 Delete",IF(ISBLANK(E1043),"2 Add",IF(SHA1Range(E1043:J1043) = "fd95a2c318b207d58727d21928bb06f0fb177357","0 Original","1 Modify"))))</f>
        <v>0 Original</v>
      </c>
      <c r="D1043" s="5" t="s">
        <v>1996</v>
      </c>
      <c r="E1043" s="3">
        <v>1348</v>
      </c>
      <c r="F1043" s="13">
        <v>42091</v>
      </c>
      <c r="G1043" t="s">
        <v>290</v>
      </c>
      <c r="H1043" s="9">
        <v>76.91</v>
      </c>
      <c r="I1043" s="5" t="s">
        <v>68</v>
      </c>
      <c r="J1043" s="15">
        <v>42091.350034722222</v>
      </c>
      <c r="K1043" t="str">
        <f t="shared" si="16"/>
        <v>03-2015</v>
      </c>
    </row>
    <row r="1044" spans="3:11" x14ac:dyDescent="0.25">
      <c r="C1044" t="str">
        <f>IF(COUNTBLANK(E1044:J1044) = 6,"",IF(AND(NOT(ISBLANK(E1044)),COUNTBLANK(E1044:J1044) = 5),"3 Delete",IF(ISBLANK(E1044),"2 Add",IF(SHA1Range(E1044:J1044) = "d2c3e276c2cb006d4a02f4f74965db6f2c67baca","0 Original","1 Modify"))))</f>
        <v>0 Original</v>
      </c>
      <c r="D1044" s="5" t="s">
        <v>4155</v>
      </c>
      <c r="E1044" s="3">
        <v>471</v>
      </c>
      <c r="F1044" s="13">
        <v>42091</v>
      </c>
      <c r="G1044" t="s">
        <v>311</v>
      </c>
      <c r="H1044" s="9">
        <v>36.96</v>
      </c>
      <c r="I1044" s="5" t="s">
        <v>68</v>
      </c>
      <c r="J1044" s="15">
        <v>42091.568553240744</v>
      </c>
      <c r="K1044" t="str">
        <f t="shared" si="16"/>
        <v>03-2015</v>
      </c>
    </row>
    <row r="1045" spans="3:11" x14ac:dyDescent="0.25">
      <c r="C1045" t="str">
        <f>IF(COUNTBLANK(E1045:J1045) = 6,"",IF(AND(NOT(ISBLANK(E1045)),COUNTBLANK(E1045:J1045) = 5),"3 Delete",IF(ISBLANK(E1045),"2 Add",IF(SHA1Range(E1045:J1045) = "0c5bc4d254ca223b504d66190804bf5a126dbf2e","0 Original","1 Modify"))))</f>
        <v>0 Original</v>
      </c>
      <c r="D1045" s="5" t="s">
        <v>1997</v>
      </c>
      <c r="E1045" s="3">
        <v>1403</v>
      </c>
      <c r="F1045" s="13">
        <v>42091</v>
      </c>
      <c r="G1045" t="s">
        <v>257</v>
      </c>
      <c r="H1045" s="9">
        <v>15.98</v>
      </c>
      <c r="I1045" s="5" t="s">
        <v>68</v>
      </c>
      <c r="J1045" s="15">
        <v>42091.625474537039</v>
      </c>
      <c r="K1045" t="str">
        <f t="shared" si="16"/>
        <v>03-2015</v>
      </c>
    </row>
    <row r="1046" spans="3:11" x14ac:dyDescent="0.25">
      <c r="C1046" t="str">
        <f>IF(COUNTBLANK(E1046:J1046) = 6,"",IF(AND(NOT(ISBLANK(E1046)),COUNTBLANK(E1046:J1046) = 5),"3 Delete",IF(ISBLANK(E1046),"2 Add",IF(SHA1Range(E1046:J1046) = "aa7059a4fb12e7c381bc5aad11bd3adde45a8cf1","0 Original","1 Modify"))))</f>
        <v>0 Original</v>
      </c>
      <c r="D1046" s="5" t="s">
        <v>1998</v>
      </c>
      <c r="E1046" s="3">
        <v>1355</v>
      </c>
      <c r="F1046" s="13">
        <v>42091</v>
      </c>
      <c r="G1046" t="s">
        <v>257</v>
      </c>
      <c r="H1046" s="9">
        <v>17.98</v>
      </c>
      <c r="I1046" s="5" t="s">
        <v>68</v>
      </c>
      <c r="J1046" s="15">
        <v>42091.741631944446</v>
      </c>
      <c r="K1046" t="str">
        <f t="shared" si="16"/>
        <v>03-2015</v>
      </c>
    </row>
    <row r="1047" spans="3:11" x14ac:dyDescent="0.25">
      <c r="C1047" t="str">
        <f>IF(COUNTBLANK(E1047:J1047) = 6,"",IF(AND(NOT(ISBLANK(E1047)),COUNTBLANK(E1047:J1047) = 5),"3 Delete",IF(ISBLANK(E1047),"2 Add",IF(SHA1Range(E1047:J1047) = "cb3f4d5f4a5f25c6e552e2bacabc785a69405d81","0 Original","1 Modify"))))</f>
        <v>0 Original</v>
      </c>
      <c r="D1047" s="5" t="s">
        <v>1999</v>
      </c>
      <c r="E1047" s="3">
        <v>1219</v>
      </c>
      <c r="F1047" s="13">
        <v>42092</v>
      </c>
      <c r="G1047" t="s">
        <v>290</v>
      </c>
      <c r="H1047" s="9">
        <v>11.98</v>
      </c>
      <c r="I1047" s="5" t="s">
        <v>68</v>
      </c>
      <c r="J1047" s="15">
        <v>42092.222893518519</v>
      </c>
      <c r="K1047" t="str">
        <f t="shared" si="16"/>
        <v>03-2015</v>
      </c>
    </row>
    <row r="1048" spans="3:11" x14ac:dyDescent="0.25">
      <c r="C1048" t="str">
        <f>IF(COUNTBLANK(E1048:J1048) = 6,"",IF(AND(NOT(ISBLANK(E1048)),COUNTBLANK(E1048:J1048) = 5),"3 Delete",IF(ISBLANK(E1048),"2 Add",IF(SHA1Range(E1048:J1048) = "f955d6d8673e36491e59cd70bc8d01989debb726","0 Original","1 Modify"))))</f>
        <v>0 Original</v>
      </c>
      <c r="D1048" s="5" t="s">
        <v>2000</v>
      </c>
      <c r="E1048" s="3">
        <v>1170</v>
      </c>
      <c r="F1048" s="13">
        <v>42092</v>
      </c>
      <c r="G1048" t="s">
        <v>245</v>
      </c>
      <c r="H1048" s="9">
        <v>69.900000000000006</v>
      </c>
      <c r="I1048" s="5" t="s">
        <v>68</v>
      </c>
      <c r="J1048" s="15">
        <v>42092.230891203704</v>
      </c>
      <c r="K1048" t="str">
        <f t="shared" si="16"/>
        <v>03-2015</v>
      </c>
    </row>
    <row r="1049" spans="3:11" x14ac:dyDescent="0.25">
      <c r="C1049" t="str">
        <f>IF(COUNTBLANK(E1049:J1049) = 6,"",IF(AND(NOT(ISBLANK(E1049)),COUNTBLANK(E1049:J1049) = 5),"3 Delete",IF(ISBLANK(E1049),"2 Add",IF(SHA1Range(E1049:J1049) = "d5bf40cd93d4fb703294b1dca64f863044a58f23","0 Original","1 Modify"))))</f>
        <v>0 Original</v>
      </c>
      <c r="D1049" s="5" t="s">
        <v>4377</v>
      </c>
      <c r="E1049" s="3">
        <v>494</v>
      </c>
      <c r="F1049" s="13">
        <v>42092</v>
      </c>
      <c r="G1049" t="s">
        <v>101</v>
      </c>
      <c r="H1049" s="9">
        <v>22.97</v>
      </c>
      <c r="I1049" s="5" t="s">
        <v>68</v>
      </c>
      <c r="J1049" s="15">
        <v>42092.272418981483</v>
      </c>
      <c r="K1049" t="str">
        <f t="shared" si="16"/>
        <v>03-2015</v>
      </c>
    </row>
    <row r="1050" spans="3:11" x14ac:dyDescent="0.25">
      <c r="C1050" t="str">
        <f>IF(COUNTBLANK(E1050:J1050) = 6,"",IF(AND(NOT(ISBLANK(E1050)),COUNTBLANK(E1050:J1050) = 5),"3 Delete",IF(ISBLANK(E1050),"2 Add",IF(SHA1Range(E1050:J1050) = "45ec9edaf86127937b0080c530b0e7c5542a93d3","0 Original","1 Modify"))))</f>
        <v>0 Original</v>
      </c>
      <c r="D1050" s="5" t="s">
        <v>2001</v>
      </c>
      <c r="E1050" s="3">
        <v>1284</v>
      </c>
      <c r="F1050" s="13">
        <v>42092</v>
      </c>
      <c r="G1050" t="s">
        <v>296</v>
      </c>
      <c r="H1050" s="9">
        <v>18.98</v>
      </c>
      <c r="I1050" s="5" t="s">
        <v>68</v>
      </c>
      <c r="J1050" s="15">
        <v>42092.288738425923</v>
      </c>
      <c r="K1050" t="str">
        <f t="shared" si="16"/>
        <v>03-2015</v>
      </c>
    </row>
    <row r="1051" spans="3:11" x14ac:dyDescent="0.25">
      <c r="C1051" t="str">
        <f>IF(COUNTBLANK(E1051:J1051) = 6,"",IF(AND(NOT(ISBLANK(E1051)),COUNTBLANK(E1051:J1051) = 5),"3 Delete",IF(ISBLANK(E1051),"2 Add",IF(SHA1Range(E1051:J1051) = "d0d93242b7491f416abd747e9b7f60cc5cd34164","0 Original","1 Modify"))))</f>
        <v>0 Original</v>
      </c>
      <c r="D1051" s="5" t="s">
        <v>2002</v>
      </c>
      <c r="E1051" s="3">
        <v>1325</v>
      </c>
      <c r="F1051" s="13">
        <v>42092</v>
      </c>
      <c r="G1051" t="s">
        <v>182</v>
      </c>
      <c r="H1051" s="9">
        <v>32.96</v>
      </c>
      <c r="I1051" s="5" t="s">
        <v>68</v>
      </c>
      <c r="J1051" s="15">
        <v>42092.580821759257</v>
      </c>
      <c r="K1051" t="str">
        <f t="shared" si="16"/>
        <v>03-2015</v>
      </c>
    </row>
    <row r="1052" spans="3:11" x14ac:dyDescent="0.25">
      <c r="C1052" t="str">
        <f>IF(COUNTBLANK(E1052:J1052) = 6,"",IF(AND(NOT(ISBLANK(E1052)),COUNTBLANK(E1052:J1052) = 5),"3 Delete",IF(ISBLANK(E1052),"2 Add",IF(SHA1Range(E1052:J1052) = "fc208e30f2eaa69b13a0cf7085e37a413a603065","0 Original","1 Modify"))))</f>
        <v>0 Original</v>
      </c>
      <c r="D1052" s="5" t="s">
        <v>2003</v>
      </c>
      <c r="E1052" s="3">
        <v>1377</v>
      </c>
      <c r="F1052" s="13">
        <v>42092</v>
      </c>
      <c r="G1052" t="s">
        <v>101</v>
      </c>
      <c r="H1052" s="9">
        <v>18.97</v>
      </c>
      <c r="I1052" s="5" t="s">
        <v>68</v>
      </c>
      <c r="J1052" s="15">
        <v>42092.715960648151</v>
      </c>
      <c r="K1052" t="str">
        <f t="shared" si="16"/>
        <v>03-2015</v>
      </c>
    </row>
    <row r="1053" spans="3:11" x14ac:dyDescent="0.25">
      <c r="C1053" t="str">
        <f>IF(COUNTBLANK(E1053:J1053) = 6,"",IF(AND(NOT(ISBLANK(E1053)),COUNTBLANK(E1053:J1053) = 5),"3 Delete",IF(ISBLANK(E1053),"2 Add",IF(SHA1Range(E1053:J1053) = "b3a25c2bd9fd05992b5ac64ee16632189c4fe222","0 Original","1 Modify"))))</f>
        <v>0 Original</v>
      </c>
      <c r="D1053" s="5" t="s">
        <v>2004</v>
      </c>
      <c r="E1053" s="3">
        <v>1428</v>
      </c>
      <c r="F1053" s="13">
        <v>42092</v>
      </c>
      <c r="G1053" t="s">
        <v>69</v>
      </c>
      <c r="H1053" s="9">
        <v>6.99</v>
      </c>
      <c r="I1053" s="5" t="s">
        <v>68</v>
      </c>
      <c r="J1053" s="15">
        <v>42092.752743055556</v>
      </c>
      <c r="K1053" t="str">
        <f t="shared" si="16"/>
        <v>03-2015</v>
      </c>
    </row>
    <row r="1054" spans="3:11" x14ac:dyDescent="0.25">
      <c r="C1054" t="str">
        <f>IF(COUNTBLANK(E1054:J1054) = 6,"",IF(AND(NOT(ISBLANK(E1054)),COUNTBLANK(E1054:J1054) = 5),"3 Delete",IF(ISBLANK(E1054),"2 Add",IF(SHA1Range(E1054:J1054) = "57946ba3d7f7b8b3fc1ff4895f2a63e71094abaa","0 Original","1 Modify"))))</f>
        <v>0 Original</v>
      </c>
      <c r="D1054" s="5" t="s">
        <v>2005</v>
      </c>
      <c r="E1054" s="3">
        <v>192</v>
      </c>
      <c r="F1054" s="13">
        <v>42092</v>
      </c>
      <c r="G1054" t="s">
        <v>65</v>
      </c>
      <c r="H1054" s="9">
        <v>27.96</v>
      </c>
      <c r="I1054" s="5" t="s">
        <v>68</v>
      </c>
      <c r="J1054" s="15">
        <v>42092.796840277777</v>
      </c>
      <c r="K1054" t="str">
        <f t="shared" si="16"/>
        <v>03-2015</v>
      </c>
    </row>
    <row r="1055" spans="3:11" x14ac:dyDescent="0.25">
      <c r="C1055" t="str">
        <f>IF(COUNTBLANK(E1055:J1055) = 6,"",IF(AND(NOT(ISBLANK(E1055)),COUNTBLANK(E1055:J1055) = 5),"3 Delete",IF(ISBLANK(E1055),"2 Add",IF(SHA1Range(E1055:J1055) = "4af18f9ce05e9c417f57ab914a0e2ea2261e4760","0 Original","1 Modify"))))</f>
        <v>0 Original</v>
      </c>
      <c r="D1055" s="5" t="s">
        <v>2006</v>
      </c>
      <c r="E1055" s="3">
        <v>1370</v>
      </c>
      <c r="F1055" s="13">
        <v>42092</v>
      </c>
      <c r="G1055" t="s">
        <v>251</v>
      </c>
      <c r="H1055" s="9">
        <v>21.96</v>
      </c>
      <c r="I1055" s="5" t="s">
        <v>68</v>
      </c>
      <c r="J1055" s="15">
        <v>42092.946527777778</v>
      </c>
      <c r="K1055" t="str">
        <f t="shared" si="16"/>
        <v>03-2015</v>
      </c>
    </row>
    <row r="1056" spans="3:11" x14ac:dyDescent="0.25">
      <c r="C1056" t="str">
        <f>IF(COUNTBLANK(E1056:J1056) = 6,"",IF(AND(NOT(ISBLANK(E1056)),COUNTBLANK(E1056:J1056) = 5),"3 Delete",IF(ISBLANK(E1056),"2 Add",IF(SHA1Range(E1056:J1056) = "3a7c4e863b46912a66e2673af0bae5a435dc246c","0 Original","1 Modify"))))</f>
        <v>0 Original</v>
      </c>
      <c r="D1056" s="5" t="s">
        <v>2007</v>
      </c>
      <c r="E1056" s="3">
        <v>868</v>
      </c>
      <c r="F1056" s="13">
        <v>42093</v>
      </c>
      <c r="G1056" t="s">
        <v>302</v>
      </c>
      <c r="H1056" s="9">
        <v>35.950000000000003</v>
      </c>
      <c r="I1056" s="5" t="s">
        <v>68</v>
      </c>
      <c r="J1056" s="15">
        <v>42093.029745370368</v>
      </c>
      <c r="K1056" t="str">
        <f t="shared" si="16"/>
        <v>03-2015</v>
      </c>
    </row>
    <row r="1057" spans="3:11" x14ac:dyDescent="0.25">
      <c r="C1057" t="str">
        <f>IF(COUNTBLANK(E1057:J1057) = 6,"",IF(AND(NOT(ISBLANK(E1057)),COUNTBLANK(E1057:J1057) = 5),"3 Delete",IF(ISBLANK(E1057),"2 Add",IF(SHA1Range(E1057:J1057) = "9052c1b27809aa1896385943a823658daeefe53e","0 Original","1 Modify"))))</f>
        <v>0 Original</v>
      </c>
      <c r="D1057" s="5" t="s">
        <v>2008</v>
      </c>
      <c r="E1057" s="3">
        <v>1326</v>
      </c>
      <c r="F1057" s="13">
        <v>42093</v>
      </c>
      <c r="G1057" t="s">
        <v>353</v>
      </c>
      <c r="H1057" s="9">
        <v>8.99</v>
      </c>
      <c r="I1057" s="5" t="s">
        <v>68</v>
      </c>
      <c r="J1057" s="15">
        <v>42093.949004629627</v>
      </c>
      <c r="K1057" t="str">
        <f t="shared" si="16"/>
        <v>03-2015</v>
      </c>
    </row>
    <row r="1058" spans="3:11" x14ac:dyDescent="0.25">
      <c r="C1058" t="str">
        <f>IF(COUNTBLANK(E1058:J1058) = 6,"",IF(AND(NOT(ISBLANK(E1058)),COUNTBLANK(E1058:J1058) = 5),"3 Delete",IF(ISBLANK(E1058),"2 Add",IF(SHA1Range(E1058:J1058) = "46378e8fd71141128773bec02ce475df9dc64558","0 Original","1 Modify"))))</f>
        <v>0 Original</v>
      </c>
      <c r="D1058" s="5" t="s">
        <v>2009</v>
      </c>
      <c r="E1058" s="3">
        <v>1485</v>
      </c>
      <c r="F1058" s="13">
        <v>42094</v>
      </c>
      <c r="G1058" t="s">
        <v>317</v>
      </c>
      <c r="H1058" s="9">
        <v>46.94</v>
      </c>
      <c r="I1058" s="5" t="s">
        <v>68</v>
      </c>
      <c r="J1058" s="15">
        <v>42094.237754629627</v>
      </c>
      <c r="K1058" t="str">
        <f t="shared" si="16"/>
        <v>03-2015</v>
      </c>
    </row>
    <row r="1059" spans="3:11" x14ac:dyDescent="0.25">
      <c r="C1059" t="str">
        <f>IF(COUNTBLANK(E1059:J1059) = 6,"",IF(AND(NOT(ISBLANK(E1059)),COUNTBLANK(E1059:J1059) = 5),"3 Delete",IF(ISBLANK(E1059),"2 Add",IF(SHA1Range(E1059:J1059) = "e98779b7187a0bb13fc0e7b511ad992a269ec318","0 Original","1 Modify"))))</f>
        <v>0 Original</v>
      </c>
      <c r="D1059" s="5" t="s">
        <v>4378</v>
      </c>
      <c r="E1059" s="3">
        <v>315</v>
      </c>
      <c r="F1059" s="13">
        <v>42094</v>
      </c>
      <c r="G1059" t="s">
        <v>329</v>
      </c>
      <c r="H1059" s="9">
        <v>15.97</v>
      </c>
      <c r="I1059" s="5" t="s">
        <v>68</v>
      </c>
      <c r="J1059" s="15">
        <v>42094.419004629628</v>
      </c>
      <c r="K1059" t="str">
        <f t="shared" si="16"/>
        <v>03-2015</v>
      </c>
    </row>
    <row r="1060" spans="3:11" x14ac:dyDescent="0.25">
      <c r="C1060" t="str">
        <f>IF(COUNTBLANK(E1060:J1060) = 6,"",IF(AND(NOT(ISBLANK(E1060)),COUNTBLANK(E1060:J1060) = 5),"3 Delete",IF(ISBLANK(E1060),"2 Add",IF(SHA1Range(E1060:J1060) = "22e72ce62cf4de830e17ea238631a0bc9ec16105","0 Original","1 Modify"))))</f>
        <v>0 Original</v>
      </c>
      <c r="D1060" s="5" t="s">
        <v>2010</v>
      </c>
      <c r="E1060" s="3">
        <v>1247</v>
      </c>
      <c r="F1060" s="13">
        <v>42094</v>
      </c>
      <c r="G1060" t="s">
        <v>245</v>
      </c>
      <c r="H1060" s="9">
        <v>20.97</v>
      </c>
      <c r="I1060" s="5" t="s">
        <v>68</v>
      </c>
      <c r="J1060" s="15">
        <v>42094.717129629629</v>
      </c>
      <c r="K1060" t="str">
        <f t="shared" si="16"/>
        <v>03-2015</v>
      </c>
    </row>
    <row r="1061" spans="3:11" x14ac:dyDescent="0.25">
      <c r="C1061" t="str">
        <f>IF(COUNTBLANK(E1061:J1061) = 6,"",IF(AND(NOT(ISBLANK(E1061)),COUNTBLANK(E1061:J1061) = 5),"3 Delete",IF(ISBLANK(E1061),"2 Add",IF(SHA1Range(E1061:J1061) = "7262563f4aa8b86a04457b91d79241d86d82dfa3","0 Original","1 Modify"))))</f>
        <v>0 Original</v>
      </c>
      <c r="D1061" s="5" t="s">
        <v>2011</v>
      </c>
      <c r="E1061" s="3">
        <v>579</v>
      </c>
      <c r="F1061" s="13">
        <v>42094</v>
      </c>
      <c r="G1061" t="s">
        <v>308</v>
      </c>
      <c r="H1061" s="9">
        <v>41.94</v>
      </c>
      <c r="I1061" s="5" t="s">
        <v>68</v>
      </c>
      <c r="J1061" s="15">
        <v>42094.848356481481</v>
      </c>
      <c r="K1061" t="str">
        <f t="shared" si="16"/>
        <v>03-2015</v>
      </c>
    </row>
    <row r="1062" spans="3:11" x14ac:dyDescent="0.25">
      <c r="C1062" t="str">
        <f>IF(COUNTBLANK(E1062:J1062) = 6,"",IF(AND(NOT(ISBLANK(E1062)),COUNTBLANK(E1062:J1062) = 5),"3 Delete",IF(ISBLANK(E1062),"2 Add",IF(SHA1Range(E1062:J1062) = "16a162718e3c196022d5c6655534ffc6025a8044","0 Original","1 Modify"))))</f>
        <v>0 Original</v>
      </c>
      <c r="D1062" s="5" t="s">
        <v>2012</v>
      </c>
      <c r="E1062" s="3">
        <v>1303</v>
      </c>
      <c r="F1062" s="13">
        <v>42094</v>
      </c>
      <c r="G1062" t="s">
        <v>251</v>
      </c>
      <c r="H1062" s="9">
        <v>42.95</v>
      </c>
      <c r="I1062" s="5" t="s">
        <v>68</v>
      </c>
      <c r="J1062" s="15">
        <v>42094.941365740742</v>
      </c>
      <c r="K1062" t="str">
        <f t="shared" si="16"/>
        <v>03-2015</v>
      </c>
    </row>
    <row r="1063" spans="3:11" x14ac:dyDescent="0.25">
      <c r="C1063" t="str">
        <f>IF(COUNTBLANK(E1063:J1063) = 6,"",IF(AND(NOT(ISBLANK(E1063)),COUNTBLANK(E1063:J1063) = 5),"3 Delete",IF(ISBLANK(E1063),"2 Add",IF(SHA1Range(E1063:J1063) = "db519aaeda50b414f281e58640b7b55825bba550","0 Original","1 Modify"))))</f>
        <v>0 Original</v>
      </c>
      <c r="D1063" s="5" t="s">
        <v>2013</v>
      </c>
      <c r="E1063" s="3">
        <v>1445</v>
      </c>
      <c r="F1063" s="13">
        <v>42095</v>
      </c>
      <c r="G1063" t="s">
        <v>281</v>
      </c>
      <c r="H1063" s="9">
        <v>17.98</v>
      </c>
      <c r="I1063" s="5" t="s">
        <v>68</v>
      </c>
      <c r="J1063" s="15">
        <v>42095.254745370374</v>
      </c>
      <c r="K1063" t="str">
        <f t="shared" si="16"/>
        <v>04-2015</v>
      </c>
    </row>
    <row r="1064" spans="3:11" x14ac:dyDescent="0.25">
      <c r="C1064" t="str">
        <f>IF(COUNTBLANK(E1064:J1064) = 6,"",IF(AND(NOT(ISBLANK(E1064)),COUNTBLANK(E1064:J1064) = 5),"3 Delete",IF(ISBLANK(E1064),"2 Add",IF(SHA1Range(E1064:J1064) = "6eb97655971271d7dac79a98b42ed0a867b5bef0","0 Original","1 Modify"))))</f>
        <v>0 Original</v>
      </c>
      <c r="D1064" s="5" t="s">
        <v>4379</v>
      </c>
      <c r="E1064" s="3">
        <v>440</v>
      </c>
      <c r="F1064" s="13">
        <v>42095</v>
      </c>
      <c r="G1064" t="s">
        <v>119</v>
      </c>
      <c r="H1064" s="9">
        <v>50.93</v>
      </c>
      <c r="I1064" s="5" t="s">
        <v>68</v>
      </c>
      <c r="J1064" s="15">
        <v>42095.567731481482</v>
      </c>
      <c r="K1064" t="str">
        <f t="shared" si="16"/>
        <v>04-2015</v>
      </c>
    </row>
    <row r="1065" spans="3:11" x14ac:dyDescent="0.25">
      <c r="C1065" t="str">
        <f>IF(COUNTBLANK(E1065:J1065) = 6,"",IF(AND(NOT(ISBLANK(E1065)),COUNTBLANK(E1065:J1065) = 5),"3 Delete",IF(ISBLANK(E1065),"2 Add",IF(SHA1Range(E1065:J1065) = "95398ed034bdb7e2bba05062137204da384bedc8","0 Original","1 Modify"))))</f>
        <v>0 Original</v>
      </c>
      <c r="D1065" s="5" t="s">
        <v>2014</v>
      </c>
      <c r="E1065" s="3">
        <v>915</v>
      </c>
      <c r="F1065" s="13">
        <v>42096</v>
      </c>
      <c r="G1065" t="s">
        <v>326</v>
      </c>
      <c r="H1065" s="9">
        <v>21.97</v>
      </c>
      <c r="I1065" s="5" t="s">
        <v>68</v>
      </c>
      <c r="J1065" s="15">
        <v>42096.226967592593</v>
      </c>
      <c r="K1065" t="str">
        <f t="shared" si="16"/>
        <v>04-2015</v>
      </c>
    </row>
    <row r="1066" spans="3:11" x14ac:dyDescent="0.25">
      <c r="C1066" t="str">
        <f>IF(COUNTBLANK(E1066:J1066) = 6,"",IF(AND(NOT(ISBLANK(E1066)),COUNTBLANK(E1066:J1066) = 5),"3 Delete",IF(ISBLANK(E1066),"2 Add",IF(SHA1Range(E1066:J1066) = "c3fbf4d0878aa25cccaef7a0d2064778f2983420","0 Original","1 Modify"))))</f>
        <v>0 Original</v>
      </c>
      <c r="D1066" s="5" t="s">
        <v>2015</v>
      </c>
      <c r="E1066" s="3">
        <v>1499</v>
      </c>
      <c r="F1066" s="13">
        <v>42096</v>
      </c>
      <c r="G1066" t="s">
        <v>278</v>
      </c>
      <c r="H1066" s="9">
        <v>31.96</v>
      </c>
      <c r="I1066" s="5" t="s">
        <v>68</v>
      </c>
      <c r="J1066" s="15">
        <v>42096.486145833333</v>
      </c>
      <c r="K1066" t="str">
        <f t="shared" si="16"/>
        <v>04-2015</v>
      </c>
    </row>
    <row r="1067" spans="3:11" x14ac:dyDescent="0.25">
      <c r="C1067" t="str">
        <f>IF(COUNTBLANK(E1067:J1067) = 6,"",IF(AND(NOT(ISBLANK(E1067)),COUNTBLANK(E1067:J1067) = 5),"3 Delete",IF(ISBLANK(E1067),"2 Add",IF(SHA1Range(E1067:J1067) = "42a06ea15a02e1402438b02587f5abd641966b25","0 Original","1 Modify"))))</f>
        <v>0 Original</v>
      </c>
      <c r="D1067" s="5" t="s">
        <v>2016</v>
      </c>
      <c r="E1067" s="3">
        <v>1425</v>
      </c>
      <c r="F1067" s="13">
        <v>42096</v>
      </c>
      <c r="G1067" t="s">
        <v>296</v>
      </c>
      <c r="H1067" s="9">
        <v>18.98</v>
      </c>
      <c r="I1067" s="5" t="s">
        <v>68</v>
      </c>
      <c r="J1067" s="15">
        <v>42096.621840277781</v>
      </c>
      <c r="K1067" t="str">
        <f t="shared" si="16"/>
        <v>04-2015</v>
      </c>
    </row>
    <row r="1068" spans="3:11" x14ac:dyDescent="0.25">
      <c r="C1068" t="str">
        <f>IF(COUNTBLANK(E1068:J1068) = 6,"",IF(AND(NOT(ISBLANK(E1068)),COUNTBLANK(E1068:J1068) = 5),"3 Delete",IF(ISBLANK(E1068),"2 Add",IF(SHA1Range(E1068:J1068) = "c46bd686d5d524d637f179b724c2feefacca1cb1","0 Original","1 Modify"))))</f>
        <v>0 Original</v>
      </c>
      <c r="D1068" s="5" t="s">
        <v>2017</v>
      </c>
      <c r="E1068" s="3">
        <v>1243</v>
      </c>
      <c r="F1068" s="13">
        <v>42096</v>
      </c>
      <c r="G1068" t="s">
        <v>290</v>
      </c>
      <c r="H1068" s="9">
        <v>4.99</v>
      </c>
      <c r="I1068" s="5" t="s">
        <v>68</v>
      </c>
      <c r="J1068" s="15">
        <v>42096.640011574076</v>
      </c>
      <c r="K1068" t="str">
        <f t="shared" si="16"/>
        <v>04-2015</v>
      </c>
    </row>
    <row r="1069" spans="3:11" x14ac:dyDescent="0.25">
      <c r="C1069" t="str">
        <f>IF(COUNTBLANK(E1069:J1069) = 6,"",IF(AND(NOT(ISBLANK(E1069)),COUNTBLANK(E1069:J1069) = 5),"3 Delete",IF(ISBLANK(E1069),"2 Add",IF(SHA1Range(E1069:J1069) = "cd70216fb3c06c1125ab813b43a1aaaa57aced12","0 Original","1 Modify"))))</f>
        <v>0 Original</v>
      </c>
      <c r="D1069" s="5" t="s">
        <v>2018</v>
      </c>
      <c r="E1069" s="3">
        <v>705</v>
      </c>
      <c r="F1069" s="13">
        <v>42096</v>
      </c>
      <c r="G1069" t="s">
        <v>272</v>
      </c>
      <c r="H1069" s="9">
        <v>23.97</v>
      </c>
      <c r="I1069" s="5" t="s">
        <v>68</v>
      </c>
      <c r="J1069" s="15">
        <v>42096.87427083333</v>
      </c>
      <c r="K1069" t="str">
        <f t="shared" si="16"/>
        <v>04-2015</v>
      </c>
    </row>
    <row r="1070" spans="3:11" x14ac:dyDescent="0.25">
      <c r="C1070" t="str">
        <f>IF(COUNTBLANK(E1070:J1070) = 6,"",IF(AND(NOT(ISBLANK(E1070)),COUNTBLANK(E1070:J1070) = 5),"3 Delete",IF(ISBLANK(E1070),"2 Add",IF(SHA1Range(E1070:J1070) = "d49d767851bcfeeb9f4e28b0ab66ee74da88e790","0 Original","1 Modify"))))</f>
        <v>0 Original</v>
      </c>
      <c r="D1070" s="5" t="s">
        <v>2019</v>
      </c>
      <c r="E1070" s="3">
        <v>1434</v>
      </c>
      <c r="F1070" s="13">
        <v>42096</v>
      </c>
      <c r="G1070" t="s">
        <v>65</v>
      </c>
      <c r="H1070" s="9">
        <v>12.98</v>
      </c>
      <c r="I1070" s="5" t="s">
        <v>68</v>
      </c>
      <c r="J1070" s="15">
        <v>42096.963576388887</v>
      </c>
      <c r="K1070" t="str">
        <f t="shared" si="16"/>
        <v>04-2015</v>
      </c>
    </row>
    <row r="1071" spans="3:11" x14ac:dyDescent="0.25">
      <c r="C1071" t="str">
        <f>IF(COUNTBLANK(E1071:J1071) = 6,"",IF(AND(NOT(ISBLANK(E1071)),COUNTBLANK(E1071:J1071) = 5),"3 Delete",IF(ISBLANK(E1071),"2 Add",IF(SHA1Range(E1071:J1071) = "ca30f299fba6df8cff6aad5db6e8fbaeef5c2a64","0 Original","1 Modify"))))</f>
        <v>0 Original</v>
      </c>
      <c r="D1071" s="5" t="s">
        <v>2020</v>
      </c>
      <c r="E1071" s="3">
        <v>1456</v>
      </c>
      <c r="F1071" s="13">
        <v>42097</v>
      </c>
      <c r="G1071" t="s">
        <v>92</v>
      </c>
      <c r="H1071" s="9">
        <v>26.97</v>
      </c>
      <c r="I1071" s="5" t="s">
        <v>68</v>
      </c>
      <c r="J1071" s="15">
        <v>42097.264953703707</v>
      </c>
      <c r="K1071" t="str">
        <f t="shared" si="16"/>
        <v>04-2015</v>
      </c>
    </row>
    <row r="1072" spans="3:11" x14ac:dyDescent="0.25">
      <c r="C1072" t="str">
        <f>IF(COUNTBLANK(E1072:J1072) = 6,"",IF(AND(NOT(ISBLANK(E1072)),COUNTBLANK(E1072:J1072) = 5),"3 Delete",IF(ISBLANK(E1072),"2 Add",IF(SHA1Range(E1072:J1072) = "77acb787b03d7d202a5b8652e008b16081780bd0","0 Original","1 Modify"))))</f>
        <v>0 Original</v>
      </c>
      <c r="D1072" s="5" t="s">
        <v>2021</v>
      </c>
      <c r="E1072" s="3">
        <v>1438</v>
      </c>
      <c r="F1072" s="13">
        <v>42097</v>
      </c>
      <c r="G1072" t="s">
        <v>311</v>
      </c>
      <c r="H1072" s="9">
        <v>51.94</v>
      </c>
      <c r="I1072" s="5" t="s">
        <v>68</v>
      </c>
      <c r="J1072" s="15">
        <v>42097.289525462962</v>
      </c>
      <c r="K1072" t="str">
        <f t="shared" si="16"/>
        <v>04-2015</v>
      </c>
    </row>
    <row r="1073" spans="3:11" x14ac:dyDescent="0.25">
      <c r="C1073" t="str">
        <f>IF(COUNTBLANK(E1073:J1073) = 6,"",IF(AND(NOT(ISBLANK(E1073)),COUNTBLANK(E1073:J1073) = 5),"3 Delete",IF(ISBLANK(E1073),"2 Add",IF(SHA1Range(E1073:J1073) = "6795916c71c9217b8a1cecf608d7368fa53baa64","0 Original","1 Modify"))))</f>
        <v>0 Original</v>
      </c>
      <c r="D1073" s="5" t="s">
        <v>2022</v>
      </c>
      <c r="E1073" s="3">
        <v>1448</v>
      </c>
      <c r="F1073" s="13">
        <v>42097</v>
      </c>
      <c r="G1073" t="s">
        <v>353</v>
      </c>
      <c r="H1073" s="9">
        <v>13.98</v>
      </c>
      <c r="I1073" s="5" t="s">
        <v>68</v>
      </c>
      <c r="J1073" s="15">
        <v>42097.540995370371</v>
      </c>
      <c r="K1073" t="str">
        <f t="shared" si="16"/>
        <v>04-2015</v>
      </c>
    </row>
    <row r="1074" spans="3:11" x14ac:dyDescent="0.25">
      <c r="C1074" t="str">
        <f>IF(COUNTBLANK(E1074:J1074) = 6,"",IF(AND(NOT(ISBLANK(E1074)),COUNTBLANK(E1074:J1074) = 5),"3 Delete",IF(ISBLANK(E1074),"2 Add",IF(SHA1Range(E1074:J1074) = "8e3ed62cf4013709ba64f637ca9c67d02cc724a9","0 Original","1 Modify"))))</f>
        <v>0 Original</v>
      </c>
      <c r="D1074" s="5" t="s">
        <v>2023</v>
      </c>
      <c r="E1074" s="3">
        <v>1464</v>
      </c>
      <c r="F1074" s="13">
        <v>42097</v>
      </c>
      <c r="G1074" t="s">
        <v>98</v>
      </c>
      <c r="H1074" s="9">
        <v>8.99</v>
      </c>
      <c r="I1074" s="5" t="s">
        <v>68</v>
      </c>
      <c r="J1074" s="15">
        <v>42097.772719907407</v>
      </c>
      <c r="K1074" t="str">
        <f t="shared" si="16"/>
        <v>04-2015</v>
      </c>
    </row>
    <row r="1075" spans="3:11" x14ac:dyDescent="0.25">
      <c r="C1075" t="str">
        <f>IF(COUNTBLANK(E1075:J1075) = 6,"",IF(AND(NOT(ISBLANK(E1075)),COUNTBLANK(E1075:J1075) = 5),"3 Delete",IF(ISBLANK(E1075),"2 Add",IF(SHA1Range(E1075:J1075) = "1b6019e3d2c15eb97ab6c3baddf63aed042e66aa","0 Original","1 Modify"))))</f>
        <v>0 Original</v>
      </c>
      <c r="D1075" s="5" t="s">
        <v>2024</v>
      </c>
      <c r="E1075" s="3">
        <v>753</v>
      </c>
      <c r="F1075" s="13">
        <v>42097</v>
      </c>
      <c r="G1075" t="s">
        <v>242</v>
      </c>
      <c r="H1075" s="9">
        <v>62.93</v>
      </c>
      <c r="I1075" s="5" t="s">
        <v>68</v>
      </c>
      <c r="J1075" s="15">
        <v>42097.794675925928</v>
      </c>
      <c r="K1075" t="str">
        <f t="shared" si="16"/>
        <v>04-2015</v>
      </c>
    </row>
    <row r="1076" spans="3:11" x14ac:dyDescent="0.25">
      <c r="C1076" t="str">
        <f>IF(COUNTBLANK(E1076:J1076) = 6,"",IF(AND(NOT(ISBLANK(E1076)),COUNTBLANK(E1076:J1076) = 5),"3 Delete",IF(ISBLANK(E1076),"2 Add",IF(SHA1Range(E1076:J1076) = "959796b977bb41a454e8e485f9daf3f74e9839f9","0 Original","1 Modify"))))</f>
        <v>0 Original</v>
      </c>
      <c r="D1076" s="5" t="s">
        <v>2025</v>
      </c>
      <c r="E1076" s="3">
        <v>1318</v>
      </c>
      <c r="F1076" s="13">
        <v>42097</v>
      </c>
      <c r="G1076" t="s">
        <v>69</v>
      </c>
      <c r="H1076" s="9">
        <v>6.99</v>
      </c>
      <c r="I1076" s="5" t="s">
        <v>68</v>
      </c>
      <c r="J1076" s="15">
        <v>42097.828530092593</v>
      </c>
      <c r="K1076" t="str">
        <f t="shared" si="16"/>
        <v>04-2015</v>
      </c>
    </row>
    <row r="1077" spans="3:11" x14ac:dyDescent="0.25">
      <c r="C1077" t="str">
        <f>IF(COUNTBLANK(E1077:J1077) = 6,"",IF(AND(NOT(ISBLANK(E1077)),COUNTBLANK(E1077:J1077) = 5),"3 Delete",IF(ISBLANK(E1077),"2 Add",IF(SHA1Range(E1077:J1077) = "3e8fdcc4337b3bf56f6a629a46b0d4acadaa47eb","0 Original","1 Modify"))))</f>
        <v>0 Original</v>
      </c>
      <c r="D1077" s="5" t="s">
        <v>2026</v>
      </c>
      <c r="E1077" s="3">
        <v>1496</v>
      </c>
      <c r="F1077" s="13">
        <v>42097</v>
      </c>
      <c r="G1077" t="s">
        <v>317</v>
      </c>
      <c r="H1077" s="9">
        <v>50.93</v>
      </c>
      <c r="I1077" s="5" t="s">
        <v>68</v>
      </c>
      <c r="J1077" s="15">
        <v>42097.992719907408</v>
      </c>
      <c r="K1077" t="str">
        <f t="shared" si="16"/>
        <v>04-2015</v>
      </c>
    </row>
    <row r="1078" spans="3:11" x14ac:dyDescent="0.25">
      <c r="C1078" t="str">
        <f>IF(COUNTBLANK(E1078:J1078) = 6,"",IF(AND(NOT(ISBLANK(E1078)),COUNTBLANK(E1078:J1078) = 5),"3 Delete",IF(ISBLANK(E1078),"2 Add",IF(SHA1Range(E1078:J1078) = "044151cba5cea45e2049f6eca7f165dd03f1aed8","0 Original","1 Modify"))))</f>
        <v>0 Original</v>
      </c>
      <c r="D1078" s="5" t="s">
        <v>2027</v>
      </c>
      <c r="E1078" s="3">
        <v>1090</v>
      </c>
      <c r="F1078" s="13">
        <v>42098</v>
      </c>
      <c r="G1078" t="s">
        <v>245</v>
      </c>
      <c r="H1078" s="9">
        <v>24.97</v>
      </c>
      <c r="I1078" s="5" t="s">
        <v>68</v>
      </c>
      <c r="J1078" s="15">
        <v>42098.398287037038</v>
      </c>
      <c r="K1078" t="str">
        <f t="shared" si="16"/>
        <v>04-2015</v>
      </c>
    </row>
    <row r="1079" spans="3:11" x14ac:dyDescent="0.25">
      <c r="C1079" t="str">
        <f>IF(COUNTBLANK(E1079:J1079) = 6,"",IF(AND(NOT(ISBLANK(E1079)),COUNTBLANK(E1079:J1079) = 5),"3 Delete",IF(ISBLANK(E1079),"2 Add",IF(SHA1Range(E1079:J1079) = "782035acec92d3fe0e22af0306d7e436f0df59d6","0 Original","1 Modify"))))</f>
        <v>0 Original</v>
      </c>
      <c r="D1079" s="5" t="s">
        <v>2028</v>
      </c>
      <c r="E1079" s="3">
        <v>1436</v>
      </c>
      <c r="F1079" s="13">
        <v>42098</v>
      </c>
      <c r="G1079" t="s">
        <v>308</v>
      </c>
      <c r="H1079" s="9">
        <v>33.96</v>
      </c>
      <c r="I1079" s="5" t="s">
        <v>68</v>
      </c>
      <c r="J1079" s="15">
        <v>42098.435902777775</v>
      </c>
      <c r="K1079" t="str">
        <f t="shared" si="16"/>
        <v>04-2015</v>
      </c>
    </row>
    <row r="1080" spans="3:11" x14ac:dyDescent="0.25">
      <c r="C1080" t="str">
        <f>IF(COUNTBLANK(E1080:J1080) = 6,"",IF(AND(NOT(ISBLANK(E1080)),COUNTBLANK(E1080:J1080) = 5),"3 Delete",IF(ISBLANK(E1080),"2 Add",IF(SHA1Range(E1080:J1080) = "6ab1b33ff3787f9a906b4509ffe6492e08f64459","0 Original","1 Modify"))))</f>
        <v>0 Original</v>
      </c>
      <c r="D1080" s="5" t="s">
        <v>2029</v>
      </c>
      <c r="E1080" s="3">
        <v>1481</v>
      </c>
      <c r="F1080" s="13">
        <v>42098</v>
      </c>
      <c r="G1080" t="s">
        <v>251</v>
      </c>
      <c r="H1080" s="9">
        <v>24.97</v>
      </c>
      <c r="I1080" s="5" t="s">
        <v>68</v>
      </c>
      <c r="J1080" s="15">
        <v>42098.440150462964</v>
      </c>
      <c r="K1080" t="str">
        <f t="shared" si="16"/>
        <v>04-2015</v>
      </c>
    </row>
    <row r="1081" spans="3:11" x14ac:dyDescent="0.25">
      <c r="C1081" t="str">
        <f>IF(COUNTBLANK(E1081:J1081) = 6,"",IF(AND(NOT(ISBLANK(E1081)),COUNTBLANK(E1081:J1081) = 5),"3 Delete",IF(ISBLANK(E1081),"2 Add",IF(SHA1Range(E1081:J1081) = "869de9a8ba9122323255820e01596472a18518f2","0 Original","1 Modify"))))</f>
        <v>0 Original</v>
      </c>
      <c r="D1081" s="5" t="s">
        <v>2030</v>
      </c>
      <c r="E1081" s="3">
        <v>1322</v>
      </c>
      <c r="F1081" s="13">
        <v>42098</v>
      </c>
      <c r="G1081" t="s">
        <v>161</v>
      </c>
      <c r="H1081" s="9">
        <v>58.91</v>
      </c>
      <c r="I1081" s="5" t="s">
        <v>68</v>
      </c>
      <c r="J1081" s="15">
        <v>42098.453645833331</v>
      </c>
      <c r="K1081" t="str">
        <f t="shared" si="16"/>
        <v>04-2015</v>
      </c>
    </row>
    <row r="1082" spans="3:11" x14ac:dyDescent="0.25">
      <c r="C1082" t="str">
        <f>IF(COUNTBLANK(E1082:J1082) = 6,"",IF(AND(NOT(ISBLANK(E1082)),COUNTBLANK(E1082:J1082) = 5),"3 Delete",IF(ISBLANK(E1082),"2 Add",IF(SHA1Range(E1082:J1082) = "8d1857c24c33b4bc27d2eeec809897708079c4f9","0 Original","1 Modify"))))</f>
        <v>0 Original</v>
      </c>
      <c r="D1082" s="5" t="s">
        <v>4380</v>
      </c>
      <c r="E1082" s="3">
        <v>72</v>
      </c>
      <c r="F1082" s="13">
        <v>42099</v>
      </c>
      <c r="G1082" t="s">
        <v>281</v>
      </c>
      <c r="H1082" s="9">
        <v>43.93</v>
      </c>
      <c r="I1082" s="5" t="s">
        <v>68</v>
      </c>
      <c r="J1082" s="15">
        <v>42099.091111111113</v>
      </c>
      <c r="K1082" t="str">
        <f t="shared" si="16"/>
        <v>04-2015</v>
      </c>
    </row>
    <row r="1083" spans="3:11" x14ac:dyDescent="0.25">
      <c r="C1083" t="str">
        <f>IF(COUNTBLANK(E1083:J1083) = 6,"",IF(AND(NOT(ISBLANK(E1083)),COUNTBLANK(E1083:J1083) = 5),"3 Delete",IF(ISBLANK(E1083),"2 Add",IF(SHA1Range(E1083:J1083) = "ace8db0c1e4c6d5daf5b785a07f465329c8a0a6e","0 Original","1 Modify"))))</f>
        <v>0 Original</v>
      </c>
      <c r="D1083" s="5" t="s">
        <v>2031</v>
      </c>
      <c r="E1083" s="3">
        <v>707</v>
      </c>
      <c r="F1083" s="13">
        <v>42100</v>
      </c>
      <c r="G1083" t="s">
        <v>242</v>
      </c>
      <c r="H1083" s="9">
        <v>19.98</v>
      </c>
      <c r="I1083" s="5" t="s">
        <v>68</v>
      </c>
      <c r="J1083" s="15">
        <v>42100.531527777777</v>
      </c>
      <c r="K1083" t="str">
        <f t="shared" si="16"/>
        <v>04-2015</v>
      </c>
    </row>
    <row r="1084" spans="3:11" x14ac:dyDescent="0.25">
      <c r="C1084" t="str">
        <f>IF(COUNTBLANK(E1084:J1084) = 6,"",IF(AND(NOT(ISBLANK(E1084)),COUNTBLANK(E1084:J1084) = 5),"3 Delete",IF(ISBLANK(E1084),"2 Add",IF(SHA1Range(E1084:J1084) = "469b88bb4707dcc7cdfd1fcdf7a04f9eb00d0e40","0 Original","1 Modify"))))</f>
        <v>0 Original</v>
      </c>
      <c r="D1084" s="5" t="s">
        <v>2032</v>
      </c>
      <c r="E1084" s="3">
        <v>1135</v>
      </c>
      <c r="F1084" s="13">
        <v>42101</v>
      </c>
      <c r="G1084" t="s">
        <v>260</v>
      </c>
      <c r="H1084" s="9">
        <v>5.99</v>
      </c>
      <c r="I1084" s="5" t="s">
        <v>68</v>
      </c>
      <c r="J1084" s="15">
        <v>42101.595706018517</v>
      </c>
      <c r="K1084" t="str">
        <f t="shared" si="16"/>
        <v>04-2015</v>
      </c>
    </row>
    <row r="1085" spans="3:11" x14ac:dyDescent="0.25">
      <c r="C1085" t="str">
        <f>IF(COUNTBLANK(E1085:J1085) = 6,"",IF(AND(NOT(ISBLANK(E1085)),COUNTBLANK(E1085:J1085) = 5),"3 Delete",IF(ISBLANK(E1085),"2 Add",IF(SHA1Range(E1085:J1085) = "e5fad5999a154fbe05fc03003ea5018c31e65e90","0 Original","1 Modify"))))</f>
        <v>0 Original</v>
      </c>
      <c r="D1085" s="5" t="s">
        <v>2033</v>
      </c>
      <c r="E1085" s="3">
        <v>586</v>
      </c>
      <c r="F1085" s="13">
        <v>42103</v>
      </c>
      <c r="G1085" t="s">
        <v>284</v>
      </c>
      <c r="H1085" s="9">
        <v>14.98</v>
      </c>
      <c r="I1085" s="5" t="s">
        <v>68</v>
      </c>
      <c r="J1085" s="15">
        <v>42103.258761574078</v>
      </c>
      <c r="K1085" t="str">
        <f t="shared" si="16"/>
        <v>04-2015</v>
      </c>
    </row>
    <row r="1086" spans="3:11" x14ac:dyDescent="0.25">
      <c r="C1086" t="str">
        <f>IF(COUNTBLANK(E1086:J1086) = 6,"",IF(AND(NOT(ISBLANK(E1086)),COUNTBLANK(E1086:J1086) = 5),"3 Delete",IF(ISBLANK(E1086),"2 Add",IF(SHA1Range(E1086:J1086) = "b4a6069cd63ea18c62019c8f05da7a4de120a5de","0 Original","1 Modify"))))</f>
        <v>0 Original</v>
      </c>
      <c r="D1086" s="5" t="s">
        <v>4381</v>
      </c>
      <c r="E1086" s="3">
        <v>87</v>
      </c>
      <c r="F1086" s="13">
        <v>42104</v>
      </c>
      <c r="G1086" t="s">
        <v>122</v>
      </c>
      <c r="H1086" s="9">
        <v>30.95</v>
      </c>
      <c r="I1086" s="5" t="s">
        <v>68</v>
      </c>
      <c r="J1086" s="15">
        <v>42104.656157407408</v>
      </c>
      <c r="K1086" t="str">
        <f t="shared" si="16"/>
        <v>04-2015</v>
      </c>
    </row>
    <row r="1087" spans="3:11" x14ac:dyDescent="0.25">
      <c r="C1087" t="str">
        <f>IF(COUNTBLANK(E1087:J1087) = 6,"",IF(AND(NOT(ISBLANK(E1087)),COUNTBLANK(E1087:J1087) = 5),"3 Delete",IF(ISBLANK(E1087),"2 Add",IF(SHA1Range(E1087:J1087) = "9ab837d1d69d13a1a8e0399f6f3756429631028f","0 Original","1 Modify"))))</f>
        <v>0 Original</v>
      </c>
      <c r="D1087" s="5" t="s">
        <v>2034</v>
      </c>
      <c r="E1087" s="3">
        <v>694</v>
      </c>
      <c r="F1087" s="13">
        <v>42104</v>
      </c>
      <c r="G1087" t="s">
        <v>80</v>
      </c>
      <c r="H1087" s="9">
        <v>15.98</v>
      </c>
      <c r="I1087" s="5" t="s">
        <v>68</v>
      </c>
      <c r="J1087" s="15">
        <v>42104.684884259259</v>
      </c>
      <c r="K1087" t="str">
        <f t="shared" si="16"/>
        <v>04-2015</v>
      </c>
    </row>
    <row r="1088" spans="3:11" x14ac:dyDescent="0.25">
      <c r="C1088" t="str">
        <f>IF(COUNTBLANK(E1088:J1088) = 6,"",IF(AND(NOT(ISBLANK(E1088)),COUNTBLANK(E1088:J1088) = 5),"3 Delete",IF(ISBLANK(E1088),"2 Add",IF(SHA1Range(E1088:J1088) = "243cba20805ac2e4b43cc510222fa11726673875","0 Original","1 Modify"))))</f>
        <v>0 Original</v>
      </c>
      <c r="D1088" s="5" t="s">
        <v>4382</v>
      </c>
      <c r="E1088" s="3">
        <v>15</v>
      </c>
      <c r="F1088" s="13">
        <v>42104</v>
      </c>
      <c r="G1088" t="s">
        <v>242</v>
      </c>
      <c r="H1088" s="9">
        <v>35.94</v>
      </c>
      <c r="I1088" s="5" t="s">
        <v>68</v>
      </c>
      <c r="J1088" s="15">
        <v>42104.731215277781</v>
      </c>
      <c r="K1088" t="str">
        <f t="shared" si="16"/>
        <v>04-2015</v>
      </c>
    </row>
    <row r="1089" spans="3:11" x14ac:dyDescent="0.25">
      <c r="C1089" t="str">
        <f>IF(COUNTBLANK(E1089:J1089) = 6,"",IF(AND(NOT(ISBLANK(E1089)),COUNTBLANK(E1089:J1089) = 5),"3 Delete",IF(ISBLANK(E1089),"2 Add",IF(SHA1Range(E1089:J1089) = "a338a277bf5f199ae30e2e4cb32c922421e612ed","0 Original","1 Modify"))))</f>
        <v>0 Original</v>
      </c>
      <c r="D1089" s="5" t="s">
        <v>4383</v>
      </c>
      <c r="E1089" s="3">
        <v>26</v>
      </c>
      <c r="F1089" s="13">
        <v>42105</v>
      </c>
      <c r="G1089" t="s">
        <v>218</v>
      </c>
      <c r="H1089" s="9">
        <v>53.94</v>
      </c>
      <c r="I1089" s="5" t="s">
        <v>68</v>
      </c>
      <c r="J1089" s="15">
        <v>42105.174108796295</v>
      </c>
      <c r="K1089" t="str">
        <f t="shared" si="16"/>
        <v>04-2015</v>
      </c>
    </row>
    <row r="1090" spans="3:11" x14ac:dyDescent="0.25">
      <c r="C1090" t="str">
        <f>IF(COUNTBLANK(E1090:J1090) = 6,"",IF(AND(NOT(ISBLANK(E1090)),COUNTBLANK(E1090:J1090) = 5),"3 Delete",IF(ISBLANK(E1090),"2 Add",IF(SHA1Range(E1090:J1090) = "c003c609f242e3b8aba405b5498b72f79b8cad8f","0 Original","1 Modify"))))</f>
        <v>0 Original</v>
      </c>
      <c r="D1090" s="5" t="s">
        <v>4074</v>
      </c>
      <c r="E1090" s="3">
        <v>448</v>
      </c>
      <c r="F1090" s="13">
        <v>42105</v>
      </c>
      <c r="G1090" t="s">
        <v>317</v>
      </c>
      <c r="H1090" s="9">
        <v>51.93</v>
      </c>
      <c r="I1090" s="5" t="s">
        <v>68</v>
      </c>
      <c r="J1090" s="15">
        <v>42105.190208333333</v>
      </c>
      <c r="K1090" t="str">
        <f t="shared" si="16"/>
        <v>04-2015</v>
      </c>
    </row>
    <row r="1091" spans="3:11" x14ac:dyDescent="0.25">
      <c r="C1091" t="str">
        <f>IF(COUNTBLANK(E1091:J1091) = 6,"",IF(AND(NOT(ISBLANK(E1091)),COUNTBLANK(E1091:J1091) = 5),"3 Delete",IF(ISBLANK(E1091),"2 Add",IF(SHA1Range(E1091:J1091) = "7d4bbcf47812fb6440992b24f0f9013517be40b1","0 Original","1 Modify"))))</f>
        <v>0 Original</v>
      </c>
      <c r="D1091" s="5" t="s">
        <v>2035</v>
      </c>
      <c r="E1091" s="3">
        <v>533</v>
      </c>
      <c r="F1091" s="13">
        <v>42105</v>
      </c>
      <c r="G1091" t="s">
        <v>305</v>
      </c>
      <c r="H1091" s="9">
        <v>23.97</v>
      </c>
      <c r="I1091" s="5" t="s">
        <v>68</v>
      </c>
      <c r="J1091" s="15">
        <v>42105.643472222226</v>
      </c>
      <c r="K1091" t="str">
        <f t="shared" ref="K1091:K1154" si="17">TEXT(F1091,"mm-yyyy")</f>
        <v>04-2015</v>
      </c>
    </row>
    <row r="1092" spans="3:11" x14ac:dyDescent="0.25">
      <c r="C1092" t="str">
        <f>IF(COUNTBLANK(E1092:J1092) = 6,"",IF(AND(NOT(ISBLANK(E1092)),COUNTBLANK(E1092:J1092) = 5),"3 Delete",IF(ISBLANK(E1092),"2 Add",IF(SHA1Range(E1092:J1092) = "e257bb3693c4bb274c9415bc32f50f6d74f8d1ca","0 Original","1 Modify"))))</f>
        <v>0 Original</v>
      </c>
      <c r="D1092" s="5" t="s">
        <v>4088</v>
      </c>
      <c r="E1092" s="3">
        <v>426</v>
      </c>
      <c r="F1092" s="13">
        <v>42105</v>
      </c>
      <c r="G1092" t="s">
        <v>89</v>
      </c>
      <c r="H1092" s="9">
        <v>94.88</v>
      </c>
      <c r="I1092" s="5" t="s">
        <v>68</v>
      </c>
      <c r="J1092" s="15">
        <v>42105.862500000003</v>
      </c>
      <c r="K1092" t="str">
        <f t="shared" si="17"/>
        <v>04-2015</v>
      </c>
    </row>
    <row r="1093" spans="3:11" x14ac:dyDescent="0.25">
      <c r="C1093" t="str">
        <f>IF(COUNTBLANK(E1093:J1093) = 6,"",IF(AND(NOT(ISBLANK(E1093)),COUNTBLANK(E1093:J1093) = 5),"3 Delete",IF(ISBLANK(E1093),"2 Add",IF(SHA1Range(E1093:J1093) = "2ad16221f94b85a3efc6867a71a5196ef99c397b","0 Original","1 Modify"))))</f>
        <v>0 Original</v>
      </c>
      <c r="D1093" s="5" t="s">
        <v>4105</v>
      </c>
      <c r="E1093" s="3">
        <v>368</v>
      </c>
      <c r="F1093" s="13">
        <v>42106</v>
      </c>
      <c r="G1093" t="s">
        <v>230</v>
      </c>
      <c r="H1093" s="9">
        <v>57.92</v>
      </c>
      <c r="I1093" s="5" t="s">
        <v>68</v>
      </c>
      <c r="J1093" s="15">
        <v>42106.002152777779</v>
      </c>
      <c r="K1093" t="str">
        <f t="shared" si="17"/>
        <v>04-2015</v>
      </c>
    </row>
    <row r="1094" spans="3:11" x14ac:dyDescent="0.25">
      <c r="C1094" t="str">
        <f>IF(COUNTBLANK(E1094:J1094) = 6,"",IF(AND(NOT(ISBLANK(E1094)),COUNTBLANK(E1094:J1094) = 5),"3 Delete",IF(ISBLANK(E1094),"2 Add",IF(SHA1Range(E1094:J1094) = "b3a975ddbd1770c1283734662990748a71c23310","0 Original","1 Modify"))))</f>
        <v>0 Original</v>
      </c>
      <c r="D1094" s="5" t="s">
        <v>2036</v>
      </c>
      <c r="E1094" s="3">
        <v>796</v>
      </c>
      <c r="F1094" s="13">
        <v>42106</v>
      </c>
      <c r="G1094" t="s">
        <v>326</v>
      </c>
      <c r="H1094" s="9">
        <v>35.96</v>
      </c>
      <c r="I1094" s="5" t="s">
        <v>68</v>
      </c>
      <c r="J1094" s="15">
        <v>42106.261342592596</v>
      </c>
      <c r="K1094" t="str">
        <f t="shared" si="17"/>
        <v>04-2015</v>
      </c>
    </row>
    <row r="1095" spans="3:11" x14ac:dyDescent="0.25">
      <c r="C1095" t="str">
        <f>IF(COUNTBLANK(E1095:J1095) = 6,"",IF(AND(NOT(ISBLANK(E1095)),COUNTBLANK(E1095:J1095) = 5),"3 Delete",IF(ISBLANK(E1095),"2 Add",IF(SHA1Range(E1095:J1095) = "4b8a75c0d2d0cfd679d583e11b9bfe6849386f7e","0 Original","1 Modify"))))</f>
        <v>0 Original</v>
      </c>
      <c r="D1095" s="5" t="s">
        <v>4384</v>
      </c>
      <c r="E1095" s="3">
        <v>153</v>
      </c>
      <c r="F1095" s="13">
        <v>42106</v>
      </c>
      <c r="G1095" t="s">
        <v>248</v>
      </c>
      <c r="H1095" s="9">
        <v>29.96</v>
      </c>
      <c r="I1095" s="5" t="s">
        <v>68</v>
      </c>
      <c r="J1095" s="15">
        <v>42106.79614583333</v>
      </c>
      <c r="K1095" t="str">
        <f t="shared" si="17"/>
        <v>04-2015</v>
      </c>
    </row>
    <row r="1096" spans="3:11" x14ac:dyDescent="0.25">
      <c r="C1096" t="str">
        <f>IF(COUNTBLANK(E1096:J1096) = 6,"",IF(AND(NOT(ISBLANK(E1096)),COUNTBLANK(E1096:J1096) = 5),"3 Delete",IF(ISBLANK(E1096),"2 Add",IF(SHA1Range(E1096:J1096) = "65b2b425448bffe829428b241f4d161eab705422","0 Original","1 Modify"))))</f>
        <v>0 Original</v>
      </c>
      <c r="D1096" s="5" t="s">
        <v>4385</v>
      </c>
      <c r="E1096" s="3">
        <v>114</v>
      </c>
      <c r="F1096" s="13">
        <v>42107</v>
      </c>
      <c r="G1096" t="s">
        <v>86</v>
      </c>
      <c r="H1096" s="9">
        <v>35.950000000000003</v>
      </c>
      <c r="I1096" s="5" t="s">
        <v>68</v>
      </c>
      <c r="J1096" s="15">
        <v>42107.445081018515</v>
      </c>
      <c r="K1096" t="str">
        <f t="shared" si="17"/>
        <v>04-2015</v>
      </c>
    </row>
    <row r="1097" spans="3:11" x14ac:dyDescent="0.25">
      <c r="C1097" t="str">
        <f>IF(COUNTBLANK(E1097:J1097) = 6,"",IF(AND(NOT(ISBLANK(E1097)),COUNTBLANK(E1097:J1097) = 5),"3 Delete",IF(ISBLANK(E1097),"2 Add",IF(SHA1Range(E1097:J1097) = "8a63ebcc849e8853d5c535902209e32c272a8931","0 Original","1 Modify"))))</f>
        <v>0 Original</v>
      </c>
      <c r="D1097" s="5" t="s">
        <v>2037</v>
      </c>
      <c r="E1097" s="3">
        <v>760</v>
      </c>
      <c r="F1097" s="13">
        <v>42107</v>
      </c>
      <c r="G1097" t="s">
        <v>134</v>
      </c>
      <c r="H1097" s="9">
        <v>54.94</v>
      </c>
      <c r="I1097" s="5" t="s">
        <v>68</v>
      </c>
      <c r="J1097" s="15">
        <v>42107.73296296296</v>
      </c>
      <c r="K1097" t="str">
        <f t="shared" si="17"/>
        <v>04-2015</v>
      </c>
    </row>
    <row r="1098" spans="3:11" x14ac:dyDescent="0.25">
      <c r="C1098" t="str">
        <f>IF(COUNTBLANK(E1098:J1098) = 6,"",IF(AND(NOT(ISBLANK(E1098)),COUNTBLANK(E1098:J1098) = 5),"3 Delete",IF(ISBLANK(E1098),"2 Add",IF(SHA1Range(E1098:J1098) = "914f2fcfce073d6a4bd0d2f49ea81eafd5f753df","0 Original","1 Modify"))))</f>
        <v>0 Original</v>
      </c>
      <c r="D1098" s="5" t="s">
        <v>2038</v>
      </c>
      <c r="E1098" s="3">
        <v>901</v>
      </c>
      <c r="F1098" s="13">
        <v>42107</v>
      </c>
      <c r="G1098" t="s">
        <v>302</v>
      </c>
      <c r="H1098" s="9">
        <v>45.94</v>
      </c>
      <c r="I1098" s="5" t="s">
        <v>68</v>
      </c>
      <c r="J1098" s="15">
        <v>42107.858414351853</v>
      </c>
      <c r="K1098" t="str">
        <f t="shared" si="17"/>
        <v>04-2015</v>
      </c>
    </row>
    <row r="1099" spans="3:11" x14ac:dyDescent="0.25">
      <c r="C1099" t="str">
        <f>IF(COUNTBLANK(E1099:J1099) = 6,"",IF(AND(NOT(ISBLANK(E1099)),COUNTBLANK(E1099:J1099) = 5),"3 Delete",IF(ISBLANK(E1099),"2 Add",IF(SHA1Range(E1099:J1099) = "651e13d97fff8605214e15d0eb3e8402c0bbacbd","0 Original","1 Modify"))))</f>
        <v>0 Original</v>
      </c>
      <c r="D1099" s="5" t="s">
        <v>2039</v>
      </c>
      <c r="E1099" s="3">
        <v>742</v>
      </c>
      <c r="F1099" s="13">
        <v>42107</v>
      </c>
      <c r="G1099" t="s">
        <v>242</v>
      </c>
      <c r="H1099" s="9">
        <v>9.99</v>
      </c>
      <c r="I1099" s="5" t="s">
        <v>68</v>
      </c>
      <c r="J1099" s="15">
        <v>42107.936377314814</v>
      </c>
      <c r="K1099" t="str">
        <f t="shared" si="17"/>
        <v>04-2015</v>
      </c>
    </row>
    <row r="1100" spans="3:11" x14ac:dyDescent="0.25">
      <c r="C1100" t="str">
        <f>IF(COUNTBLANK(E1100:J1100) = 6,"",IF(AND(NOT(ISBLANK(E1100)),COUNTBLANK(E1100:J1100) = 5),"3 Delete",IF(ISBLANK(E1100),"2 Add",IF(SHA1Range(E1100:J1100) = "480100730eaa224bc088ffafbb77a70fd4370ddb","0 Original","1 Modify"))))</f>
        <v>0 Original</v>
      </c>
      <c r="D1100" s="5" t="s">
        <v>2040</v>
      </c>
      <c r="E1100" s="3">
        <v>754</v>
      </c>
      <c r="F1100" s="13">
        <v>42108</v>
      </c>
      <c r="G1100" t="s">
        <v>98</v>
      </c>
      <c r="H1100" s="9">
        <v>29.96</v>
      </c>
      <c r="I1100" s="5" t="s">
        <v>68</v>
      </c>
      <c r="J1100" s="15">
        <v>42108.516493055555</v>
      </c>
      <c r="K1100" t="str">
        <f t="shared" si="17"/>
        <v>04-2015</v>
      </c>
    </row>
    <row r="1101" spans="3:11" x14ac:dyDescent="0.25">
      <c r="C1101" t="str">
        <f>IF(COUNTBLANK(E1101:J1101) = 6,"",IF(AND(NOT(ISBLANK(E1101)),COUNTBLANK(E1101:J1101) = 5),"3 Delete",IF(ISBLANK(E1101),"2 Add",IF(SHA1Range(E1101:J1101) = "7c46229e336a72459cef3d626bd71b5af8b71c9c","0 Original","1 Modify"))))</f>
        <v>0 Original</v>
      </c>
      <c r="D1101" s="5" t="s">
        <v>2041</v>
      </c>
      <c r="E1101" s="3">
        <v>881</v>
      </c>
      <c r="F1101" s="13">
        <v>42108</v>
      </c>
      <c r="G1101" t="s">
        <v>242</v>
      </c>
      <c r="H1101" s="9">
        <v>80.91</v>
      </c>
      <c r="I1101" s="5" t="s">
        <v>68</v>
      </c>
      <c r="J1101" s="15">
        <v>42108.694618055553</v>
      </c>
      <c r="K1101" t="str">
        <f t="shared" si="17"/>
        <v>04-2015</v>
      </c>
    </row>
    <row r="1102" spans="3:11" x14ac:dyDescent="0.25">
      <c r="C1102" t="str">
        <f>IF(COUNTBLANK(E1102:J1102) = 6,"",IF(AND(NOT(ISBLANK(E1102)),COUNTBLANK(E1102:J1102) = 5),"3 Delete",IF(ISBLANK(E1102),"2 Add",IF(SHA1Range(E1102:J1102) = "7d2b7c8cdb3bc039f6d0c5364269dceeddf6a64a","0 Original","1 Modify"))))</f>
        <v>0 Original</v>
      </c>
      <c r="D1102" s="5" t="s">
        <v>4113</v>
      </c>
      <c r="E1102" s="3">
        <v>349</v>
      </c>
      <c r="F1102" s="13">
        <v>42108</v>
      </c>
      <c r="G1102" t="s">
        <v>137</v>
      </c>
      <c r="H1102" s="9">
        <v>14.98</v>
      </c>
      <c r="I1102" s="5" t="s">
        <v>68</v>
      </c>
      <c r="J1102" s="15">
        <v>42108.730081018519</v>
      </c>
      <c r="K1102" t="str">
        <f t="shared" si="17"/>
        <v>04-2015</v>
      </c>
    </row>
    <row r="1103" spans="3:11" x14ac:dyDescent="0.25">
      <c r="C1103" t="str">
        <f>IF(COUNTBLANK(E1103:J1103) = 6,"",IF(AND(NOT(ISBLANK(E1103)),COUNTBLANK(E1103:J1103) = 5),"3 Delete",IF(ISBLANK(E1103),"2 Add",IF(SHA1Range(E1103:J1103) = "7f3bffc696246f138954a8a3b0bf2899e7003d40","0 Original","1 Modify"))))</f>
        <v>0 Original</v>
      </c>
      <c r="D1103" s="5" t="s">
        <v>4111</v>
      </c>
      <c r="E1103" s="3">
        <v>357</v>
      </c>
      <c r="F1103" s="13">
        <v>42108</v>
      </c>
      <c r="G1103" t="s">
        <v>182</v>
      </c>
      <c r="H1103" s="9">
        <v>93.89</v>
      </c>
      <c r="I1103" s="5" t="s">
        <v>68</v>
      </c>
      <c r="J1103" s="15">
        <v>42108.846435185187</v>
      </c>
      <c r="K1103" t="str">
        <f t="shared" si="17"/>
        <v>04-2015</v>
      </c>
    </row>
    <row r="1104" spans="3:11" x14ac:dyDescent="0.25">
      <c r="C1104" t="str">
        <f>IF(COUNTBLANK(E1104:J1104) = 6,"",IF(AND(NOT(ISBLANK(E1104)),COUNTBLANK(E1104:J1104) = 5),"3 Delete",IF(ISBLANK(E1104),"2 Add",IF(SHA1Range(E1104:J1104) = "8e10f28e6ee3db08f2a73ddd1462904cdba628fb","0 Original","1 Modify"))))</f>
        <v>0 Original</v>
      </c>
      <c r="D1104" s="5" t="s">
        <v>4149</v>
      </c>
      <c r="E1104" s="3">
        <v>286</v>
      </c>
      <c r="F1104" s="13">
        <v>42108</v>
      </c>
      <c r="G1104" t="s">
        <v>125</v>
      </c>
      <c r="H1104" s="9">
        <v>17.97</v>
      </c>
      <c r="I1104" s="5" t="s">
        <v>68</v>
      </c>
      <c r="J1104" s="15">
        <v>42108.857511574075</v>
      </c>
      <c r="K1104" t="str">
        <f t="shared" si="17"/>
        <v>04-2015</v>
      </c>
    </row>
    <row r="1105" spans="3:11" x14ac:dyDescent="0.25">
      <c r="C1105" t="str">
        <f>IF(COUNTBLANK(E1105:J1105) = 6,"",IF(AND(NOT(ISBLANK(E1105)),COUNTBLANK(E1105:J1105) = 5),"3 Delete",IF(ISBLANK(E1105),"2 Add",IF(SHA1Range(E1105:J1105) = "9a6438b358b5ad39d812a14afab27a13b7fbde47","0 Original","1 Modify"))))</f>
        <v>0 Original</v>
      </c>
      <c r="D1105" s="5" t="s">
        <v>2042</v>
      </c>
      <c r="E1105" s="3">
        <v>676</v>
      </c>
      <c r="F1105" s="13">
        <v>42109</v>
      </c>
      <c r="G1105" t="s">
        <v>119</v>
      </c>
      <c r="H1105" s="9">
        <v>29.97</v>
      </c>
      <c r="I1105" s="5" t="s">
        <v>68</v>
      </c>
      <c r="J1105" s="15">
        <v>42109.269803240742</v>
      </c>
      <c r="K1105" t="str">
        <f t="shared" si="17"/>
        <v>04-2015</v>
      </c>
    </row>
    <row r="1106" spans="3:11" x14ac:dyDescent="0.25">
      <c r="C1106" t="str">
        <f>IF(COUNTBLANK(E1106:J1106) = 6,"",IF(AND(NOT(ISBLANK(E1106)),COUNTBLANK(E1106:J1106) = 5),"3 Delete",IF(ISBLANK(E1106),"2 Add",IF(SHA1Range(E1106:J1106) = "c3d90ea24b3f58cc3a9a8795cfbca918f80ed968","0 Original","1 Modify"))))</f>
        <v>0 Original</v>
      </c>
      <c r="D1106" s="5" t="s">
        <v>2043</v>
      </c>
      <c r="E1106" s="3">
        <v>685</v>
      </c>
      <c r="F1106" s="13">
        <v>42109</v>
      </c>
      <c r="G1106" t="s">
        <v>233</v>
      </c>
      <c r="H1106" s="9">
        <v>25.97</v>
      </c>
      <c r="I1106" s="5" t="s">
        <v>68</v>
      </c>
      <c r="J1106" s="15">
        <v>42109.510659722226</v>
      </c>
      <c r="K1106" t="str">
        <f t="shared" si="17"/>
        <v>04-2015</v>
      </c>
    </row>
    <row r="1107" spans="3:11" x14ac:dyDescent="0.25">
      <c r="C1107" t="str">
        <f>IF(COUNTBLANK(E1107:J1107) = 6,"",IF(AND(NOT(ISBLANK(E1107)),COUNTBLANK(E1107:J1107) = 5),"3 Delete",IF(ISBLANK(E1107),"2 Add",IF(SHA1Range(E1107:J1107) = "c6c710926755f858231249a6c4a4148aecdbdafb","0 Original","1 Modify"))))</f>
        <v>0 Original</v>
      </c>
      <c r="D1107" s="5" t="s">
        <v>2044</v>
      </c>
      <c r="E1107" s="3">
        <v>568</v>
      </c>
      <c r="F1107" s="13">
        <v>42110</v>
      </c>
      <c r="G1107" t="s">
        <v>125</v>
      </c>
      <c r="H1107" s="9">
        <v>9.99</v>
      </c>
      <c r="I1107" s="5" t="s">
        <v>68</v>
      </c>
      <c r="J1107" s="15">
        <v>42110.039444444446</v>
      </c>
      <c r="K1107" t="str">
        <f t="shared" si="17"/>
        <v>04-2015</v>
      </c>
    </row>
    <row r="1108" spans="3:11" x14ac:dyDescent="0.25">
      <c r="C1108" t="str">
        <f>IF(COUNTBLANK(E1108:J1108) = 6,"",IF(AND(NOT(ISBLANK(E1108)),COUNTBLANK(E1108:J1108) = 5),"3 Delete",IF(ISBLANK(E1108),"2 Add",IF(SHA1Range(E1108:J1108) = "f99a56ebfaacf1870e4b3f53fb57bd77408e106e","0 Original","1 Modify"))))</f>
        <v>0 Original</v>
      </c>
      <c r="D1108" s="5" t="s">
        <v>4118</v>
      </c>
      <c r="E1108" s="3">
        <v>339</v>
      </c>
      <c r="F1108" s="13">
        <v>42110</v>
      </c>
      <c r="G1108" t="s">
        <v>338</v>
      </c>
      <c r="H1108" s="9">
        <v>41.94</v>
      </c>
      <c r="I1108" s="5" t="s">
        <v>68</v>
      </c>
      <c r="J1108" s="15">
        <v>42110.737870370373</v>
      </c>
      <c r="K1108" t="str">
        <f t="shared" si="17"/>
        <v>04-2015</v>
      </c>
    </row>
    <row r="1109" spans="3:11" x14ac:dyDescent="0.25">
      <c r="C1109" t="str">
        <f>IF(COUNTBLANK(E1109:J1109) = 6,"",IF(AND(NOT(ISBLANK(E1109)),COUNTBLANK(E1109:J1109) = 5),"3 Delete",IF(ISBLANK(E1109),"2 Add",IF(SHA1Range(E1109:J1109) = "ad1c66899eedf2520f1e1da42663858060864eae","0 Original","1 Modify"))))</f>
        <v>0 Original</v>
      </c>
      <c r="D1109" s="5" t="s">
        <v>4386</v>
      </c>
      <c r="E1109" s="3">
        <v>23</v>
      </c>
      <c r="F1109" s="13">
        <v>42110</v>
      </c>
      <c r="G1109" t="s">
        <v>263</v>
      </c>
      <c r="H1109" s="9">
        <v>47.95</v>
      </c>
      <c r="I1109" s="5" t="s">
        <v>68</v>
      </c>
      <c r="J1109" s="15">
        <v>42110.880069444444</v>
      </c>
      <c r="K1109" t="str">
        <f t="shared" si="17"/>
        <v>04-2015</v>
      </c>
    </row>
    <row r="1110" spans="3:11" x14ac:dyDescent="0.25">
      <c r="C1110" t="str">
        <f>IF(COUNTBLANK(E1110:J1110) = 6,"",IF(AND(NOT(ISBLANK(E1110)),COUNTBLANK(E1110:J1110) = 5),"3 Delete",IF(ISBLANK(E1110),"2 Add",IF(SHA1Range(E1110:J1110) = "6822db9e13d9e364d4e17f51d2a64f6b47d3d8be","0 Original","1 Modify"))))</f>
        <v>0 Original</v>
      </c>
      <c r="D1110" s="5" t="s">
        <v>2045</v>
      </c>
      <c r="E1110" s="3">
        <v>583</v>
      </c>
      <c r="F1110" s="13">
        <v>42111</v>
      </c>
      <c r="G1110" t="s">
        <v>347</v>
      </c>
      <c r="H1110" s="9">
        <v>27.96</v>
      </c>
      <c r="I1110" s="5" t="s">
        <v>68</v>
      </c>
      <c r="J1110" s="15">
        <v>42111.091064814813</v>
      </c>
      <c r="K1110" t="str">
        <f t="shared" si="17"/>
        <v>04-2015</v>
      </c>
    </row>
    <row r="1111" spans="3:11" x14ac:dyDescent="0.25">
      <c r="C1111" t="str">
        <f>IF(COUNTBLANK(E1111:J1111) = 6,"",IF(AND(NOT(ISBLANK(E1111)),COUNTBLANK(E1111:J1111) = 5),"3 Delete",IF(ISBLANK(E1111),"2 Add",IF(SHA1Range(E1111:J1111) = "b90b72a65f17208640ab46e9346b7496c9dfa695","0 Original","1 Modify"))))</f>
        <v>0 Original</v>
      </c>
      <c r="D1111" s="5" t="s">
        <v>2046</v>
      </c>
      <c r="E1111" s="3">
        <v>745</v>
      </c>
      <c r="F1111" s="13">
        <v>42111</v>
      </c>
      <c r="G1111" t="s">
        <v>134</v>
      </c>
      <c r="H1111" s="9">
        <v>20.97</v>
      </c>
      <c r="I1111" s="5" t="s">
        <v>68</v>
      </c>
      <c r="J1111" s="15">
        <v>42111.222025462965</v>
      </c>
      <c r="K1111" t="str">
        <f t="shared" si="17"/>
        <v>04-2015</v>
      </c>
    </row>
    <row r="1112" spans="3:11" x14ac:dyDescent="0.25">
      <c r="C1112" t="str">
        <f>IF(COUNTBLANK(E1112:J1112) = 6,"",IF(AND(NOT(ISBLANK(E1112)),COUNTBLANK(E1112:J1112) = 5),"3 Delete",IF(ISBLANK(E1112),"2 Add",IF(SHA1Range(E1112:J1112) = "c511766380ecc9884f7919d328e214cc1b55500a","0 Original","1 Modify"))))</f>
        <v>0 Original</v>
      </c>
      <c r="D1112" s="5" t="s">
        <v>2047</v>
      </c>
      <c r="E1112" s="3">
        <v>606</v>
      </c>
      <c r="F1112" s="13">
        <v>42111</v>
      </c>
      <c r="G1112" t="s">
        <v>251</v>
      </c>
      <c r="H1112" s="9">
        <v>13.98</v>
      </c>
      <c r="I1112" s="5" t="s">
        <v>68</v>
      </c>
      <c r="J1112" s="15">
        <v>42111.246655092589</v>
      </c>
      <c r="K1112" t="str">
        <f t="shared" si="17"/>
        <v>04-2015</v>
      </c>
    </row>
    <row r="1113" spans="3:11" x14ac:dyDescent="0.25">
      <c r="C1113" t="str">
        <f>IF(COUNTBLANK(E1113:J1113) = 6,"",IF(AND(NOT(ISBLANK(E1113)),COUNTBLANK(E1113:J1113) = 5),"3 Delete",IF(ISBLANK(E1113),"2 Add",IF(SHA1Range(E1113:J1113) = "94d5518f599c785b679fc1b67fb90d39778f4180","0 Original","1 Modify"))))</f>
        <v>0 Original</v>
      </c>
      <c r="D1113" s="5" t="s">
        <v>2048</v>
      </c>
      <c r="E1113" s="3">
        <v>1058</v>
      </c>
      <c r="F1113" s="13">
        <v>42111</v>
      </c>
      <c r="G1113" t="s">
        <v>260</v>
      </c>
      <c r="H1113" s="9">
        <v>23.97</v>
      </c>
      <c r="I1113" s="5" t="s">
        <v>68</v>
      </c>
      <c r="J1113" s="15">
        <v>42111.301828703705</v>
      </c>
      <c r="K1113" t="str">
        <f t="shared" si="17"/>
        <v>04-2015</v>
      </c>
    </row>
    <row r="1114" spans="3:11" x14ac:dyDescent="0.25">
      <c r="C1114" t="str">
        <f>IF(COUNTBLANK(E1114:J1114) = 6,"",IF(AND(NOT(ISBLANK(E1114)),COUNTBLANK(E1114:J1114) = 5),"3 Delete",IF(ISBLANK(E1114),"2 Add",IF(SHA1Range(E1114:J1114) = "ab24e20de6433a197c5182d167d552a18d93ff03","0 Original","1 Modify"))))</f>
        <v>0 Original</v>
      </c>
      <c r="D1114" s="5" t="s">
        <v>2049</v>
      </c>
      <c r="E1114" s="3">
        <v>598</v>
      </c>
      <c r="F1114" s="13">
        <v>42112</v>
      </c>
      <c r="G1114" t="s">
        <v>233</v>
      </c>
      <c r="H1114" s="9">
        <v>27.97</v>
      </c>
      <c r="I1114" s="5" t="s">
        <v>68</v>
      </c>
      <c r="J1114" s="15">
        <v>42112.058136574073</v>
      </c>
      <c r="K1114" t="str">
        <f t="shared" si="17"/>
        <v>04-2015</v>
      </c>
    </row>
    <row r="1115" spans="3:11" x14ac:dyDescent="0.25">
      <c r="C1115" t="str">
        <f>IF(COUNTBLANK(E1115:J1115) = 6,"",IF(AND(NOT(ISBLANK(E1115)),COUNTBLANK(E1115:J1115) = 5),"3 Delete",IF(ISBLANK(E1115),"2 Add",IF(SHA1Range(E1115:J1115) = "67d543d9c2c46ceb3b1283c3adf48be48547d5df","0 Original","1 Modify"))))</f>
        <v>0 Original</v>
      </c>
      <c r="D1115" s="5" t="s">
        <v>4387</v>
      </c>
      <c r="E1115" s="3">
        <v>258</v>
      </c>
      <c r="F1115" s="13">
        <v>42112</v>
      </c>
      <c r="G1115" t="s">
        <v>320</v>
      </c>
      <c r="H1115" s="9">
        <v>36.950000000000003</v>
      </c>
      <c r="I1115" s="5" t="s">
        <v>68</v>
      </c>
      <c r="J1115" s="15">
        <v>42112.676192129627</v>
      </c>
      <c r="K1115" t="str">
        <f t="shared" si="17"/>
        <v>04-2015</v>
      </c>
    </row>
    <row r="1116" spans="3:11" x14ac:dyDescent="0.25">
      <c r="C1116" t="str">
        <f>IF(COUNTBLANK(E1116:J1116) = 6,"",IF(AND(NOT(ISBLANK(E1116)),COUNTBLANK(E1116:J1116) = 5),"3 Delete",IF(ISBLANK(E1116),"2 Add",IF(SHA1Range(E1116:J1116) = "96e54d11abc7a421ef108805c7448f0e888a6ff9","0 Original","1 Modify"))))</f>
        <v>0 Original</v>
      </c>
      <c r="D1116" s="5" t="s">
        <v>2050</v>
      </c>
      <c r="E1116" s="3">
        <v>1075</v>
      </c>
      <c r="F1116" s="13">
        <v>42113</v>
      </c>
      <c r="G1116" t="s">
        <v>245</v>
      </c>
      <c r="H1116" s="9">
        <v>28.96</v>
      </c>
      <c r="I1116" s="5" t="s">
        <v>68</v>
      </c>
      <c r="J1116" s="15">
        <v>42113.916574074072</v>
      </c>
      <c r="K1116" t="str">
        <f t="shared" si="17"/>
        <v>04-2015</v>
      </c>
    </row>
    <row r="1117" spans="3:11" x14ac:dyDescent="0.25">
      <c r="C1117" t="str">
        <f>IF(COUNTBLANK(E1117:J1117) = 6,"",IF(AND(NOT(ISBLANK(E1117)),COUNTBLANK(E1117:J1117) = 5),"3 Delete",IF(ISBLANK(E1117),"2 Add",IF(SHA1Range(E1117:J1117) = "c6d20631c959effd243ee67c6dc73a83fe9c4f29","0 Original","1 Modify"))))</f>
        <v>0 Original</v>
      </c>
      <c r="D1117" s="5" t="s">
        <v>2051</v>
      </c>
      <c r="E1117" s="3">
        <v>952</v>
      </c>
      <c r="F1117" s="13">
        <v>42114</v>
      </c>
      <c r="G1117" t="s">
        <v>326</v>
      </c>
      <c r="H1117" s="9">
        <v>23.97</v>
      </c>
      <c r="I1117" s="5" t="s">
        <v>68</v>
      </c>
      <c r="J1117" s="15">
        <v>42114.949803240743</v>
      </c>
      <c r="K1117" t="str">
        <f t="shared" si="17"/>
        <v>04-2015</v>
      </c>
    </row>
    <row r="1118" spans="3:11" x14ac:dyDescent="0.25">
      <c r="C1118" t="str">
        <f>IF(COUNTBLANK(E1118:J1118) = 6,"",IF(AND(NOT(ISBLANK(E1118)),COUNTBLANK(E1118:J1118) = 5),"3 Delete",IF(ISBLANK(E1118),"2 Add",IF(SHA1Range(E1118:J1118) = "ff88b61f0d7e6dfb80e8d4ff269ac765242ec049","0 Original","1 Modify"))))</f>
        <v>0 Original</v>
      </c>
      <c r="D1118" s="5" t="s">
        <v>2052</v>
      </c>
      <c r="E1118" s="3">
        <v>767</v>
      </c>
      <c r="F1118" s="13">
        <v>42115</v>
      </c>
      <c r="G1118" t="s">
        <v>302</v>
      </c>
      <c r="H1118" s="9">
        <v>4.99</v>
      </c>
      <c r="I1118" s="5" t="s">
        <v>68</v>
      </c>
      <c r="J1118" s="15">
        <v>42115.363576388889</v>
      </c>
      <c r="K1118" t="str">
        <f t="shared" si="17"/>
        <v>04-2015</v>
      </c>
    </row>
    <row r="1119" spans="3:11" x14ac:dyDescent="0.25">
      <c r="C1119" t="str">
        <f>IF(COUNTBLANK(E1119:J1119) = 6,"",IF(AND(NOT(ISBLANK(E1119)),COUNTBLANK(E1119:J1119) = 5),"3 Delete",IF(ISBLANK(E1119),"2 Add",IF(SHA1Range(E1119:J1119) = "d5c88ac4f0d1806c45e7b102c3f4b8ff844bacc2","0 Original","1 Modify"))))</f>
        <v>0 Original</v>
      </c>
      <c r="D1119" s="5" t="s">
        <v>2053</v>
      </c>
      <c r="E1119" s="3">
        <v>909</v>
      </c>
      <c r="F1119" s="13">
        <v>42115</v>
      </c>
      <c r="G1119" t="s">
        <v>326</v>
      </c>
      <c r="H1119" s="9">
        <v>18.97</v>
      </c>
      <c r="I1119" s="5" t="s">
        <v>68</v>
      </c>
      <c r="J1119" s="15">
        <v>42115.543078703704</v>
      </c>
      <c r="K1119" t="str">
        <f t="shared" si="17"/>
        <v>04-2015</v>
      </c>
    </row>
    <row r="1120" spans="3:11" x14ac:dyDescent="0.25">
      <c r="C1120" t="str">
        <f>IF(COUNTBLANK(E1120:J1120) = 6,"",IF(AND(NOT(ISBLANK(E1120)),COUNTBLANK(E1120:J1120) = 5),"3 Delete",IF(ISBLANK(E1120),"2 Add",IF(SHA1Range(E1120:J1120) = "14380248062e53f46a39cb48dfcce0cdb3f42b02","0 Original","1 Modify"))))</f>
        <v>0 Original</v>
      </c>
      <c r="D1120" s="5" t="s">
        <v>2054</v>
      </c>
      <c r="E1120" s="3">
        <v>893</v>
      </c>
      <c r="F1120" s="13">
        <v>42116</v>
      </c>
      <c r="G1120" t="s">
        <v>302</v>
      </c>
      <c r="H1120" s="9">
        <v>19.97</v>
      </c>
      <c r="I1120" s="5" t="s">
        <v>68</v>
      </c>
      <c r="J1120" s="15">
        <v>42116.816018518519</v>
      </c>
      <c r="K1120" t="str">
        <f t="shared" si="17"/>
        <v>04-2015</v>
      </c>
    </row>
    <row r="1121" spans="3:11" x14ac:dyDescent="0.25">
      <c r="C1121" t="str">
        <f>IF(COUNTBLANK(E1121:J1121) = 6,"",IF(AND(NOT(ISBLANK(E1121)),COUNTBLANK(E1121:J1121) = 5),"3 Delete",IF(ISBLANK(E1121),"2 Add",IF(SHA1Range(E1121:J1121) = "c9c9b51057ba9fab8183e8b5fe7492accf6af944","0 Original","1 Modify"))))</f>
        <v>0 Original</v>
      </c>
      <c r="D1121" s="5" t="s">
        <v>2055</v>
      </c>
      <c r="E1121" s="3">
        <v>1072</v>
      </c>
      <c r="F1121" s="13">
        <v>42117</v>
      </c>
      <c r="G1121" t="s">
        <v>260</v>
      </c>
      <c r="H1121" s="9">
        <v>40.94</v>
      </c>
      <c r="I1121" s="5" t="s">
        <v>68</v>
      </c>
      <c r="J1121" s="15">
        <v>42117.11996527778</v>
      </c>
      <c r="K1121" t="str">
        <f t="shared" si="17"/>
        <v>04-2015</v>
      </c>
    </row>
    <row r="1122" spans="3:11" x14ac:dyDescent="0.25">
      <c r="C1122" t="str">
        <f>IF(COUNTBLANK(E1122:J1122) = 6,"",IF(AND(NOT(ISBLANK(E1122)),COUNTBLANK(E1122:J1122) = 5),"3 Delete",IF(ISBLANK(E1122),"2 Add",IF(SHA1Range(E1122:J1122) = "036818f237efc2f95e52f8021ea9be2454b4ed35","0 Original","1 Modify"))))</f>
        <v>0 Original</v>
      </c>
      <c r="D1122" s="5" t="s">
        <v>2056</v>
      </c>
      <c r="E1122" s="3">
        <v>874</v>
      </c>
      <c r="F1122" s="13">
        <v>42117</v>
      </c>
      <c r="G1122" t="s">
        <v>170</v>
      </c>
      <c r="H1122" s="9">
        <v>5.99</v>
      </c>
      <c r="I1122" s="5" t="s">
        <v>68</v>
      </c>
      <c r="J1122" s="15">
        <v>42117.175833333335</v>
      </c>
      <c r="K1122" t="str">
        <f t="shared" si="17"/>
        <v>04-2015</v>
      </c>
    </row>
    <row r="1123" spans="3:11" x14ac:dyDescent="0.25">
      <c r="C1123" t="str">
        <f>IF(COUNTBLANK(E1123:J1123) = 6,"",IF(AND(NOT(ISBLANK(E1123)),COUNTBLANK(E1123:J1123) = 5),"3 Delete",IF(ISBLANK(E1123),"2 Add",IF(SHA1Range(E1123:J1123) = "ac415c3ff0528dc8b308d143d19a04cd4c601d8b","0 Original","1 Modify"))))</f>
        <v>0 Original</v>
      </c>
      <c r="D1123" s="5" t="s">
        <v>4086</v>
      </c>
      <c r="E1123" s="3">
        <v>430</v>
      </c>
      <c r="F1123" s="13">
        <v>42118</v>
      </c>
      <c r="G1123" t="s">
        <v>119</v>
      </c>
      <c r="H1123" s="9">
        <v>22.97</v>
      </c>
      <c r="I1123" s="5" t="s">
        <v>68</v>
      </c>
      <c r="J1123" s="15">
        <v>42118.039305555554</v>
      </c>
      <c r="K1123" t="str">
        <f t="shared" si="17"/>
        <v>04-2015</v>
      </c>
    </row>
    <row r="1124" spans="3:11" x14ac:dyDescent="0.25">
      <c r="C1124" t="str">
        <f>IF(COUNTBLANK(E1124:J1124) = 6,"",IF(AND(NOT(ISBLANK(E1124)),COUNTBLANK(E1124:J1124) = 5),"3 Delete",IF(ISBLANK(E1124),"2 Add",IF(SHA1Range(E1124:J1124) = "e122985c5df26e77d7cd069378d345141bbd84fc","0 Original","1 Modify"))))</f>
        <v>0 Original</v>
      </c>
      <c r="D1124" s="5" t="s">
        <v>2057</v>
      </c>
      <c r="E1124" s="3">
        <v>925</v>
      </c>
      <c r="F1124" s="13">
        <v>42118</v>
      </c>
      <c r="G1124" t="s">
        <v>242</v>
      </c>
      <c r="H1124" s="9">
        <v>75.91</v>
      </c>
      <c r="I1124" s="5" t="s">
        <v>68</v>
      </c>
      <c r="J1124" s="15">
        <v>42118.469756944447</v>
      </c>
      <c r="K1124" t="str">
        <f t="shared" si="17"/>
        <v>04-2015</v>
      </c>
    </row>
    <row r="1125" spans="3:11" x14ac:dyDescent="0.25">
      <c r="C1125" t="str">
        <f>IF(COUNTBLANK(E1125:J1125) = 6,"",IF(AND(NOT(ISBLANK(E1125)),COUNTBLANK(E1125:J1125) = 5),"3 Delete",IF(ISBLANK(E1125),"2 Add",IF(SHA1Range(E1125:J1125) = "204c870f124b1fca05779cc9dcebe4a089cfb95e","0 Original","1 Modify"))))</f>
        <v>0 Original</v>
      </c>
      <c r="D1125" s="5" t="s">
        <v>2058</v>
      </c>
      <c r="E1125" s="3">
        <v>504</v>
      </c>
      <c r="F1125" s="13">
        <v>42119</v>
      </c>
      <c r="G1125" t="s">
        <v>86</v>
      </c>
      <c r="H1125" s="9">
        <v>48.95</v>
      </c>
      <c r="I1125" s="5" t="s">
        <v>68</v>
      </c>
      <c r="J1125" s="15">
        <v>42119.006631944445</v>
      </c>
      <c r="K1125" t="str">
        <f t="shared" si="17"/>
        <v>04-2015</v>
      </c>
    </row>
    <row r="1126" spans="3:11" x14ac:dyDescent="0.25">
      <c r="C1126" t="str">
        <f>IF(COUNTBLANK(E1126:J1126) = 6,"",IF(AND(NOT(ISBLANK(E1126)),COUNTBLANK(E1126:J1126) = 5),"3 Delete",IF(ISBLANK(E1126),"2 Add",IF(SHA1Range(E1126:J1126) = "2b8ad6d2e0d19aa9479ac3c28d69c3ddd1c1079a","0 Original","1 Modify"))))</f>
        <v>0 Original</v>
      </c>
      <c r="D1126" s="5" t="s">
        <v>4388</v>
      </c>
      <c r="E1126" s="3">
        <v>189</v>
      </c>
      <c r="F1126" s="13">
        <v>42119</v>
      </c>
      <c r="G1126" t="s">
        <v>272</v>
      </c>
      <c r="H1126" s="9">
        <v>15.98</v>
      </c>
      <c r="I1126" s="5" t="s">
        <v>68</v>
      </c>
      <c r="J1126" s="15">
        <v>42119.741087962961</v>
      </c>
      <c r="K1126" t="str">
        <f t="shared" si="17"/>
        <v>04-2015</v>
      </c>
    </row>
    <row r="1127" spans="3:11" x14ac:dyDescent="0.25">
      <c r="C1127" t="str">
        <f>IF(COUNTBLANK(E1127:J1127) = 6,"",IF(AND(NOT(ISBLANK(E1127)),COUNTBLANK(E1127:J1127) = 5),"3 Delete",IF(ISBLANK(E1127),"2 Add",IF(SHA1Range(E1127:J1127) = "7ab492de61145d9c44597932488123deeca41577","0 Original","1 Modify"))))</f>
        <v>0 Original</v>
      </c>
      <c r="D1127" s="5" t="s">
        <v>4082</v>
      </c>
      <c r="E1127" s="3">
        <v>435</v>
      </c>
      <c r="F1127" s="13">
        <v>42120</v>
      </c>
      <c r="G1127" t="s">
        <v>188</v>
      </c>
      <c r="H1127" s="9">
        <v>14.98</v>
      </c>
      <c r="I1127" s="5" t="s">
        <v>68</v>
      </c>
      <c r="J1127" s="15">
        <v>42120.539097222223</v>
      </c>
      <c r="K1127" t="str">
        <f t="shared" si="17"/>
        <v>04-2015</v>
      </c>
    </row>
    <row r="1128" spans="3:11" x14ac:dyDescent="0.25">
      <c r="C1128" t="str">
        <f>IF(COUNTBLANK(E1128:J1128) = 6,"",IF(AND(NOT(ISBLANK(E1128)),COUNTBLANK(E1128:J1128) = 5),"3 Delete",IF(ISBLANK(E1128),"2 Add",IF(SHA1Range(E1128:J1128) = "48db8ee5a9b7d3c944339a7dd106f9b65a40c020","0 Original","1 Modify"))))</f>
        <v>0 Original</v>
      </c>
      <c r="D1128" s="5" t="s">
        <v>4151</v>
      </c>
      <c r="E1128" s="3">
        <v>311</v>
      </c>
      <c r="F1128" s="13">
        <v>42120</v>
      </c>
      <c r="G1128" t="s">
        <v>164</v>
      </c>
      <c r="H1128" s="9">
        <v>23.97</v>
      </c>
      <c r="I1128" s="5" t="s">
        <v>68</v>
      </c>
      <c r="J1128" s="15">
        <v>42120.965925925928</v>
      </c>
      <c r="K1128" t="str">
        <f t="shared" si="17"/>
        <v>04-2015</v>
      </c>
    </row>
    <row r="1129" spans="3:11" x14ac:dyDescent="0.25">
      <c r="C1129" t="str">
        <f>IF(COUNTBLANK(E1129:J1129) = 6,"",IF(AND(NOT(ISBLANK(E1129)),COUNTBLANK(E1129:J1129) = 5),"3 Delete",IF(ISBLANK(E1129),"2 Add",IF(SHA1Range(E1129:J1129) = "f015816494c380a65120299c300c57e8a6a5c00e","0 Original","1 Modify"))))</f>
        <v>0 Original</v>
      </c>
      <c r="D1129" s="5" t="s">
        <v>2059</v>
      </c>
      <c r="E1129" s="3">
        <v>985</v>
      </c>
      <c r="F1129" s="13">
        <v>42121</v>
      </c>
      <c r="G1129" t="s">
        <v>272</v>
      </c>
      <c r="H1129" s="9">
        <v>7.99</v>
      </c>
      <c r="I1129" s="5" t="s">
        <v>68</v>
      </c>
      <c r="J1129" s="15">
        <v>42121.159745370373</v>
      </c>
      <c r="K1129" t="str">
        <f t="shared" si="17"/>
        <v>04-2015</v>
      </c>
    </row>
    <row r="1130" spans="3:11" x14ac:dyDescent="0.25">
      <c r="C1130" t="str">
        <f>IF(COUNTBLANK(E1130:J1130) = 6,"",IF(AND(NOT(ISBLANK(E1130)),COUNTBLANK(E1130:J1130) = 5),"3 Delete",IF(ISBLANK(E1130),"2 Add",IF(SHA1Range(E1130:J1130) = "6475979cd2da5b5aae015fb0a211444409f2668b","0 Original","1 Modify"))))</f>
        <v>0 Original</v>
      </c>
      <c r="D1130" s="5" t="s">
        <v>4389</v>
      </c>
      <c r="E1130" s="3">
        <v>103</v>
      </c>
      <c r="F1130" s="13">
        <v>42121</v>
      </c>
      <c r="G1130" t="s">
        <v>347</v>
      </c>
      <c r="H1130" s="9">
        <v>26.95</v>
      </c>
      <c r="I1130" s="5" t="s">
        <v>68</v>
      </c>
      <c r="J1130" s="15">
        <v>42121.516516203701</v>
      </c>
      <c r="K1130" t="str">
        <f t="shared" si="17"/>
        <v>04-2015</v>
      </c>
    </row>
    <row r="1131" spans="3:11" x14ac:dyDescent="0.25">
      <c r="C1131" t="str">
        <f>IF(COUNTBLANK(E1131:J1131) = 6,"",IF(AND(NOT(ISBLANK(E1131)),COUNTBLANK(E1131:J1131) = 5),"3 Delete",IF(ISBLANK(E1131),"2 Add",IF(SHA1Range(E1131:J1131) = "e8606c07033448e1474bcce99526490fd29f6f61","0 Original","1 Modify"))))</f>
        <v>0 Original</v>
      </c>
      <c r="D1131" s="5" t="s">
        <v>4106</v>
      </c>
      <c r="E1131" s="3">
        <v>367</v>
      </c>
      <c r="F1131" s="13">
        <v>42122</v>
      </c>
      <c r="G1131" t="s">
        <v>203</v>
      </c>
      <c r="H1131" s="9">
        <v>8.99</v>
      </c>
      <c r="I1131" s="5" t="s">
        <v>68</v>
      </c>
      <c r="J1131" s="15">
        <v>42122.71471064815</v>
      </c>
      <c r="K1131" t="str">
        <f t="shared" si="17"/>
        <v>04-2015</v>
      </c>
    </row>
    <row r="1132" spans="3:11" x14ac:dyDescent="0.25">
      <c r="C1132" t="str">
        <f>IF(COUNTBLANK(E1132:J1132) = 6,"",IF(AND(NOT(ISBLANK(E1132)),COUNTBLANK(E1132:J1132) = 5),"3 Delete",IF(ISBLANK(E1132),"2 Add",IF(SHA1Range(E1132:J1132) = "d693de57f181d30e254fe86d865565eada84337c","0 Original","1 Modify"))))</f>
        <v>0 Original</v>
      </c>
      <c r="D1132" s="5" t="s">
        <v>2060</v>
      </c>
      <c r="E1132" s="3">
        <v>1142</v>
      </c>
      <c r="F1132" s="13">
        <v>42122</v>
      </c>
      <c r="G1132" t="s">
        <v>242</v>
      </c>
      <c r="H1132" s="9">
        <v>31.96</v>
      </c>
      <c r="I1132" s="5" t="s">
        <v>68</v>
      </c>
      <c r="J1132" s="15">
        <v>42122.728680555556</v>
      </c>
      <c r="K1132" t="str">
        <f t="shared" si="17"/>
        <v>04-2015</v>
      </c>
    </row>
    <row r="1133" spans="3:11" x14ac:dyDescent="0.25">
      <c r="C1133" t="str">
        <f>IF(COUNTBLANK(E1133:J1133) = 6,"",IF(AND(NOT(ISBLANK(E1133)),COUNTBLANK(E1133:J1133) = 5),"3 Delete",IF(ISBLANK(E1133),"2 Add",IF(SHA1Range(E1133:J1133) = "3aad1bf6817b9b7f1b396c871ce0fc4007cae57c","0 Original","1 Modify"))))</f>
        <v>0 Original</v>
      </c>
      <c r="D1133" s="5" t="s">
        <v>4390</v>
      </c>
      <c r="E1133" s="3">
        <v>179</v>
      </c>
      <c r="F1133" s="13">
        <v>42122</v>
      </c>
      <c r="G1133" t="s">
        <v>311</v>
      </c>
      <c r="H1133" s="9">
        <v>16.98</v>
      </c>
      <c r="I1133" s="5" t="s">
        <v>68</v>
      </c>
      <c r="J1133" s="15">
        <v>42122.896122685182</v>
      </c>
      <c r="K1133" t="str">
        <f t="shared" si="17"/>
        <v>04-2015</v>
      </c>
    </row>
    <row r="1134" spans="3:11" x14ac:dyDescent="0.25">
      <c r="C1134" t="str">
        <f>IF(COUNTBLANK(E1134:J1134) = 6,"",IF(AND(NOT(ISBLANK(E1134)),COUNTBLANK(E1134:J1134) = 5),"3 Delete",IF(ISBLANK(E1134),"2 Add",IF(SHA1Range(E1134:J1134) = "412cf251440eb402479f5d9e80d2e5800d2e2ef4","0 Original","1 Modify"))))</f>
        <v>0 Original</v>
      </c>
      <c r="D1134" s="5" t="s">
        <v>4090</v>
      </c>
      <c r="E1134" s="3">
        <v>423</v>
      </c>
      <c r="F1134" s="13">
        <v>42122</v>
      </c>
      <c r="G1134" t="s">
        <v>149</v>
      </c>
      <c r="H1134" s="9">
        <v>32.950000000000003</v>
      </c>
      <c r="I1134" s="5" t="s">
        <v>68</v>
      </c>
      <c r="J1134" s="15">
        <v>42122.899074074077</v>
      </c>
      <c r="K1134" t="str">
        <f t="shared" si="17"/>
        <v>04-2015</v>
      </c>
    </row>
    <row r="1135" spans="3:11" x14ac:dyDescent="0.25">
      <c r="C1135" t="str">
        <f>IF(COUNTBLANK(E1135:J1135) = 6,"",IF(AND(NOT(ISBLANK(E1135)),COUNTBLANK(E1135:J1135) = 5),"3 Delete",IF(ISBLANK(E1135),"2 Add",IF(SHA1Range(E1135:J1135) = "c557192f22c94db4bbb8c9df4ecb3dbf1bd0030f","0 Original","1 Modify"))))</f>
        <v>0 Original</v>
      </c>
      <c r="D1135" s="5" t="s">
        <v>4391</v>
      </c>
      <c r="E1135" s="3">
        <v>203</v>
      </c>
      <c r="F1135" s="13">
        <v>42122</v>
      </c>
      <c r="G1135" t="s">
        <v>221</v>
      </c>
      <c r="H1135" s="9">
        <v>26.97</v>
      </c>
      <c r="I1135" s="5" t="s">
        <v>68</v>
      </c>
      <c r="J1135" s="15">
        <v>42122.965092592596</v>
      </c>
      <c r="K1135" t="str">
        <f t="shared" si="17"/>
        <v>04-2015</v>
      </c>
    </row>
    <row r="1136" spans="3:11" x14ac:dyDescent="0.25">
      <c r="C1136" t="str">
        <f>IF(COUNTBLANK(E1136:J1136) = 6,"",IF(AND(NOT(ISBLANK(E1136)),COUNTBLANK(E1136:J1136) = 5),"3 Delete",IF(ISBLANK(E1136),"2 Add",IF(SHA1Range(E1136:J1136) = "aaa39a1c38a49ef60455535bdaea3c362dc2e075","0 Original","1 Modify"))))</f>
        <v>0 Original</v>
      </c>
      <c r="D1136" s="5" t="s">
        <v>4392</v>
      </c>
      <c r="E1136" s="3">
        <v>61</v>
      </c>
      <c r="F1136" s="13">
        <v>42123</v>
      </c>
      <c r="G1136" t="s">
        <v>296</v>
      </c>
      <c r="H1136" s="9">
        <v>89.87</v>
      </c>
      <c r="I1136" s="5" t="s">
        <v>68</v>
      </c>
      <c r="J1136" s="15">
        <v>42123.920046296298</v>
      </c>
      <c r="K1136" t="str">
        <f t="shared" si="17"/>
        <v>04-2015</v>
      </c>
    </row>
    <row r="1137" spans="3:11" x14ac:dyDescent="0.25">
      <c r="C1137" t="str">
        <f>IF(COUNTBLANK(E1137:J1137) = 6,"",IF(AND(NOT(ISBLANK(E1137)),COUNTBLANK(E1137:J1137) = 5),"3 Delete",IF(ISBLANK(E1137),"2 Add",IF(SHA1Range(E1137:J1137) = "58d76e041845f41cf62535d14a0e9a48bcb63e8f","0 Original","1 Modify"))))</f>
        <v>0 Original</v>
      </c>
      <c r="D1137" s="5" t="s">
        <v>2061</v>
      </c>
      <c r="E1137" s="3">
        <v>1083</v>
      </c>
      <c r="F1137" s="13">
        <v>42123</v>
      </c>
      <c r="G1137" t="s">
        <v>221</v>
      </c>
      <c r="H1137" s="9">
        <v>4.99</v>
      </c>
      <c r="I1137" s="5" t="s">
        <v>68</v>
      </c>
      <c r="J1137" s="15">
        <v>42123.991111111114</v>
      </c>
      <c r="K1137" t="str">
        <f t="shared" si="17"/>
        <v>04-2015</v>
      </c>
    </row>
    <row r="1138" spans="3:11" x14ac:dyDescent="0.25">
      <c r="C1138" t="str">
        <f>IF(COUNTBLANK(E1138:J1138) = 6,"",IF(AND(NOT(ISBLANK(E1138)),COUNTBLANK(E1138:J1138) = 5),"3 Delete",IF(ISBLANK(E1138),"2 Add",IF(SHA1Range(E1138:J1138) = "5e1dfb44e4a223153ac86a72d0002c6c9cc41f61","0 Original","1 Modify"))))</f>
        <v>0 Original</v>
      </c>
      <c r="D1138" s="5" t="s">
        <v>2062</v>
      </c>
      <c r="E1138" s="3">
        <v>1059</v>
      </c>
      <c r="F1138" s="13">
        <v>42125</v>
      </c>
      <c r="G1138" t="s">
        <v>98</v>
      </c>
      <c r="H1138" s="9">
        <v>17.98</v>
      </c>
      <c r="I1138" s="5" t="s">
        <v>68</v>
      </c>
      <c r="J1138" s="15">
        <v>42125.05300925926</v>
      </c>
      <c r="K1138" t="str">
        <f t="shared" si="17"/>
        <v>05-2015</v>
      </c>
    </row>
    <row r="1139" spans="3:11" x14ac:dyDescent="0.25">
      <c r="C1139" t="str">
        <f>IF(COUNTBLANK(E1139:J1139) = 6,"",IF(AND(NOT(ISBLANK(E1139)),COUNTBLANK(E1139:J1139) = 5),"3 Delete",IF(ISBLANK(E1139),"2 Add",IF(SHA1Range(E1139:J1139) = "8cfdb255e83617bfc864b5aec8454c09ecda0fe4","0 Original","1 Modify"))))</f>
        <v>0 Original</v>
      </c>
      <c r="D1139" s="5" t="s">
        <v>4393</v>
      </c>
      <c r="E1139" s="3">
        <v>244</v>
      </c>
      <c r="F1139" s="13">
        <v>42125</v>
      </c>
      <c r="G1139" t="s">
        <v>248</v>
      </c>
      <c r="H1139" s="9">
        <v>60.92</v>
      </c>
      <c r="I1139" s="5" t="s">
        <v>68</v>
      </c>
      <c r="J1139" s="15">
        <v>42125.977233796293</v>
      </c>
      <c r="K1139" t="str">
        <f t="shared" si="17"/>
        <v>05-2015</v>
      </c>
    </row>
    <row r="1140" spans="3:11" x14ac:dyDescent="0.25">
      <c r="C1140" t="str">
        <f>IF(COUNTBLANK(E1140:J1140) = 6,"",IF(AND(NOT(ISBLANK(E1140)),COUNTBLANK(E1140:J1140) = 5),"3 Delete",IF(ISBLANK(E1140),"2 Add",IF(SHA1Range(E1140:J1140) = "8ba61c88353a2f0e2de02c8bf82d49afa774866a","0 Original","1 Modify"))))</f>
        <v>0 Original</v>
      </c>
      <c r="D1140" s="5" t="s">
        <v>2063</v>
      </c>
      <c r="E1140" s="3">
        <v>517</v>
      </c>
      <c r="F1140" s="13">
        <v>42126</v>
      </c>
      <c r="G1140" t="s">
        <v>215</v>
      </c>
      <c r="H1140" s="9">
        <v>66.92</v>
      </c>
      <c r="I1140" s="5" t="s">
        <v>68</v>
      </c>
      <c r="J1140" s="15">
        <v>42126.288495370369</v>
      </c>
      <c r="K1140" t="str">
        <f t="shared" si="17"/>
        <v>05-2015</v>
      </c>
    </row>
    <row r="1141" spans="3:11" x14ac:dyDescent="0.25">
      <c r="C1141" t="str">
        <f>IF(COUNTBLANK(E1141:J1141) = 6,"",IF(AND(NOT(ISBLANK(E1141)),COUNTBLANK(E1141:J1141) = 5),"3 Delete",IF(ISBLANK(E1141),"2 Add",IF(SHA1Range(E1141:J1141) = "f3aa04cc128c0f8696f4dce8ae3fd6507c739d52","0 Original","1 Modify"))))</f>
        <v>0 Original</v>
      </c>
      <c r="D1141" s="5" t="s">
        <v>2064</v>
      </c>
      <c r="E1141" s="3">
        <v>965</v>
      </c>
      <c r="F1141" s="13">
        <v>42126</v>
      </c>
      <c r="G1141" t="s">
        <v>272</v>
      </c>
      <c r="H1141" s="9">
        <v>15.98</v>
      </c>
      <c r="I1141" s="5" t="s">
        <v>68</v>
      </c>
      <c r="J1141" s="15">
        <v>42126.483206018522</v>
      </c>
      <c r="K1141" t="str">
        <f t="shared" si="17"/>
        <v>05-2015</v>
      </c>
    </row>
    <row r="1142" spans="3:11" x14ac:dyDescent="0.25">
      <c r="C1142" t="str">
        <f>IF(COUNTBLANK(E1142:J1142) = 6,"",IF(AND(NOT(ISBLANK(E1142)),COUNTBLANK(E1142:J1142) = 5),"3 Delete",IF(ISBLANK(E1142),"2 Add",IF(SHA1Range(E1142:J1142) = "76d9b25eee9a4cbf86d74cba960c3fd4b392816d","0 Original","1 Modify"))))</f>
        <v>0 Original</v>
      </c>
      <c r="D1142" s="5" t="s">
        <v>4061</v>
      </c>
      <c r="E1142" s="3">
        <v>481</v>
      </c>
      <c r="F1142" s="13">
        <v>42127</v>
      </c>
      <c r="G1142" t="s">
        <v>149</v>
      </c>
      <c r="H1142" s="9">
        <v>6.99</v>
      </c>
      <c r="I1142" s="5" t="s">
        <v>68</v>
      </c>
      <c r="J1142" s="15">
        <v>42127.017696759256</v>
      </c>
      <c r="K1142" t="str">
        <f t="shared" si="17"/>
        <v>05-2015</v>
      </c>
    </row>
    <row r="1143" spans="3:11" x14ac:dyDescent="0.25">
      <c r="C1143" t="str">
        <f>IF(COUNTBLANK(E1143:J1143) = 6,"",IF(AND(NOT(ISBLANK(E1143)),COUNTBLANK(E1143:J1143) = 5),"3 Delete",IF(ISBLANK(E1143),"2 Add",IF(SHA1Range(E1143:J1143) = "4fb47bb03a2e0349dd5c5e15edbfe38b7fb57d26","0 Original","1 Modify"))))</f>
        <v>0 Original</v>
      </c>
      <c r="D1143" s="5" t="s">
        <v>2065</v>
      </c>
      <c r="E1143" s="3">
        <v>557</v>
      </c>
      <c r="F1143" s="13">
        <v>42128</v>
      </c>
      <c r="G1143" t="s">
        <v>305</v>
      </c>
      <c r="H1143" s="9">
        <v>19.98</v>
      </c>
      <c r="I1143" s="5" t="s">
        <v>68</v>
      </c>
      <c r="J1143" s="15">
        <v>42128.369050925925</v>
      </c>
      <c r="K1143" t="str">
        <f t="shared" si="17"/>
        <v>05-2015</v>
      </c>
    </row>
    <row r="1144" spans="3:11" x14ac:dyDescent="0.25">
      <c r="C1144" t="str">
        <f>IF(COUNTBLANK(E1144:J1144) = 6,"",IF(AND(NOT(ISBLANK(E1144)),COUNTBLANK(E1144:J1144) = 5),"3 Delete",IF(ISBLANK(E1144),"2 Add",IF(SHA1Range(E1144:J1144) = "3988f2fc329f3f86b076d481b853ff1ebe3f3902","0 Original","1 Modify"))))</f>
        <v>0 Original</v>
      </c>
      <c r="D1144" s="5" t="s">
        <v>2066</v>
      </c>
      <c r="E1144" s="3">
        <v>768</v>
      </c>
      <c r="F1144" s="13">
        <v>42128</v>
      </c>
      <c r="G1144" t="s">
        <v>302</v>
      </c>
      <c r="H1144" s="9">
        <v>7.99</v>
      </c>
      <c r="I1144" s="5" t="s">
        <v>68</v>
      </c>
      <c r="J1144" s="15">
        <v>42128.462453703702</v>
      </c>
      <c r="K1144" t="str">
        <f t="shared" si="17"/>
        <v>05-2015</v>
      </c>
    </row>
    <row r="1145" spans="3:11" x14ac:dyDescent="0.25">
      <c r="C1145" t="str">
        <f>IF(COUNTBLANK(E1145:J1145) = 6,"",IF(AND(NOT(ISBLANK(E1145)),COUNTBLANK(E1145:J1145) = 5),"3 Delete",IF(ISBLANK(E1145),"2 Add",IF(SHA1Range(E1145:J1145) = "7bd2aa9f38db62906c6494ba792314a5d4d3e56c","0 Original","1 Modify"))))</f>
        <v>0 Original</v>
      </c>
      <c r="D1145" s="5" t="s">
        <v>2067</v>
      </c>
      <c r="E1145" s="3">
        <v>737</v>
      </c>
      <c r="F1145" s="13">
        <v>42128</v>
      </c>
      <c r="G1145" t="s">
        <v>221</v>
      </c>
      <c r="H1145" s="9">
        <v>21.97</v>
      </c>
      <c r="I1145" s="5" t="s">
        <v>68</v>
      </c>
      <c r="J1145" s="15">
        <v>42128.839606481481</v>
      </c>
      <c r="K1145" t="str">
        <f t="shared" si="17"/>
        <v>05-2015</v>
      </c>
    </row>
    <row r="1146" spans="3:11" x14ac:dyDescent="0.25">
      <c r="C1146" t="str">
        <f>IF(COUNTBLANK(E1146:J1146) = 6,"",IF(AND(NOT(ISBLANK(E1146)),COUNTBLANK(E1146:J1146) = 5),"3 Delete",IF(ISBLANK(E1146),"2 Add",IF(SHA1Range(E1146:J1146) = "e12c47c545e7dd485cec6379ddd8dece8845296b","0 Original","1 Modify"))))</f>
        <v>0 Original</v>
      </c>
      <c r="D1146" s="5" t="s">
        <v>2068</v>
      </c>
      <c r="E1146" s="3">
        <v>826</v>
      </c>
      <c r="F1146" s="13">
        <v>42128</v>
      </c>
      <c r="G1146" t="s">
        <v>302</v>
      </c>
      <c r="H1146" s="9">
        <v>19.96</v>
      </c>
      <c r="I1146" s="5" t="s">
        <v>68</v>
      </c>
      <c r="J1146" s="15">
        <v>42128.936261574076</v>
      </c>
      <c r="K1146" t="str">
        <f t="shared" si="17"/>
        <v>05-2015</v>
      </c>
    </row>
    <row r="1147" spans="3:11" x14ac:dyDescent="0.25">
      <c r="C1147" t="str">
        <f>IF(COUNTBLANK(E1147:J1147) = 6,"",IF(AND(NOT(ISBLANK(E1147)),COUNTBLANK(E1147:J1147) = 5),"3 Delete",IF(ISBLANK(E1147),"2 Add",IF(SHA1Range(E1147:J1147) = "525d785a34ea221aad6b994eb8507d5f13fe3ae9","0 Original","1 Modify"))))</f>
        <v>0 Original</v>
      </c>
      <c r="D1147" s="5" t="s">
        <v>2069</v>
      </c>
      <c r="E1147" s="3">
        <v>831</v>
      </c>
      <c r="F1147" s="13">
        <v>42129</v>
      </c>
      <c r="G1147" t="s">
        <v>170</v>
      </c>
      <c r="H1147" s="9">
        <v>15.97</v>
      </c>
      <c r="I1147" s="5" t="s">
        <v>68</v>
      </c>
      <c r="J1147" s="15">
        <v>42129.673784722225</v>
      </c>
      <c r="K1147" t="str">
        <f t="shared" si="17"/>
        <v>05-2015</v>
      </c>
    </row>
    <row r="1148" spans="3:11" x14ac:dyDescent="0.25">
      <c r="C1148" t="str">
        <f>IF(COUNTBLANK(E1148:J1148) = 6,"",IF(AND(NOT(ISBLANK(E1148)),COUNTBLANK(E1148:J1148) = 5),"3 Delete",IF(ISBLANK(E1148),"2 Add",IF(SHA1Range(E1148:J1148) = "4dcf42c9969c29093d24a1d66170a39ea42e385b","0 Original","1 Modify"))))</f>
        <v>0 Original</v>
      </c>
      <c r="D1148" s="5" t="s">
        <v>2070</v>
      </c>
      <c r="E1148" s="3">
        <v>590</v>
      </c>
      <c r="F1148" s="13">
        <v>42129</v>
      </c>
      <c r="G1148" t="s">
        <v>239</v>
      </c>
      <c r="H1148" s="9">
        <v>24.97</v>
      </c>
      <c r="I1148" s="5" t="s">
        <v>68</v>
      </c>
      <c r="J1148" s="15">
        <v>42129.955636574072</v>
      </c>
      <c r="K1148" t="str">
        <f t="shared" si="17"/>
        <v>05-2015</v>
      </c>
    </row>
    <row r="1149" spans="3:11" x14ac:dyDescent="0.25">
      <c r="C1149" t="str">
        <f>IF(COUNTBLANK(E1149:J1149) = 6,"",IF(AND(NOT(ISBLANK(E1149)),COUNTBLANK(E1149:J1149) = 5),"3 Delete",IF(ISBLANK(E1149),"2 Add",IF(SHA1Range(E1149:J1149) = "1d5fb0fca72390999084d61302b811588a42aa64","0 Original","1 Modify"))))</f>
        <v>0 Original</v>
      </c>
      <c r="D1149" s="5" t="s">
        <v>2071</v>
      </c>
      <c r="E1149" s="3">
        <v>675</v>
      </c>
      <c r="F1149" s="13">
        <v>42130</v>
      </c>
      <c r="G1149" t="s">
        <v>152</v>
      </c>
      <c r="H1149" s="9">
        <v>4.99</v>
      </c>
      <c r="I1149" s="5" t="s">
        <v>68</v>
      </c>
      <c r="J1149" s="15">
        <v>42130.118726851855</v>
      </c>
      <c r="K1149" t="str">
        <f t="shared" si="17"/>
        <v>05-2015</v>
      </c>
    </row>
    <row r="1150" spans="3:11" x14ac:dyDescent="0.25">
      <c r="C1150" t="str">
        <f>IF(COUNTBLANK(E1150:J1150) = 6,"",IF(AND(NOT(ISBLANK(E1150)),COUNTBLANK(E1150:J1150) = 5),"3 Delete",IF(ISBLANK(E1150),"2 Add",IF(SHA1Range(E1150:J1150) = "d7d413ad7fdd801d8477fa02edfd79f15cd8d40b","0 Original","1 Modify"))))</f>
        <v>0 Original</v>
      </c>
      <c r="D1150" s="5" t="s">
        <v>4394</v>
      </c>
      <c r="E1150" s="3">
        <v>175</v>
      </c>
      <c r="F1150" s="13">
        <v>42132</v>
      </c>
      <c r="G1150" t="s">
        <v>182</v>
      </c>
      <c r="H1150" s="9">
        <v>25.96</v>
      </c>
      <c r="I1150" s="5" t="s">
        <v>68</v>
      </c>
      <c r="J1150" s="15">
        <v>42132.330891203703</v>
      </c>
      <c r="K1150" t="str">
        <f t="shared" si="17"/>
        <v>05-2015</v>
      </c>
    </row>
    <row r="1151" spans="3:11" x14ac:dyDescent="0.25">
      <c r="C1151" t="str">
        <f>IF(COUNTBLANK(E1151:J1151) = 6,"",IF(AND(NOT(ISBLANK(E1151)),COUNTBLANK(E1151:J1151) = 5),"3 Delete",IF(ISBLANK(E1151),"2 Add",IF(SHA1Range(E1151:J1151) = "cce5b7bee56517782f564184ef43cdf014f4fe56","0 Original","1 Modify"))))</f>
        <v>0 Original</v>
      </c>
      <c r="D1151" s="5" t="s">
        <v>2072</v>
      </c>
      <c r="E1151" s="3">
        <v>852</v>
      </c>
      <c r="F1151" s="13">
        <v>42132</v>
      </c>
      <c r="G1151" t="s">
        <v>326</v>
      </c>
      <c r="H1151" s="9">
        <v>49.94</v>
      </c>
      <c r="I1151" s="5" t="s">
        <v>68</v>
      </c>
      <c r="J1151" s="15">
        <v>42132.846168981479</v>
      </c>
      <c r="K1151" t="str">
        <f t="shared" si="17"/>
        <v>05-2015</v>
      </c>
    </row>
    <row r="1152" spans="3:11" x14ac:dyDescent="0.25">
      <c r="C1152" t="str">
        <f>IF(COUNTBLANK(E1152:J1152) = 6,"",IF(AND(NOT(ISBLANK(E1152)),COUNTBLANK(E1152:J1152) = 5),"3 Delete",IF(ISBLANK(E1152),"2 Add",IF(SHA1Range(E1152:J1152) = "009ab30fc046328a2852ba045aef7242f65f99ee","0 Original","1 Modify"))))</f>
        <v>0 Original</v>
      </c>
      <c r="D1152" s="5" t="s">
        <v>4395</v>
      </c>
      <c r="E1152" s="3">
        <v>100</v>
      </c>
      <c r="F1152" s="13">
        <v>42133</v>
      </c>
      <c r="G1152" t="s">
        <v>140</v>
      </c>
      <c r="H1152" s="9">
        <v>34.96</v>
      </c>
      <c r="I1152" s="5" t="s">
        <v>68</v>
      </c>
      <c r="J1152" s="15">
        <v>42133.34820601852</v>
      </c>
      <c r="K1152" t="str">
        <f t="shared" si="17"/>
        <v>05-2015</v>
      </c>
    </row>
    <row r="1153" spans="3:11" x14ac:dyDescent="0.25">
      <c r="C1153" t="str">
        <f>IF(COUNTBLANK(E1153:J1153) = 6,"",IF(AND(NOT(ISBLANK(E1153)),COUNTBLANK(E1153:J1153) = 5),"3 Delete",IF(ISBLANK(E1153),"2 Add",IF(SHA1Range(E1153:J1153) = "b60405c9f423e6738fc39b0ff5d1c13a3e26513a","0 Original","1 Modify"))))</f>
        <v>0 Original</v>
      </c>
      <c r="D1153" s="5" t="s">
        <v>2073</v>
      </c>
      <c r="E1153" s="3">
        <v>746</v>
      </c>
      <c r="F1153" s="13">
        <v>42134</v>
      </c>
      <c r="G1153" t="s">
        <v>98</v>
      </c>
      <c r="H1153" s="9">
        <v>43.95</v>
      </c>
      <c r="I1153" s="5" t="s">
        <v>68</v>
      </c>
      <c r="J1153" s="15">
        <v>42134.982025462959</v>
      </c>
      <c r="K1153" t="str">
        <f t="shared" si="17"/>
        <v>05-2015</v>
      </c>
    </row>
    <row r="1154" spans="3:11" x14ac:dyDescent="0.25">
      <c r="C1154" t="str">
        <f>IF(COUNTBLANK(E1154:J1154) = 6,"",IF(AND(NOT(ISBLANK(E1154)),COUNTBLANK(E1154:J1154) = 5),"3 Delete",IF(ISBLANK(E1154),"2 Add",IF(SHA1Range(E1154:J1154) = "4f80fd22602bdc0450b0fadb3b47d2139299073b","0 Original","1 Modify"))))</f>
        <v>0 Original</v>
      </c>
      <c r="D1154" s="5" t="s">
        <v>4396</v>
      </c>
      <c r="E1154" s="3">
        <v>115</v>
      </c>
      <c r="F1154" s="13">
        <v>42135</v>
      </c>
      <c r="G1154" t="s">
        <v>203</v>
      </c>
      <c r="H1154" s="9">
        <v>51.93</v>
      </c>
      <c r="I1154" s="5" t="s">
        <v>68</v>
      </c>
      <c r="J1154" s="15">
        <v>42135.112037037034</v>
      </c>
      <c r="K1154" t="str">
        <f t="shared" si="17"/>
        <v>05-2015</v>
      </c>
    </row>
    <row r="1155" spans="3:11" x14ac:dyDescent="0.25">
      <c r="C1155" t="str">
        <f>IF(COUNTBLANK(E1155:J1155) = 6,"",IF(AND(NOT(ISBLANK(E1155)),COUNTBLANK(E1155:J1155) = 5),"3 Delete",IF(ISBLANK(E1155),"2 Add",IF(SHA1Range(E1155:J1155) = "4d38e61f2cdcebe7bc3c377773dc224d27e7c3a4","0 Original","1 Modify"))))</f>
        <v>0 Original</v>
      </c>
      <c r="D1155" s="5" t="s">
        <v>2074</v>
      </c>
      <c r="E1155" s="3">
        <v>180</v>
      </c>
      <c r="F1155" s="13">
        <v>42135</v>
      </c>
      <c r="G1155" t="s">
        <v>360</v>
      </c>
      <c r="H1155" s="9">
        <v>45.93</v>
      </c>
      <c r="I1155" s="5" t="s">
        <v>68</v>
      </c>
      <c r="J1155" s="15">
        <v>42135.823657407411</v>
      </c>
      <c r="K1155" t="str">
        <f t="shared" ref="K1155:K1218" si="18">TEXT(F1155,"mm-yyyy")</f>
        <v>05-2015</v>
      </c>
    </row>
    <row r="1156" spans="3:11" x14ac:dyDescent="0.25">
      <c r="C1156" t="str">
        <f>IF(COUNTBLANK(E1156:J1156) = 6,"",IF(AND(NOT(ISBLANK(E1156)),COUNTBLANK(E1156:J1156) = 5),"3 Delete",IF(ISBLANK(E1156),"2 Add",IF(SHA1Range(E1156:J1156) = "772df72e8bdca62ecbca8d85c64e91f7ea193e8a","0 Original","1 Modify"))))</f>
        <v>0 Original</v>
      </c>
      <c r="D1156" s="5" t="s">
        <v>2075</v>
      </c>
      <c r="E1156" s="3">
        <v>854</v>
      </c>
      <c r="F1156" s="13">
        <v>42135</v>
      </c>
      <c r="G1156" t="s">
        <v>221</v>
      </c>
      <c r="H1156" s="9">
        <v>101.88</v>
      </c>
      <c r="I1156" s="5" t="s">
        <v>68</v>
      </c>
      <c r="J1156" s="15">
        <v>42135.91615740741</v>
      </c>
      <c r="K1156" t="str">
        <f t="shared" si="18"/>
        <v>05-2015</v>
      </c>
    </row>
    <row r="1157" spans="3:11" x14ac:dyDescent="0.25">
      <c r="C1157" t="str">
        <f>IF(COUNTBLANK(E1157:J1157) = 6,"",IF(AND(NOT(ISBLANK(E1157)),COUNTBLANK(E1157:J1157) = 5),"3 Delete",IF(ISBLANK(E1157),"2 Add",IF(SHA1Range(E1157:J1157) = "82b1279ca5c6e4bc5a864888c904d196eb3ded0d","0 Original","1 Modify"))))</f>
        <v>0 Original</v>
      </c>
      <c r="D1157" s="5" t="s">
        <v>4078</v>
      </c>
      <c r="E1157" s="3">
        <v>441</v>
      </c>
      <c r="F1157" s="13">
        <v>42136</v>
      </c>
      <c r="G1157" t="s">
        <v>119</v>
      </c>
      <c r="H1157" s="9">
        <v>13.98</v>
      </c>
      <c r="I1157" s="5" t="s">
        <v>68</v>
      </c>
      <c r="J1157" s="15">
        <v>42136.332488425927</v>
      </c>
      <c r="K1157" t="str">
        <f t="shared" si="18"/>
        <v>05-2015</v>
      </c>
    </row>
    <row r="1158" spans="3:11" x14ac:dyDescent="0.25">
      <c r="C1158" t="str">
        <f>IF(COUNTBLANK(E1158:J1158) = 6,"",IF(AND(NOT(ISBLANK(E1158)),COUNTBLANK(E1158:J1158) = 5),"3 Delete",IF(ISBLANK(E1158),"2 Add",IF(SHA1Range(E1158:J1158) = "8cf8b059a156afaffd6249610b288f6474197b8e","0 Original","1 Modify"))))</f>
        <v>0 Original</v>
      </c>
      <c r="D1158" s="5" t="s">
        <v>4067</v>
      </c>
      <c r="E1158" s="3">
        <v>467</v>
      </c>
      <c r="F1158" s="13">
        <v>42137</v>
      </c>
      <c r="G1158" t="s">
        <v>305</v>
      </c>
      <c r="H1158" s="9">
        <v>32.950000000000003</v>
      </c>
      <c r="I1158" s="5" t="s">
        <v>68</v>
      </c>
      <c r="J1158" s="15">
        <v>42137.462696759256</v>
      </c>
      <c r="K1158" t="str">
        <f t="shared" si="18"/>
        <v>05-2015</v>
      </c>
    </row>
    <row r="1159" spans="3:11" x14ac:dyDescent="0.25">
      <c r="C1159" t="str">
        <f>IF(COUNTBLANK(E1159:J1159) = 6,"",IF(AND(NOT(ISBLANK(E1159)),COUNTBLANK(E1159:J1159) = 5),"3 Delete",IF(ISBLANK(E1159),"2 Add",IF(SHA1Range(E1159:J1159) = "8ccb9a7ed4f30438713d6d4fcd701b8f0a0dc87b","0 Original","1 Modify"))))</f>
        <v>0 Original</v>
      </c>
      <c r="D1159" s="5" t="s">
        <v>4397</v>
      </c>
      <c r="E1159" s="3">
        <v>123</v>
      </c>
      <c r="F1159" s="13">
        <v>42137</v>
      </c>
      <c r="G1159" t="s">
        <v>326</v>
      </c>
      <c r="H1159" s="9">
        <v>42.95</v>
      </c>
      <c r="I1159" s="5" t="s">
        <v>68</v>
      </c>
      <c r="J1159" s="15">
        <v>42137.557916666665</v>
      </c>
      <c r="K1159" t="str">
        <f t="shared" si="18"/>
        <v>05-2015</v>
      </c>
    </row>
    <row r="1160" spans="3:11" x14ac:dyDescent="0.25">
      <c r="C1160" t="str">
        <f>IF(COUNTBLANK(E1160:J1160) = 6,"",IF(AND(NOT(ISBLANK(E1160)),COUNTBLANK(E1160:J1160) = 5),"3 Delete",IF(ISBLANK(E1160),"2 Add",IF(SHA1Range(E1160:J1160) = "0831a3260f54bd3c6776c5e7709c683bd563e55c","0 Original","1 Modify"))))</f>
        <v>0 Original</v>
      </c>
      <c r="D1160" s="5" t="s">
        <v>2076</v>
      </c>
      <c r="E1160" s="3">
        <v>794</v>
      </c>
      <c r="F1160" s="13">
        <v>42138</v>
      </c>
      <c r="G1160" t="s">
        <v>98</v>
      </c>
      <c r="H1160" s="9">
        <v>29.97</v>
      </c>
      <c r="I1160" s="5" t="s">
        <v>68</v>
      </c>
      <c r="J1160" s="15">
        <v>42138.645590277774</v>
      </c>
      <c r="K1160" t="str">
        <f t="shared" si="18"/>
        <v>05-2015</v>
      </c>
    </row>
    <row r="1161" spans="3:11" x14ac:dyDescent="0.25">
      <c r="C1161" t="str">
        <f>IF(COUNTBLANK(E1161:J1161) = 6,"",IF(AND(NOT(ISBLANK(E1161)),COUNTBLANK(E1161:J1161) = 5),"3 Delete",IF(ISBLANK(E1161),"2 Add",IF(SHA1Range(E1161:J1161) = "fccbb77615f31b9c1ceb44cfe5dd31dfae39111e","0 Original","1 Modify"))))</f>
        <v>0 Original</v>
      </c>
      <c r="D1161" s="5" t="s">
        <v>2077</v>
      </c>
      <c r="E1161" s="3">
        <v>851</v>
      </c>
      <c r="F1161" s="13">
        <v>42139</v>
      </c>
      <c r="G1161" t="s">
        <v>245</v>
      </c>
      <c r="H1161" s="9">
        <v>14.98</v>
      </c>
      <c r="I1161" s="5" t="s">
        <v>68</v>
      </c>
      <c r="J1161" s="15">
        <v>42139.326539351852</v>
      </c>
      <c r="K1161" t="str">
        <f t="shared" si="18"/>
        <v>05-2015</v>
      </c>
    </row>
    <row r="1162" spans="3:11" x14ac:dyDescent="0.25">
      <c r="C1162" t="str">
        <f>IF(COUNTBLANK(E1162:J1162) = 6,"",IF(AND(NOT(ISBLANK(E1162)),COUNTBLANK(E1162:J1162) = 5),"3 Delete",IF(ISBLANK(E1162),"2 Add",IF(SHA1Range(E1162:J1162) = "01be8d1b0ca82e20b9f1a28b4f8d505458366b41","0 Original","1 Modify"))))</f>
        <v>0 Original</v>
      </c>
      <c r="D1162" s="5" t="s">
        <v>4398</v>
      </c>
      <c r="E1162" s="3">
        <v>267</v>
      </c>
      <c r="F1162" s="13">
        <v>42139</v>
      </c>
      <c r="G1162" t="s">
        <v>215</v>
      </c>
      <c r="H1162" s="9">
        <v>64.92</v>
      </c>
      <c r="I1162" s="5" t="s">
        <v>68</v>
      </c>
      <c r="J1162" s="15">
        <v>42139.538113425922</v>
      </c>
      <c r="K1162" t="str">
        <f t="shared" si="18"/>
        <v>05-2015</v>
      </c>
    </row>
    <row r="1163" spans="3:11" x14ac:dyDescent="0.25">
      <c r="C1163" t="str">
        <f>IF(COUNTBLANK(E1163:J1163) = 6,"",IF(AND(NOT(ISBLANK(E1163)),COUNTBLANK(E1163:J1163) = 5),"3 Delete",IF(ISBLANK(E1163),"2 Add",IF(SHA1Range(E1163:J1163) = "d4d6eadc34e361dffe4d25e85d5da5e4bd20ce34","0 Original","1 Modify"))))</f>
        <v>0 Original</v>
      </c>
      <c r="D1163" s="5" t="s">
        <v>2078</v>
      </c>
      <c r="E1163" s="3">
        <v>1014</v>
      </c>
      <c r="F1163" s="13">
        <v>42139</v>
      </c>
      <c r="G1163" t="s">
        <v>245</v>
      </c>
      <c r="H1163" s="9">
        <v>14.97</v>
      </c>
      <c r="I1163" s="5" t="s">
        <v>68</v>
      </c>
      <c r="J1163" s="15">
        <v>42139.565393518518</v>
      </c>
      <c r="K1163" t="str">
        <f t="shared" si="18"/>
        <v>05-2015</v>
      </c>
    </row>
    <row r="1164" spans="3:11" x14ac:dyDescent="0.25">
      <c r="C1164" t="str">
        <f>IF(COUNTBLANK(E1164:J1164) = 6,"",IF(AND(NOT(ISBLANK(E1164)),COUNTBLANK(E1164:J1164) = 5),"3 Delete",IF(ISBLANK(E1164),"2 Add",IF(SHA1Range(E1164:J1164) = "0aa1d1f823cae8889bc4de297351670ba16e5750","0 Original","1 Modify"))))</f>
        <v>0 Original</v>
      </c>
      <c r="D1164" s="5" t="s">
        <v>4104</v>
      </c>
      <c r="E1164" s="3">
        <v>370</v>
      </c>
      <c r="F1164" s="13">
        <v>42139</v>
      </c>
      <c r="G1164" t="s">
        <v>73</v>
      </c>
      <c r="H1164" s="9">
        <v>36.950000000000003</v>
      </c>
      <c r="I1164" s="5" t="s">
        <v>68</v>
      </c>
      <c r="J1164" s="15">
        <v>42139.912835648145</v>
      </c>
      <c r="K1164" t="str">
        <f t="shared" si="18"/>
        <v>05-2015</v>
      </c>
    </row>
    <row r="1165" spans="3:11" x14ac:dyDescent="0.25">
      <c r="C1165" t="str">
        <f>IF(COUNTBLANK(E1165:J1165) = 6,"",IF(AND(NOT(ISBLANK(E1165)),COUNTBLANK(E1165:J1165) = 5),"3 Delete",IF(ISBLANK(E1165),"2 Add",IF(SHA1Range(E1165:J1165) = "d34163b25d0747f00cd38b245fbb3929e037cadd","0 Original","1 Modify"))))</f>
        <v>0 Original</v>
      </c>
      <c r="D1165" s="5" t="s">
        <v>2079</v>
      </c>
      <c r="E1165" s="3">
        <v>780</v>
      </c>
      <c r="F1165" s="13">
        <v>42140</v>
      </c>
      <c r="G1165" t="s">
        <v>260</v>
      </c>
      <c r="H1165" s="9">
        <v>21.97</v>
      </c>
      <c r="I1165" s="5" t="s">
        <v>68</v>
      </c>
      <c r="J1165" s="15">
        <v>42140.10533564815</v>
      </c>
      <c r="K1165" t="str">
        <f t="shared" si="18"/>
        <v>05-2015</v>
      </c>
    </row>
    <row r="1166" spans="3:11" x14ac:dyDescent="0.25">
      <c r="C1166" t="str">
        <f>IF(COUNTBLANK(E1166:J1166) = 6,"",IF(AND(NOT(ISBLANK(E1166)),COUNTBLANK(E1166:J1166) = 5),"3 Delete",IF(ISBLANK(E1166),"2 Add",IF(SHA1Range(E1166:J1166) = "31b2fcfd8d1320aa546a2c4dc956294c44f7affc","0 Original","1 Modify"))))</f>
        <v>0 Original</v>
      </c>
      <c r="D1166" s="5" t="s">
        <v>4399</v>
      </c>
      <c r="E1166" s="3">
        <v>280</v>
      </c>
      <c r="F1166" s="13">
        <v>42140</v>
      </c>
      <c r="G1166" t="s">
        <v>212</v>
      </c>
      <c r="H1166" s="9">
        <v>14.98</v>
      </c>
      <c r="I1166" s="5" t="s">
        <v>68</v>
      </c>
      <c r="J1166" s="15">
        <v>42140.499201388891</v>
      </c>
      <c r="K1166" t="str">
        <f t="shared" si="18"/>
        <v>05-2015</v>
      </c>
    </row>
    <row r="1167" spans="3:11" x14ac:dyDescent="0.25">
      <c r="C1167" t="str">
        <f>IF(COUNTBLANK(E1167:J1167) = 6,"",IF(AND(NOT(ISBLANK(E1167)),COUNTBLANK(E1167:J1167) = 5),"3 Delete",IF(ISBLANK(E1167),"2 Add",IF(SHA1Range(E1167:J1167) = "d0b3620703283d3119d1ce23b39c69f005629a9b","0 Original","1 Modify"))))</f>
        <v>0 Original</v>
      </c>
      <c r="D1167" s="5" t="s">
        <v>4065</v>
      </c>
      <c r="E1167" s="3">
        <v>469</v>
      </c>
      <c r="F1167" s="13">
        <v>42140</v>
      </c>
      <c r="G1167" t="s">
        <v>86</v>
      </c>
      <c r="H1167" s="9">
        <v>6.99</v>
      </c>
      <c r="I1167" s="5" t="s">
        <v>68</v>
      </c>
      <c r="J1167" s="15">
        <v>42140.506597222222</v>
      </c>
      <c r="K1167" t="str">
        <f t="shared" si="18"/>
        <v>05-2015</v>
      </c>
    </row>
    <row r="1168" spans="3:11" x14ac:dyDescent="0.25">
      <c r="C1168" t="str">
        <f>IF(COUNTBLANK(E1168:J1168) = 6,"",IF(AND(NOT(ISBLANK(E1168)),COUNTBLANK(E1168:J1168) = 5),"3 Delete",IF(ISBLANK(E1168),"2 Add",IF(SHA1Range(E1168:J1168) = "c46d0272851656612b7936a2454208f640c5b3a9","0 Original","1 Modify"))))</f>
        <v>0 Original</v>
      </c>
      <c r="D1168" s="5" t="s">
        <v>2080</v>
      </c>
      <c r="E1168" s="3">
        <v>1108</v>
      </c>
      <c r="F1168" s="13">
        <v>42140</v>
      </c>
      <c r="G1168" t="s">
        <v>98</v>
      </c>
      <c r="H1168" s="9">
        <v>27.97</v>
      </c>
      <c r="I1168" s="5" t="s">
        <v>68</v>
      </c>
      <c r="J1168" s="15">
        <v>42140.838576388887</v>
      </c>
      <c r="K1168" t="str">
        <f t="shared" si="18"/>
        <v>05-2015</v>
      </c>
    </row>
    <row r="1169" spans="3:11" x14ac:dyDescent="0.25">
      <c r="C1169" t="str">
        <f>IF(COUNTBLANK(E1169:J1169) = 6,"",IF(AND(NOT(ISBLANK(E1169)),COUNTBLANK(E1169:J1169) = 5),"3 Delete",IF(ISBLANK(E1169),"2 Add",IF(SHA1Range(E1169:J1169) = "229cac50e5457cbca7ca7c4558074b40ad0c91b1","0 Original","1 Modify"))))</f>
        <v>0 Original</v>
      </c>
      <c r="D1169" s="5" t="s">
        <v>2081</v>
      </c>
      <c r="E1169" s="3">
        <v>630</v>
      </c>
      <c r="F1169" s="13">
        <v>42141</v>
      </c>
      <c r="G1169" t="s">
        <v>239</v>
      </c>
      <c r="H1169" s="9">
        <v>44.94</v>
      </c>
      <c r="I1169" s="5" t="s">
        <v>68</v>
      </c>
      <c r="J1169" s="15">
        <v>42141.136724537035</v>
      </c>
      <c r="K1169" t="str">
        <f t="shared" si="18"/>
        <v>05-2015</v>
      </c>
    </row>
    <row r="1170" spans="3:11" x14ac:dyDescent="0.25">
      <c r="C1170" t="str">
        <f>IF(COUNTBLANK(E1170:J1170) = 6,"",IF(AND(NOT(ISBLANK(E1170)),COUNTBLANK(E1170:J1170) = 5),"3 Delete",IF(ISBLANK(E1170),"2 Add",IF(SHA1Range(E1170:J1170) = "0e631e42c494db3e148442a72f0753c5e03a5371","0 Original","1 Modify"))))</f>
        <v>0 Original</v>
      </c>
      <c r="D1170" s="5" t="s">
        <v>2082</v>
      </c>
      <c r="E1170" s="3">
        <v>1021</v>
      </c>
      <c r="F1170" s="13">
        <v>42141</v>
      </c>
      <c r="G1170" t="s">
        <v>98</v>
      </c>
      <c r="H1170" s="9">
        <v>25.96</v>
      </c>
      <c r="I1170" s="5" t="s">
        <v>68</v>
      </c>
      <c r="J1170" s="15">
        <v>42141.1721412037</v>
      </c>
      <c r="K1170" t="str">
        <f t="shared" si="18"/>
        <v>05-2015</v>
      </c>
    </row>
    <row r="1171" spans="3:11" x14ac:dyDescent="0.25">
      <c r="C1171" t="str">
        <f>IF(COUNTBLANK(E1171:J1171) = 6,"",IF(AND(NOT(ISBLANK(E1171)),COUNTBLANK(E1171:J1171) = 5),"3 Delete",IF(ISBLANK(E1171),"2 Add",IF(SHA1Range(E1171:J1171) = "df0a55611937f2e2b27204345a84eadab433fba2","0 Original","1 Modify"))))</f>
        <v>0 Original</v>
      </c>
      <c r="D1171" s="5" t="s">
        <v>4064</v>
      </c>
      <c r="E1171" s="3">
        <v>470</v>
      </c>
      <c r="F1171" s="13">
        <v>42141</v>
      </c>
      <c r="G1171" t="s">
        <v>83</v>
      </c>
      <c r="H1171" s="9">
        <v>6.99</v>
      </c>
      <c r="I1171" s="5" t="s">
        <v>68</v>
      </c>
      <c r="J1171" s="15">
        <v>42141.378229166665</v>
      </c>
      <c r="K1171" t="str">
        <f t="shared" si="18"/>
        <v>05-2015</v>
      </c>
    </row>
    <row r="1172" spans="3:11" x14ac:dyDescent="0.25">
      <c r="C1172" t="str">
        <f>IF(COUNTBLANK(E1172:J1172) = 6,"",IF(AND(NOT(ISBLANK(E1172)),COUNTBLANK(E1172:J1172) = 5),"3 Delete",IF(ISBLANK(E1172),"2 Add",IF(SHA1Range(E1172:J1172) = "f3d6d6c4ee5b055c12b316ec85548b177d052357","0 Original","1 Modify"))))</f>
        <v>0 Original</v>
      </c>
      <c r="D1172" s="5" t="s">
        <v>4400</v>
      </c>
      <c r="E1172" s="3">
        <v>21</v>
      </c>
      <c r="F1172" s="13">
        <v>42141</v>
      </c>
      <c r="G1172" t="s">
        <v>239</v>
      </c>
      <c r="H1172" s="9">
        <v>23.97</v>
      </c>
      <c r="I1172" s="5" t="s">
        <v>68</v>
      </c>
      <c r="J1172" s="15">
        <v>42141.561388888891</v>
      </c>
      <c r="K1172" t="str">
        <f t="shared" si="18"/>
        <v>05-2015</v>
      </c>
    </row>
    <row r="1173" spans="3:11" x14ac:dyDescent="0.25">
      <c r="C1173" t="str">
        <f>IF(COUNTBLANK(E1173:J1173) = 6,"",IF(AND(NOT(ISBLANK(E1173)),COUNTBLANK(E1173:J1173) = 5),"3 Delete",IF(ISBLANK(E1173),"2 Add",IF(SHA1Range(E1173:J1173) = "5a599ec6fb64a9b21b11ecad1f11a0540d915c17","0 Original","1 Modify"))))</f>
        <v>0 Original</v>
      </c>
      <c r="D1173" s="5" t="s">
        <v>4401</v>
      </c>
      <c r="E1173" s="3">
        <v>136</v>
      </c>
      <c r="F1173" s="13">
        <v>42141</v>
      </c>
      <c r="G1173" t="s">
        <v>266</v>
      </c>
      <c r="H1173" s="9">
        <v>66.91</v>
      </c>
      <c r="I1173" s="5" t="s">
        <v>68</v>
      </c>
      <c r="J1173" s="15">
        <v>42141.615034722221</v>
      </c>
      <c r="K1173" t="str">
        <f t="shared" si="18"/>
        <v>05-2015</v>
      </c>
    </row>
    <row r="1174" spans="3:11" x14ac:dyDescent="0.25">
      <c r="C1174" t="str">
        <f>IF(COUNTBLANK(E1174:J1174) = 6,"",IF(AND(NOT(ISBLANK(E1174)),COUNTBLANK(E1174:J1174) = 5),"3 Delete",IF(ISBLANK(E1174),"2 Add",IF(SHA1Range(E1174:J1174) = "1caacfccf1e73b74d0577e663b82314d9a65808b","0 Original","1 Modify"))))</f>
        <v>0 Original</v>
      </c>
      <c r="D1174" s="5" t="s">
        <v>2083</v>
      </c>
      <c r="E1174" s="3">
        <v>978</v>
      </c>
      <c r="F1174" s="13">
        <v>42142</v>
      </c>
      <c r="G1174" t="s">
        <v>221</v>
      </c>
      <c r="H1174" s="9">
        <v>14.98</v>
      </c>
      <c r="I1174" s="5" t="s">
        <v>68</v>
      </c>
      <c r="J1174" s="15">
        <v>42142.810185185182</v>
      </c>
      <c r="K1174" t="str">
        <f t="shared" si="18"/>
        <v>05-2015</v>
      </c>
    </row>
    <row r="1175" spans="3:11" x14ac:dyDescent="0.25">
      <c r="C1175" t="str">
        <f>IF(COUNTBLANK(E1175:J1175) = 6,"",IF(AND(NOT(ISBLANK(E1175)),COUNTBLANK(E1175:J1175) = 5),"3 Delete",IF(ISBLANK(E1175),"2 Add",IF(SHA1Range(E1175:J1175) = "ba821ee2c57db24388801dbdf1bb4044bf879a3f","0 Original","1 Modify"))))</f>
        <v>0 Original</v>
      </c>
      <c r="D1175" s="5" t="s">
        <v>2084</v>
      </c>
      <c r="E1175" s="3">
        <v>863</v>
      </c>
      <c r="F1175" s="13">
        <v>42142</v>
      </c>
      <c r="G1175" t="s">
        <v>245</v>
      </c>
      <c r="H1175" s="9">
        <v>75.900000000000006</v>
      </c>
      <c r="I1175" s="5" t="s">
        <v>68</v>
      </c>
      <c r="J1175" s="15">
        <v>42142.854224537034</v>
      </c>
      <c r="K1175" t="str">
        <f t="shared" si="18"/>
        <v>05-2015</v>
      </c>
    </row>
    <row r="1176" spans="3:11" x14ac:dyDescent="0.25">
      <c r="C1176" t="str">
        <f>IF(COUNTBLANK(E1176:J1176) = 6,"",IF(AND(NOT(ISBLANK(E1176)),COUNTBLANK(E1176:J1176) = 5),"3 Delete",IF(ISBLANK(E1176),"2 Add",IF(SHA1Range(E1176:J1176) = "fb0d421b261807bf8353786a60e07c1151673f61","0 Original","1 Modify"))))</f>
        <v>0 Original</v>
      </c>
      <c r="D1176" s="5" t="s">
        <v>4148</v>
      </c>
      <c r="E1176" s="3">
        <v>293</v>
      </c>
      <c r="F1176" s="13">
        <v>42143</v>
      </c>
      <c r="G1176" t="s">
        <v>101</v>
      </c>
      <c r="H1176" s="9">
        <v>12.98</v>
      </c>
      <c r="I1176" s="5" t="s">
        <v>68</v>
      </c>
      <c r="J1176" s="15">
        <v>42143.133067129631</v>
      </c>
      <c r="K1176" t="str">
        <f t="shared" si="18"/>
        <v>05-2015</v>
      </c>
    </row>
    <row r="1177" spans="3:11" x14ac:dyDescent="0.25">
      <c r="C1177" t="str">
        <f>IF(COUNTBLANK(E1177:J1177) = 6,"",IF(AND(NOT(ISBLANK(E1177)),COUNTBLANK(E1177:J1177) = 5),"3 Delete",IF(ISBLANK(E1177),"2 Add",IF(SHA1Range(E1177:J1177) = "2f1b2f88887c97ab31e81141b81054449832c85b","0 Original","1 Modify"))))</f>
        <v>0 Original</v>
      </c>
      <c r="D1177" s="5" t="s">
        <v>2085</v>
      </c>
      <c r="E1177" s="3">
        <v>982</v>
      </c>
      <c r="F1177" s="13">
        <v>42144</v>
      </c>
      <c r="G1177" t="s">
        <v>170</v>
      </c>
      <c r="H1177" s="9">
        <v>14.98</v>
      </c>
      <c r="I1177" s="5" t="s">
        <v>68</v>
      </c>
      <c r="J1177" s="15">
        <v>42144.371898148151</v>
      </c>
      <c r="K1177" t="str">
        <f t="shared" si="18"/>
        <v>05-2015</v>
      </c>
    </row>
    <row r="1178" spans="3:11" x14ac:dyDescent="0.25">
      <c r="C1178" t="str">
        <f>IF(COUNTBLANK(E1178:J1178) = 6,"",IF(AND(NOT(ISBLANK(E1178)),COUNTBLANK(E1178:J1178) = 5),"3 Delete",IF(ISBLANK(E1178),"2 Add",IF(SHA1Range(E1178:J1178) = "2d2a5bc441951660898a906f43905fb575a82091","0 Original","1 Modify"))))</f>
        <v>0 Original</v>
      </c>
      <c r="D1178" s="5" t="s">
        <v>4402</v>
      </c>
      <c r="E1178" s="3">
        <v>11</v>
      </c>
      <c r="F1178" s="13">
        <v>42144</v>
      </c>
      <c r="G1178" t="s">
        <v>128</v>
      </c>
      <c r="H1178" s="9">
        <v>61.91</v>
      </c>
      <c r="I1178" s="5" t="s">
        <v>68</v>
      </c>
      <c r="J1178" s="15">
        <v>42144.576851851853</v>
      </c>
      <c r="K1178" t="str">
        <f t="shared" si="18"/>
        <v>05-2015</v>
      </c>
    </row>
    <row r="1179" spans="3:11" x14ac:dyDescent="0.25">
      <c r="C1179" t="str">
        <f>IF(COUNTBLANK(E1179:J1179) = 6,"",IF(AND(NOT(ISBLANK(E1179)),COUNTBLANK(E1179:J1179) = 5),"3 Delete",IF(ISBLANK(E1179),"2 Add",IF(SHA1Range(E1179:J1179) = "d9005ec987b5427b5fa33ba5891d1050fb01435b","0 Original","1 Modify"))))</f>
        <v>0 Original</v>
      </c>
      <c r="D1179" s="5" t="s">
        <v>2086</v>
      </c>
      <c r="E1179" s="3">
        <v>596</v>
      </c>
      <c r="F1179" s="13">
        <v>42144</v>
      </c>
      <c r="G1179" t="s">
        <v>119</v>
      </c>
      <c r="H1179" s="9">
        <v>44.95</v>
      </c>
      <c r="I1179" s="5" t="s">
        <v>68</v>
      </c>
      <c r="J1179" s="15">
        <v>42144.872766203705</v>
      </c>
      <c r="K1179" t="str">
        <f t="shared" si="18"/>
        <v>05-2015</v>
      </c>
    </row>
    <row r="1180" spans="3:11" x14ac:dyDescent="0.25">
      <c r="C1180" t="str">
        <f>IF(COUNTBLANK(E1180:J1180) = 6,"",IF(AND(NOT(ISBLANK(E1180)),COUNTBLANK(E1180:J1180) = 5),"3 Delete",IF(ISBLANK(E1180),"2 Add",IF(SHA1Range(E1180:J1180) = "6089976d74506bfff3fa812e0401961d2098cb6c","0 Original","1 Modify"))))</f>
        <v>0 Original</v>
      </c>
      <c r="D1180" s="5" t="s">
        <v>4403</v>
      </c>
      <c r="E1180" s="3">
        <v>135</v>
      </c>
      <c r="F1180" s="13">
        <v>42145</v>
      </c>
      <c r="G1180" t="s">
        <v>266</v>
      </c>
      <c r="H1180" s="9">
        <v>25.95</v>
      </c>
      <c r="I1180" s="5" t="s">
        <v>68</v>
      </c>
      <c r="J1180" s="15">
        <v>42145.109965277778</v>
      </c>
      <c r="K1180" t="str">
        <f t="shared" si="18"/>
        <v>05-2015</v>
      </c>
    </row>
    <row r="1181" spans="3:11" x14ac:dyDescent="0.25">
      <c r="C1181" t="str">
        <f>IF(COUNTBLANK(E1181:J1181) = 6,"",IF(AND(NOT(ISBLANK(E1181)),COUNTBLANK(E1181:J1181) = 5),"3 Delete",IF(ISBLANK(E1181),"2 Add",IF(SHA1Range(E1181:J1181) = "be472652f0a92ed6ce42a866857c8b84c4fee853","0 Original","1 Modify"))))</f>
        <v>0 Original</v>
      </c>
      <c r="D1181" s="5" t="s">
        <v>4089</v>
      </c>
      <c r="E1181" s="3">
        <v>424</v>
      </c>
      <c r="F1181" s="13">
        <v>42146</v>
      </c>
      <c r="G1181" t="s">
        <v>182</v>
      </c>
      <c r="H1181" s="9">
        <v>16.98</v>
      </c>
      <c r="I1181" s="5" t="s">
        <v>68</v>
      </c>
      <c r="J1181" s="15">
        <v>42146.343368055554</v>
      </c>
      <c r="K1181" t="str">
        <f t="shared" si="18"/>
        <v>05-2015</v>
      </c>
    </row>
    <row r="1182" spans="3:11" x14ac:dyDescent="0.25">
      <c r="C1182" t="str">
        <f>IF(COUNTBLANK(E1182:J1182) = 6,"",IF(AND(NOT(ISBLANK(E1182)),COUNTBLANK(E1182:J1182) = 5),"3 Delete",IF(ISBLANK(E1182),"2 Add",IF(SHA1Range(E1182:J1182) = "aafbc2a7946477f2f858b383aeb00c4e574ecd7f","0 Original","1 Modify"))))</f>
        <v>0 Original</v>
      </c>
      <c r="D1182" s="5" t="s">
        <v>4404</v>
      </c>
      <c r="E1182" s="3">
        <v>147</v>
      </c>
      <c r="F1182" s="13">
        <v>42146</v>
      </c>
      <c r="G1182" t="s">
        <v>155</v>
      </c>
      <c r="H1182" s="9">
        <v>48.93</v>
      </c>
      <c r="I1182" s="5" t="s">
        <v>68</v>
      </c>
      <c r="J1182" s="15">
        <v>42146.384398148148</v>
      </c>
      <c r="K1182" t="str">
        <f t="shared" si="18"/>
        <v>05-2015</v>
      </c>
    </row>
    <row r="1183" spans="3:11" x14ac:dyDescent="0.25">
      <c r="C1183" t="str">
        <f>IF(COUNTBLANK(E1183:J1183) = 6,"",IF(AND(NOT(ISBLANK(E1183)),COUNTBLANK(E1183:J1183) = 5),"3 Delete",IF(ISBLANK(E1183),"2 Add",IF(SHA1Range(E1183:J1183) = "f46287b4ec68e5d99951a562e918712dfbfbb83b","0 Original","1 Modify"))))</f>
        <v>0 Original</v>
      </c>
      <c r="D1183" s="5" t="s">
        <v>2087</v>
      </c>
      <c r="E1183" s="3">
        <v>1080</v>
      </c>
      <c r="F1183" s="13">
        <v>42146</v>
      </c>
      <c r="G1183" t="s">
        <v>170</v>
      </c>
      <c r="H1183" s="9">
        <v>18.97</v>
      </c>
      <c r="I1183" s="5" t="s">
        <v>68</v>
      </c>
      <c r="J1183" s="15">
        <v>42146.888287037036</v>
      </c>
      <c r="K1183" t="str">
        <f t="shared" si="18"/>
        <v>05-2015</v>
      </c>
    </row>
    <row r="1184" spans="3:11" x14ac:dyDescent="0.25">
      <c r="C1184" t="str">
        <f>IF(COUNTBLANK(E1184:J1184) = 6,"",IF(AND(NOT(ISBLANK(E1184)),COUNTBLANK(E1184:J1184) = 5),"3 Delete",IF(ISBLANK(E1184),"2 Add",IF(SHA1Range(E1184:J1184) = "64b4f4e687270a8bf165905a43890d3cecb2f3f7","0 Original","1 Modify"))))</f>
        <v>0 Original</v>
      </c>
      <c r="D1184" s="5" t="s">
        <v>2088</v>
      </c>
      <c r="E1184" s="3">
        <v>803</v>
      </c>
      <c r="F1184" s="13">
        <v>42147</v>
      </c>
      <c r="G1184" t="s">
        <v>272</v>
      </c>
      <c r="H1184" s="9">
        <v>20.97</v>
      </c>
      <c r="I1184" s="5" t="s">
        <v>68</v>
      </c>
      <c r="J1184" s="15">
        <v>42147.481296296297</v>
      </c>
      <c r="K1184" t="str">
        <f t="shared" si="18"/>
        <v>05-2015</v>
      </c>
    </row>
    <row r="1185" spans="3:11" x14ac:dyDescent="0.25">
      <c r="C1185" t="str">
        <f>IF(COUNTBLANK(E1185:J1185) = 6,"",IF(AND(NOT(ISBLANK(E1185)),COUNTBLANK(E1185:J1185) = 5),"3 Delete",IF(ISBLANK(E1185),"2 Add",IF(SHA1Range(E1185:J1185) = "b224a03bb3dcb66a6bdc28583ccfe393f07d1e77","0 Original","1 Modify"))))</f>
        <v>0 Original</v>
      </c>
      <c r="D1185" s="5" t="s">
        <v>2089</v>
      </c>
      <c r="E1185" s="3">
        <v>801</v>
      </c>
      <c r="F1185" s="13">
        <v>42147</v>
      </c>
      <c r="G1185" t="s">
        <v>302</v>
      </c>
      <c r="H1185" s="9">
        <v>26.96</v>
      </c>
      <c r="I1185" s="5" t="s">
        <v>68</v>
      </c>
      <c r="J1185" s="15">
        <v>42147.598402777781</v>
      </c>
      <c r="K1185" t="str">
        <f t="shared" si="18"/>
        <v>05-2015</v>
      </c>
    </row>
    <row r="1186" spans="3:11" x14ac:dyDescent="0.25">
      <c r="C1186" t="str">
        <f>IF(COUNTBLANK(E1186:J1186) = 6,"",IF(AND(NOT(ISBLANK(E1186)),COUNTBLANK(E1186:J1186) = 5),"3 Delete",IF(ISBLANK(E1186),"2 Add",IF(SHA1Range(E1186:J1186) = "fecf46d561f241a1c7a427931bdfab1215cf650e","0 Original","1 Modify"))))</f>
        <v>0 Original</v>
      </c>
      <c r="D1186" s="5" t="s">
        <v>2090</v>
      </c>
      <c r="E1186" s="3">
        <v>652</v>
      </c>
      <c r="F1186" s="13">
        <v>42148</v>
      </c>
      <c r="G1186" t="s">
        <v>275</v>
      </c>
      <c r="H1186" s="9">
        <v>66.91</v>
      </c>
      <c r="I1186" s="5" t="s">
        <v>68</v>
      </c>
      <c r="J1186" s="15">
        <v>42148.926145833335</v>
      </c>
      <c r="K1186" t="str">
        <f t="shared" si="18"/>
        <v>05-2015</v>
      </c>
    </row>
    <row r="1187" spans="3:11" x14ac:dyDescent="0.25">
      <c r="C1187" t="str">
        <f>IF(COUNTBLANK(E1187:J1187) = 6,"",IF(AND(NOT(ISBLANK(E1187)),COUNTBLANK(E1187:J1187) = 5),"3 Delete",IF(ISBLANK(E1187),"2 Add",IF(SHA1Range(E1187:J1187) = "2b3f27cf8e8a6c5752d2c87fd33fb97b0aec4a95","0 Original","1 Modify"))))</f>
        <v>0 Original</v>
      </c>
      <c r="D1187" s="5" t="s">
        <v>4112</v>
      </c>
      <c r="E1187" s="3">
        <v>355</v>
      </c>
      <c r="F1187" s="13">
        <v>42149</v>
      </c>
      <c r="G1187" t="s">
        <v>248</v>
      </c>
      <c r="H1187" s="9">
        <v>15.98</v>
      </c>
      <c r="I1187" s="5" t="s">
        <v>68</v>
      </c>
      <c r="J1187" s="15">
        <v>42149.509062500001</v>
      </c>
      <c r="K1187" t="str">
        <f t="shared" si="18"/>
        <v>05-2015</v>
      </c>
    </row>
    <row r="1188" spans="3:11" x14ac:dyDescent="0.25">
      <c r="C1188" t="str">
        <f>IF(COUNTBLANK(E1188:J1188) = 6,"",IF(AND(NOT(ISBLANK(E1188)),COUNTBLANK(E1188:J1188) = 5),"3 Delete",IF(ISBLANK(E1188),"2 Add",IF(SHA1Range(E1188:J1188) = "ca3efd47029b75d2abf576f6c5fff8d64241a202","0 Original","1 Modify"))))</f>
        <v>0 Original</v>
      </c>
      <c r="D1188" s="5" t="s">
        <v>4405</v>
      </c>
      <c r="E1188" s="3">
        <v>251</v>
      </c>
      <c r="F1188" s="13">
        <v>42149</v>
      </c>
      <c r="G1188" t="s">
        <v>215</v>
      </c>
      <c r="H1188" s="9">
        <v>17.98</v>
      </c>
      <c r="I1188" s="5" t="s">
        <v>68</v>
      </c>
      <c r="J1188" s="15">
        <v>42149.563819444447</v>
      </c>
      <c r="K1188" t="str">
        <f t="shared" si="18"/>
        <v>05-2015</v>
      </c>
    </row>
    <row r="1189" spans="3:11" x14ac:dyDescent="0.25">
      <c r="C1189" t="str">
        <f>IF(COUNTBLANK(E1189:J1189) = 6,"",IF(AND(NOT(ISBLANK(E1189)),COUNTBLANK(E1189:J1189) = 5),"3 Delete",IF(ISBLANK(E1189),"2 Add",IF(SHA1Range(E1189:J1189) = "7cd84e7f2dc76ec7699f713f47e4d99f86593ef1","0 Original","1 Modify"))))</f>
        <v>0 Original</v>
      </c>
      <c r="D1189" s="5" t="s">
        <v>4406</v>
      </c>
      <c r="E1189" s="3">
        <v>120</v>
      </c>
      <c r="F1189" s="13">
        <v>42150</v>
      </c>
      <c r="G1189" t="s">
        <v>296</v>
      </c>
      <c r="H1189" s="9">
        <v>29.96</v>
      </c>
      <c r="I1189" s="5" t="s">
        <v>68</v>
      </c>
      <c r="J1189" s="15">
        <v>42150.316145833334</v>
      </c>
      <c r="K1189" t="str">
        <f t="shared" si="18"/>
        <v>05-2015</v>
      </c>
    </row>
    <row r="1190" spans="3:11" x14ac:dyDescent="0.25">
      <c r="C1190" t="str">
        <f>IF(COUNTBLANK(E1190:J1190) = 6,"",IF(AND(NOT(ISBLANK(E1190)),COUNTBLANK(E1190:J1190) = 5),"3 Delete",IF(ISBLANK(E1190),"2 Add",IF(SHA1Range(E1190:J1190) = "e4cce6fdcdefecb6f22d738903e241db74944d05","0 Original","1 Modify"))))</f>
        <v>0 Original</v>
      </c>
      <c r="D1190" s="5" t="s">
        <v>2091</v>
      </c>
      <c r="E1190" s="3">
        <v>973</v>
      </c>
      <c r="F1190" s="13">
        <v>42150</v>
      </c>
      <c r="G1190" t="s">
        <v>302</v>
      </c>
      <c r="H1190" s="9">
        <v>81.900000000000006</v>
      </c>
      <c r="I1190" s="5" t="s">
        <v>68</v>
      </c>
      <c r="J1190" s="15">
        <v>42150.330520833333</v>
      </c>
      <c r="K1190" t="str">
        <f t="shared" si="18"/>
        <v>05-2015</v>
      </c>
    </row>
    <row r="1191" spans="3:11" x14ac:dyDescent="0.25">
      <c r="C1191" t="str">
        <f>IF(COUNTBLANK(E1191:J1191) = 6,"",IF(AND(NOT(ISBLANK(E1191)),COUNTBLANK(E1191:J1191) = 5),"3 Delete",IF(ISBLANK(E1191),"2 Add",IF(SHA1Range(E1191:J1191) = "28737604f1ef79dba51e15e6b798b9a22332e9b2","0 Original","1 Modify"))))</f>
        <v>0 Original</v>
      </c>
      <c r="D1191" s="5" t="s">
        <v>4407</v>
      </c>
      <c r="E1191" s="3">
        <v>214</v>
      </c>
      <c r="F1191" s="13">
        <v>42151</v>
      </c>
      <c r="G1191" t="s">
        <v>275</v>
      </c>
      <c r="H1191" s="9">
        <v>22.97</v>
      </c>
      <c r="I1191" s="5" t="s">
        <v>68</v>
      </c>
      <c r="J1191" s="15">
        <v>42151.665972222225</v>
      </c>
      <c r="K1191" t="str">
        <f t="shared" si="18"/>
        <v>05-2015</v>
      </c>
    </row>
    <row r="1192" spans="3:11" x14ac:dyDescent="0.25">
      <c r="C1192" t="str">
        <f>IF(COUNTBLANK(E1192:J1192) = 6,"",IF(AND(NOT(ISBLANK(E1192)),COUNTBLANK(E1192:J1192) = 5),"3 Delete",IF(ISBLANK(E1192),"2 Add",IF(SHA1Range(E1192:J1192) = "e05252ea3a74b7583f1bf0e90ac47928b9172d50","0 Original","1 Modify"))))</f>
        <v>0 Original</v>
      </c>
      <c r="D1192" s="5" t="s">
        <v>2092</v>
      </c>
      <c r="E1192" s="3">
        <v>1152</v>
      </c>
      <c r="F1192" s="13">
        <v>42152</v>
      </c>
      <c r="G1192" t="s">
        <v>98</v>
      </c>
      <c r="H1192" s="9">
        <v>47.94</v>
      </c>
      <c r="I1192" s="5" t="s">
        <v>68</v>
      </c>
      <c r="J1192" s="15">
        <v>42152.205497685187</v>
      </c>
      <c r="K1192" t="str">
        <f t="shared" si="18"/>
        <v>05-2015</v>
      </c>
    </row>
    <row r="1193" spans="3:11" x14ac:dyDescent="0.25">
      <c r="C1193" t="str">
        <f>IF(COUNTBLANK(E1193:J1193) = 6,"",IF(AND(NOT(ISBLANK(E1193)),COUNTBLANK(E1193:J1193) = 5),"3 Delete",IF(ISBLANK(E1193),"2 Add",IF(SHA1Range(E1193:J1193) = "3f8b1dad9f150e36c74d32ed40af3cf021a49712","0 Original","1 Modify"))))</f>
        <v>0 Original</v>
      </c>
      <c r="D1193" s="5" t="s">
        <v>2093</v>
      </c>
      <c r="E1193" s="3">
        <v>1089</v>
      </c>
      <c r="F1193" s="13">
        <v>42153</v>
      </c>
      <c r="G1193" t="s">
        <v>134</v>
      </c>
      <c r="H1193" s="9">
        <v>54.94</v>
      </c>
      <c r="I1193" s="5" t="s">
        <v>68</v>
      </c>
      <c r="J1193" s="15">
        <v>42153.000949074078</v>
      </c>
      <c r="K1193" t="str">
        <f t="shared" si="18"/>
        <v>05-2015</v>
      </c>
    </row>
    <row r="1194" spans="3:11" x14ac:dyDescent="0.25">
      <c r="C1194" t="str">
        <f>IF(COUNTBLANK(E1194:J1194) = 6,"",IF(AND(NOT(ISBLANK(E1194)),COUNTBLANK(E1194:J1194) = 5),"3 Delete",IF(ISBLANK(E1194),"2 Add",IF(SHA1Range(E1194:J1194) = "efe8b6b5aa67fc691f062089d116329d0bcb2bd0","0 Original","1 Modify"))))</f>
        <v>0 Original</v>
      </c>
      <c r="D1194" s="5" t="s">
        <v>2094</v>
      </c>
      <c r="E1194" s="3">
        <v>556</v>
      </c>
      <c r="F1194" s="13">
        <v>42153</v>
      </c>
      <c r="G1194" t="s">
        <v>215</v>
      </c>
      <c r="H1194" s="9">
        <v>25.96</v>
      </c>
      <c r="I1194" s="5" t="s">
        <v>68</v>
      </c>
      <c r="J1194" s="15">
        <v>42153.648472222223</v>
      </c>
      <c r="K1194" t="str">
        <f t="shared" si="18"/>
        <v>05-2015</v>
      </c>
    </row>
    <row r="1195" spans="3:11" x14ac:dyDescent="0.25">
      <c r="C1195" t="str">
        <f>IF(COUNTBLANK(E1195:J1195) = 6,"",IF(AND(NOT(ISBLANK(E1195)),COUNTBLANK(E1195:J1195) = 5),"3 Delete",IF(ISBLANK(E1195),"2 Add",IF(SHA1Range(E1195:J1195) = "0b4e1a9057676de9f6c73de17340de9b2dbd1511","0 Original","1 Modify"))))</f>
        <v>0 Original</v>
      </c>
      <c r="D1195" s="5" t="s">
        <v>2095</v>
      </c>
      <c r="E1195" s="3">
        <v>686</v>
      </c>
      <c r="F1195" s="13">
        <v>42154</v>
      </c>
      <c r="G1195" t="s">
        <v>83</v>
      </c>
      <c r="H1195" s="9">
        <v>31.96</v>
      </c>
      <c r="I1195" s="5" t="s">
        <v>68</v>
      </c>
      <c r="J1195" s="15">
        <v>42154.290046296293</v>
      </c>
      <c r="K1195" t="str">
        <f t="shared" si="18"/>
        <v>05-2015</v>
      </c>
    </row>
    <row r="1196" spans="3:11" x14ac:dyDescent="0.25">
      <c r="C1196" t="str">
        <f>IF(COUNTBLANK(E1196:J1196) = 6,"",IF(AND(NOT(ISBLANK(E1196)),COUNTBLANK(E1196:J1196) = 5),"3 Delete",IF(ISBLANK(E1196),"2 Add",IF(SHA1Range(E1196:J1196) = "d2a05a6b722e37e15edbe4b1da9748bb5a129aaa","0 Original","1 Modify"))))</f>
        <v>0 Original</v>
      </c>
      <c r="D1196" s="5" t="s">
        <v>4066</v>
      </c>
      <c r="E1196" s="3">
        <v>468</v>
      </c>
      <c r="F1196" s="13">
        <v>42154</v>
      </c>
      <c r="G1196" t="s">
        <v>338</v>
      </c>
      <c r="H1196" s="9">
        <v>16.98</v>
      </c>
      <c r="I1196" s="5" t="s">
        <v>68</v>
      </c>
      <c r="J1196" s="15">
        <v>42154.342974537038</v>
      </c>
      <c r="K1196" t="str">
        <f t="shared" si="18"/>
        <v>05-2015</v>
      </c>
    </row>
    <row r="1197" spans="3:11" x14ac:dyDescent="0.25">
      <c r="C1197" t="str">
        <f>IF(COUNTBLANK(E1197:J1197) = 6,"",IF(AND(NOT(ISBLANK(E1197)),COUNTBLANK(E1197:J1197) = 5),"3 Delete",IF(ISBLANK(E1197),"2 Add",IF(SHA1Range(E1197:J1197) = "0d6f40895608f250d9f6c833e9452ee395129423","0 Original","1 Modify"))))</f>
        <v>0 Original</v>
      </c>
      <c r="D1197" s="5" t="s">
        <v>2096</v>
      </c>
      <c r="E1197" s="3">
        <v>515</v>
      </c>
      <c r="F1197" s="13">
        <v>42154</v>
      </c>
      <c r="G1197" t="s">
        <v>329</v>
      </c>
      <c r="H1197" s="9">
        <v>18.97</v>
      </c>
      <c r="I1197" s="5" t="s">
        <v>68</v>
      </c>
      <c r="J1197" s="15">
        <v>42154.96361111111</v>
      </c>
      <c r="K1197" t="str">
        <f t="shared" si="18"/>
        <v>05-2015</v>
      </c>
    </row>
    <row r="1198" spans="3:11" x14ac:dyDescent="0.25">
      <c r="C1198" t="str">
        <f>IF(COUNTBLANK(E1198:J1198) = 6,"",IF(AND(NOT(ISBLANK(E1198)),COUNTBLANK(E1198:J1198) = 5),"3 Delete",IF(ISBLANK(E1198),"2 Add",IF(SHA1Range(E1198:J1198) = "0b72d1814abfa4823453d37d7c155a4a87beedaf","0 Original","1 Modify"))))</f>
        <v>0 Original</v>
      </c>
      <c r="D1198" s="5" t="s">
        <v>2097</v>
      </c>
      <c r="E1198" s="3">
        <v>701</v>
      </c>
      <c r="F1198" s="13">
        <v>42156</v>
      </c>
      <c r="G1198" t="s">
        <v>98</v>
      </c>
      <c r="H1198" s="9">
        <v>6.99</v>
      </c>
      <c r="I1198" s="5" t="s">
        <v>68</v>
      </c>
      <c r="J1198" s="15">
        <v>42156.904189814813</v>
      </c>
      <c r="K1198" t="str">
        <f t="shared" si="18"/>
        <v>06-2015</v>
      </c>
    </row>
    <row r="1199" spans="3:11" x14ac:dyDescent="0.25">
      <c r="C1199" t="str">
        <f>IF(COUNTBLANK(E1199:J1199) = 6,"",IF(AND(NOT(ISBLANK(E1199)),COUNTBLANK(E1199:J1199) = 5),"3 Delete",IF(ISBLANK(E1199),"2 Add",IF(SHA1Range(E1199:J1199) = "011eb0225c162d6a26bd1adbfed1bae306a9d71f","0 Original","1 Modify"))))</f>
        <v>0 Original</v>
      </c>
      <c r="D1199" s="5" t="s">
        <v>2098</v>
      </c>
      <c r="E1199" s="3">
        <v>805</v>
      </c>
      <c r="F1199" s="13">
        <v>42157</v>
      </c>
      <c r="G1199" t="s">
        <v>242</v>
      </c>
      <c r="H1199" s="9">
        <v>37.950000000000003</v>
      </c>
      <c r="I1199" s="5" t="s">
        <v>68</v>
      </c>
      <c r="J1199" s="15">
        <v>42157.31622685185</v>
      </c>
      <c r="K1199" t="str">
        <f t="shared" si="18"/>
        <v>06-2015</v>
      </c>
    </row>
    <row r="1200" spans="3:11" x14ac:dyDescent="0.25">
      <c r="C1200" t="str">
        <f>IF(COUNTBLANK(E1200:J1200) = 6,"",IF(AND(NOT(ISBLANK(E1200)),COUNTBLANK(E1200:J1200) = 5),"3 Delete",IF(ISBLANK(E1200),"2 Add",IF(SHA1Range(E1200:J1200) = "972e61e5dbf240e96fd26e027fa4bd86cf906b01","0 Original","1 Modify"))))</f>
        <v>0 Original</v>
      </c>
      <c r="D1200" s="5" t="s">
        <v>4094</v>
      </c>
      <c r="E1200" s="3">
        <v>406</v>
      </c>
      <c r="F1200" s="13">
        <v>42157</v>
      </c>
      <c r="G1200" t="s">
        <v>203</v>
      </c>
      <c r="H1200" s="9">
        <v>48.93</v>
      </c>
      <c r="I1200" s="5" t="s">
        <v>68</v>
      </c>
      <c r="J1200" s="15">
        <v>42157.535590277781</v>
      </c>
      <c r="K1200" t="str">
        <f t="shared" si="18"/>
        <v>06-2015</v>
      </c>
    </row>
    <row r="1201" spans="3:11" x14ac:dyDescent="0.25">
      <c r="C1201" t="str">
        <f>IF(COUNTBLANK(E1201:J1201) = 6,"",IF(AND(NOT(ISBLANK(E1201)),COUNTBLANK(E1201:J1201) = 5),"3 Delete",IF(ISBLANK(E1201),"2 Add",IF(SHA1Range(E1201:J1201) = "fd89963e272e228f3ddd00cf849e5d8eddb6c955","0 Original","1 Modify"))))</f>
        <v>0 Original</v>
      </c>
      <c r="D1201" s="5" t="s">
        <v>2099</v>
      </c>
      <c r="E1201" s="3">
        <v>610</v>
      </c>
      <c r="F1201" s="13">
        <v>42158</v>
      </c>
      <c r="G1201" t="s">
        <v>86</v>
      </c>
      <c r="H1201" s="9">
        <v>56.93</v>
      </c>
      <c r="I1201" s="5" t="s">
        <v>68</v>
      </c>
      <c r="J1201" s="15">
        <v>42158.189513888887</v>
      </c>
      <c r="K1201" t="str">
        <f t="shared" si="18"/>
        <v>06-2015</v>
      </c>
    </row>
    <row r="1202" spans="3:11" x14ac:dyDescent="0.25">
      <c r="C1202" t="str">
        <f>IF(COUNTBLANK(E1202:J1202) = 6,"",IF(AND(NOT(ISBLANK(E1202)),COUNTBLANK(E1202:J1202) = 5),"3 Delete",IF(ISBLANK(E1202),"2 Add",IF(SHA1Range(E1202:J1202) = "63b0c5b519dd51f9993b9e08544fc5df0d9ca7c6","0 Original","1 Modify"))))</f>
        <v>0 Original</v>
      </c>
      <c r="D1202" s="5" t="s">
        <v>4125</v>
      </c>
      <c r="E1202" s="3">
        <v>316</v>
      </c>
      <c r="F1202" s="13">
        <v>42158</v>
      </c>
      <c r="G1202" t="s">
        <v>212</v>
      </c>
      <c r="H1202" s="9">
        <v>24.97</v>
      </c>
      <c r="I1202" s="5" t="s">
        <v>68</v>
      </c>
      <c r="J1202" s="15">
        <v>42158.369560185187</v>
      </c>
      <c r="K1202" t="str">
        <f t="shared" si="18"/>
        <v>06-2015</v>
      </c>
    </row>
    <row r="1203" spans="3:11" x14ac:dyDescent="0.25">
      <c r="C1203" t="str">
        <f>IF(COUNTBLANK(E1203:J1203) = 6,"",IF(AND(NOT(ISBLANK(E1203)),COUNTBLANK(E1203:J1203) = 5),"3 Delete",IF(ISBLANK(E1203),"2 Add",IF(SHA1Range(E1203:J1203) = "79ff6b6491b2a7386025d199c8198c7dd8c4e5ba","0 Original","1 Modify"))))</f>
        <v>0 Original</v>
      </c>
      <c r="D1203" s="5" t="s">
        <v>4408</v>
      </c>
      <c r="E1203" s="3">
        <v>132</v>
      </c>
      <c r="F1203" s="13">
        <v>42160</v>
      </c>
      <c r="G1203" t="s">
        <v>80</v>
      </c>
      <c r="H1203" s="9">
        <v>19.97</v>
      </c>
      <c r="I1203" s="5" t="s">
        <v>68</v>
      </c>
      <c r="J1203" s="15">
        <v>42160.344039351854</v>
      </c>
      <c r="K1203" t="str">
        <f t="shared" si="18"/>
        <v>06-2015</v>
      </c>
    </row>
    <row r="1204" spans="3:11" x14ac:dyDescent="0.25">
      <c r="C1204" t="str">
        <f>IF(COUNTBLANK(E1204:J1204) = 6,"",IF(AND(NOT(ISBLANK(E1204)),COUNTBLANK(E1204:J1204) = 5),"3 Delete",IF(ISBLANK(E1204),"2 Add",IF(SHA1Range(E1204:J1204) = "4952ac9f910338714accca248cd3271443b543d7","0 Original","1 Modify"))))</f>
        <v>0 Original</v>
      </c>
      <c r="D1204" s="5" t="s">
        <v>2100</v>
      </c>
      <c r="E1204" s="3">
        <v>809</v>
      </c>
      <c r="F1204" s="13">
        <v>42161</v>
      </c>
      <c r="G1204" t="s">
        <v>98</v>
      </c>
      <c r="H1204" s="9">
        <v>66.92</v>
      </c>
      <c r="I1204" s="5" t="s">
        <v>68</v>
      </c>
      <c r="J1204" s="15">
        <v>42161.143518518518</v>
      </c>
      <c r="K1204" t="str">
        <f t="shared" si="18"/>
        <v>06-2015</v>
      </c>
    </row>
    <row r="1205" spans="3:11" x14ac:dyDescent="0.25">
      <c r="C1205" t="str">
        <f>IF(COUNTBLANK(E1205:J1205) = 6,"",IF(AND(NOT(ISBLANK(E1205)),COUNTBLANK(E1205:J1205) = 5),"3 Delete",IF(ISBLANK(E1205),"2 Add",IF(SHA1Range(E1205:J1205) = "582ef9c22f8ab00dc34174ed48b3567d80ad70b3","0 Original","1 Modify"))))</f>
        <v>0 Original</v>
      </c>
      <c r="D1205" s="5" t="s">
        <v>4073</v>
      </c>
      <c r="E1205" s="3">
        <v>452</v>
      </c>
      <c r="F1205" s="13">
        <v>42161</v>
      </c>
      <c r="G1205" t="s">
        <v>341</v>
      </c>
      <c r="H1205" s="9">
        <v>46.94</v>
      </c>
      <c r="I1205" s="5" t="s">
        <v>68</v>
      </c>
      <c r="J1205" s="15">
        <v>42161.603541666664</v>
      </c>
      <c r="K1205" t="str">
        <f t="shared" si="18"/>
        <v>06-2015</v>
      </c>
    </row>
    <row r="1206" spans="3:11" x14ac:dyDescent="0.25">
      <c r="C1206" t="str">
        <f>IF(COUNTBLANK(E1206:J1206) = 6,"",IF(AND(NOT(ISBLANK(E1206)),COUNTBLANK(E1206:J1206) = 5),"3 Delete",IF(ISBLANK(E1206),"2 Add",IF(SHA1Range(E1206:J1206) = "44e0f8adc49037f0f8ab6760a1e280cd76f23ff4","0 Original","1 Modify"))))</f>
        <v>0 Original</v>
      </c>
      <c r="D1206" s="5" t="s">
        <v>2101</v>
      </c>
      <c r="E1206" s="3">
        <v>923</v>
      </c>
      <c r="F1206" s="13">
        <v>42162</v>
      </c>
      <c r="G1206" t="s">
        <v>242</v>
      </c>
      <c r="H1206" s="9">
        <v>41.95</v>
      </c>
      <c r="I1206" s="5" t="s">
        <v>68</v>
      </c>
      <c r="J1206" s="15">
        <v>42162.210023148145</v>
      </c>
      <c r="K1206" t="str">
        <f t="shared" si="18"/>
        <v>06-2015</v>
      </c>
    </row>
    <row r="1207" spans="3:11" x14ac:dyDescent="0.25">
      <c r="C1207" t="str">
        <f>IF(COUNTBLANK(E1207:J1207) = 6,"",IF(AND(NOT(ISBLANK(E1207)),COUNTBLANK(E1207:J1207) = 5),"3 Delete",IF(ISBLANK(E1207),"2 Add",IF(SHA1Range(E1207:J1207) = "6cbd229237ec2fb52be53ce96655a4202b0ba591","0 Original","1 Modify"))))</f>
        <v>0 Original</v>
      </c>
      <c r="D1207" s="5" t="s">
        <v>4077</v>
      </c>
      <c r="E1207" s="3">
        <v>444</v>
      </c>
      <c r="F1207" s="13">
        <v>42162</v>
      </c>
      <c r="G1207" t="s">
        <v>212</v>
      </c>
      <c r="H1207" s="9">
        <v>77.91</v>
      </c>
      <c r="I1207" s="5" t="s">
        <v>68</v>
      </c>
      <c r="J1207" s="15">
        <v>42162.242824074077</v>
      </c>
      <c r="K1207" t="str">
        <f t="shared" si="18"/>
        <v>06-2015</v>
      </c>
    </row>
    <row r="1208" spans="3:11" x14ac:dyDescent="0.25">
      <c r="C1208" t="str">
        <f>IF(COUNTBLANK(E1208:J1208) = 6,"",IF(AND(NOT(ISBLANK(E1208)),COUNTBLANK(E1208:J1208) = 5),"3 Delete",IF(ISBLANK(E1208),"2 Add",IF(SHA1Range(E1208:J1208) = "977e1e9215920a9fec5d50f756dbb1692a423913","0 Original","1 Modify"))))</f>
        <v>0 Original</v>
      </c>
      <c r="D1208" s="5" t="s">
        <v>2102</v>
      </c>
      <c r="E1208" s="3">
        <v>614</v>
      </c>
      <c r="F1208" s="13">
        <v>42163</v>
      </c>
      <c r="G1208" t="s">
        <v>308</v>
      </c>
      <c r="H1208" s="9">
        <v>22.97</v>
      </c>
      <c r="I1208" s="5" t="s">
        <v>68</v>
      </c>
      <c r="J1208" s="15">
        <v>42163.178819444445</v>
      </c>
      <c r="K1208" t="str">
        <f t="shared" si="18"/>
        <v>06-2015</v>
      </c>
    </row>
    <row r="1209" spans="3:11" x14ac:dyDescent="0.25">
      <c r="C1209" t="str">
        <f>IF(COUNTBLANK(E1209:J1209) = 6,"",IF(AND(NOT(ISBLANK(E1209)),COUNTBLANK(E1209:J1209) = 5),"3 Delete",IF(ISBLANK(E1209),"2 Add",IF(SHA1Range(E1209:J1209) = "1a3d702865e97a979a71c34a22a75dbf959a8798","0 Original","1 Modify"))))</f>
        <v>0 Original</v>
      </c>
      <c r="D1209" s="5" t="s">
        <v>2103</v>
      </c>
      <c r="E1209" s="3">
        <v>1146</v>
      </c>
      <c r="F1209" s="13">
        <v>42165</v>
      </c>
      <c r="G1209" t="s">
        <v>134</v>
      </c>
      <c r="H1209" s="9">
        <v>46.94</v>
      </c>
      <c r="I1209" s="5" t="s">
        <v>68</v>
      </c>
      <c r="J1209" s="15">
        <v>42165.075659722221</v>
      </c>
      <c r="K1209" t="str">
        <f t="shared" si="18"/>
        <v>06-2015</v>
      </c>
    </row>
    <row r="1210" spans="3:11" x14ac:dyDescent="0.25">
      <c r="C1210" t="str">
        <f>IF(COUNTBLANK(E1210:J1210) = 6,"",IF(AND(NOT(ISBLANK(E1210)),COUNTBLANK(E1210:J1210) = 5),"3 Delete",IF(ISBLANK(E1210),"2 Add",IF(SHA1Range(E1210:J1210) = "4c33c92c404c75d2ffe5e1ac9bf808fc98b1d060","0 Original","1 Modify"))))</f>
        <v>0 Original</v>
      </c>
      <c r="D1210" s="5" t="s">
        <v>4075</v>
      </c>
      <c r="E1210" s="3">
        <v>447</v>
      </c>
      <c r="F1210" s="13">
        <v>42165</v>
      </c>
      <c r="G1210" t="s">
        <v>224</v>
      </c>
      <c r="H1210" s="9">
        <v>51.94</v>
      </c>
      <c r="I1210" s="5" t="s">
        <v>68</v>
      </c>
      <c r="J1210" s="15">
        <v>42165.096817129626</v>
      </c>
      <c r="K1210" t="str">
        <f t="shared" si="18"/>
        <v>06-2015</v>
      </c>
    </row>
    <row r="1211" spans="3:11" x14ac:dyDescent="0.25">
      <c r="C1211" t="str">
        <f>IF(COUNTBLANK(E1211:J1211) = 6,"",IF(AND(NOT(ISBLANK(E1211)),COUNTBLANK(E1211:J1211) = 5),"3 Delete",IF(ISBLANK(E1211),"2 Add",IF(SHA1Range(E1211:J1211) = "c15a3d5e972cc1e3e4ffbbc94ec015279efe0557","0 Original","1 Modify"))))</f>
        <v>0 Original</v>
      </c>
      <c r="D1211" s="5" t="s">
        <v>2104</v>
      </c>
      <c r="E1211" s="3">
        <v>983</v>
      </c>
      <c r="F1211" s="13">
        <v>42165</v>
      </c>
      <c r="G1211" t="s">
        <v>302</v>
      </c>
      <c r="H1211" s="9">
        <v>15.98</v>
      </c>
      <c r="I1211" s="5" t="s">
        <v>68</v>
      </c>
      <c r="J1211" s="15">
        <v>42165.36614583333</v>
      </c>
      <c r="K1211" t="str">
        <f t="shared" si="18"/>
        <v>06-2015</v>
      </c>
    </row>
    <row r="1212" spans="3:11" x14ac:dyDescent="0.25">
      <c r="C1212" t="str">
        <f>IF(COUNTBLANK(E1212:J1212) = 6,"",IF(AND(NOT(ISBLANK(E1212)),COUNTBLANK(E1212:J1212) = 5),"3 Delete",IF(ISBLANK(E1212),"2 Add",IF(SHA1Range(E1212:J1212) = "d8d5c62eb987d8eec28d4dd62c03ebd7b27545a3","0 Original","1 Modify"))))</f>
        <v>0 Original</v>
      </c>
      <c r="D1212" s="5" t="s">
        <v>2105</v>
      </c>
      <c r="E1212" s="3">
        <v>1084</v>
      </c>
      <c r="F1212" s="13">
        <v>42165</v>
      </c>
      <c r="G1212" t="s">
        <v>242</v>
      </c>
      <c r="H1212" s="9">
        <v>29.96</v>
      </c>
      <c r="I1212" s="5" t="s">
        <v>68</v>
      </c>
      <c r="J1212" s="15">
        <v>42165.813692129632</v>
      </c>
      <c r="K1212" t="str">
        <f t="shared" si="18"/>
        <v>06-2015</v>
      </c>
    </row>
    <row r="1213" spans="3:11" x14ac:dyDescent="0.25">
      <c r="C1213" t="str">
        <f>IF(COUNTBLANK(E1213:J1213) = 6,"",IF(AND(NOT(ISBLANK(E1213)),COUNTBLANK(E1213:J1213) = 5),"3 Delete",IF(ISBLANK(E1213),"2 Add",IF(SHA1Range(E1213:J1213) = "a7fef304c4a83bc2838d7c2c12298d5de0e21b84","0 Original","1 Modify"))))</f>
        <v>0 Original</v>
      </c>
      <c r="D1213" s="5" t="s">
        <v>4147</v>
      </c>
      <c r="E1213" s="3">
        <v>82</v>
      </c>
      <c r="F1213" s="13">
        <v>42165</v>
      </c>
      <c r="G1213" t="s">
        <v>65</v>
      </c>
      <c r="H1213" s="9">
        <v>33.94</v>
      </c>
      <c r="I1213" s="5" t="s">
        <v>68</v>
      </c>
      <c r="J1213" s="15">
        <v>42165.929699074077</v>
      </c>
      <c r="K1213" t="str">
        <f t="shared" si="18"/>
        <v>06-2015</v>
      </c>
    </row>
    <row r="1214" spans="3:11" x14ac:dyDescent="0.25">
      <c r="C1214" t="str">
        <f>IF(COUNTBLANK(E1214:J1214) = 6,"",IF(AND(NOT(ISBLANK(E1214)),COUNTBLANK(E1214:J1214) = 5),"3 Delete",IF(ISBLANK(E1214),"2 Add",IF(SHA1Range(E1214:J1214) = "9cdfbae9051355b59a64fe90f73ed0f6017508d6","0 Original","1 Modify"))))</f>
        <v>0 Original</v>
      </c>
      <c r="D1214" s="5" t="s">
        <v>4071</v>
      </c>
      <c r="E1214" s="3">
        <v>457</v>
      </c>
      <c r="F1214" s="13">
        <v>42166</v>
      </c>
      <c r="G1214" t="s">
        <v>230</v>
      </c>
      <c r="H1214" s="9">
        <v>76.900000000000006</v>
      </c>
      <c r="I1214" s="5" t="s">
        <v>68</v>
      </c>
      <c r="J1214" s="15">
        <v>42166.400717592594</v>
      </c>
      <c r="K1214" t="str">
        <f t="shared" si="18"/>
        <v>06-2015</v>
      </c>
    </row>
    <row r="1215" spans="3:11" x14ac:dyDescent="0.25">
      <c r="C1215" t="str">
        <f>IF(COUNTBLANK(E1215:J1215) = 6,"",IF(AND(NOT(ISBLANK(E1215)),COUNTBLANK(E1215:J1215) = 5),"3 Delete",IF(ISBLANK(E1215),"2 Add",IF(SHA1Range(E1215:J1215) = "b6e5a03d1285cb383fe760cb38d7944c41a59bf1","0 Original","1 Modify"))))</f>
        <v>0 Original</v>
      </c>
      <c r="D1215" s="5" t="s">
        <v>4097</v>
      </c>
      <c r="E1215" s="3">
        <v>390</v>
      </c>
      <c r="F1215" s="13">
        <v>42167</v>
      </c>
      <c r="G1215" t="s">
        <v>233</v>
      </c>
      <c r="H1215" s="9">
        <v>53.92</v>
      </c>
      <c r="I1215" s="5" t="s">
        <v>68</v>
      </c>
      <c r="J1215" s="15">
        <v>42167.41170138889</v>
      </c>
      <c r="K1215" t="str">
        <f t="shared" si="18"/>
        <v>06-2015</v>
      </c>
    </row>
    <row r="1216" spans="3:11" x14ac:dyDescent="0.25">
      <c r="C1216" t="str">
        <f>IF(COUNTBLANK(E1216:J1216) = 6,"",IF(AND(NOT(ISBLANK(E1216)),COUNTBLANK(E1216:J1216) = 5),"3 Delete",IF(ISBLANK(E1216),"2 Add",IF(SHA1Range(E1216:J1216) = "0856917dbe746980e97110c6878ac9aec6d9383b","0 Original","1 Modify"))))</f>
        <v>0 Original</v>
      </c>
      <c r="D1216" s="5" t="s">
        <v>4409</v>
      </c>
      <c r="E1216" s="3">
        <v>96</v>
      </c>
      <c r="F1216" s="13">
        <v>42168</v>
      </c>
      <c r="G1216" t="s">
        <v>218</v>
      </c>
      <c r="H1216" s="9">
        <v>78.900000000000006</v>
      </c>
      <c r="I1216" s="5" t="s">
        <v>68</v>
      </c>
      <c r="J1216" s="15">
        <v>42168.051192129627</v>
      </c>
      <c r="K1216" t="str">
        <f t="shared" si="18"/>
        <v>06-2015</v>
      </c>
    </row>
    <row r="1217" spans="3:11" x14ac:dyDescent="0.25">
      <c r="C1217" t="str">
        <f>IF(COUNTBLANK(E1217:J1217) = 6,"",IF(AND(NOT(ISBLANK(E1217)),COUNTBLANK(E1217:J1217) = 5),"3 Delete",IF(ISBLANK(E1217),"2 Add",IF(SHA1Range(E1217:J1217) = "2b0b5a89d940a2a43b8986696f79932cce758a6e","0 Original","1 Modify"))))</f>
        <v>0 Original</v>
      </c>
      <c r="D1217" s="5" t="s">
        <v>2106</v>
      </c>
      <c r="E1217" s="3">
        <v>602</v>
      </c>
      <c r="F1217" s="13">
        <v>42168</v>
      </c>
      <c r="G1217" t="s">
        <v>152</v>
      </c>
      <c r="H1217" s="9">
        <v>11.98</v>
      </c>
      <c r="I1217" s="5" t="s">
        <v>68</v>
      </c>
      <c r="J1217" s="15">
        <v>42168.175763888888</v>
      </c>
      <c r="K1217" t="str">
        <f t="shared" si="18"/>
        <v>06-2015</v>
      </c>
    </row>
    <row r="1218" spans="3:11" x14ac:dyDescent="0.25">
      <c r="C1218" t="str">
        <f>IF(COUNTBLANK(E1218:J1218) = 6,"",IF(AND(NOT(ISBLANK(E1218)),COUNTBLANK(E1218:J1218) = 5),"3 Delete",IF(ISBLANK(E1218),"2 Add",IF(SHA1Range(E1218:J1218) = "db5455decdebcfe20fdad111ec305cebfafb314f","0 Original","1 Modify"))))</f>
        <v>0 Original</v>
      </c>
      <c r="D1218" s="5" t="s">
        <v>2107</v>
      </c>
      <c r="E1218" s="3">
        <v>898</v>
      </c>
      <c r="F1218" s="13">
        <v>42168</v>
      </c>
      <c r="G1218" t="s">
        <v>170</v>
      </c>
      <c r="H1218" s="9">
        <v>34.96</v>
      </c>
      <c r="I1218" s="5" t="s">
        <v>68</v>
      </c>
      <c r="J1218" s="15">
        <v>42168.319363425922</v>
      </c>
      <c r="K1218" t="str">
        <f t="shared" si="18"/>
        <v>06-2015</v>
      </c>
    </row>
    <row r="1219" spans="3:11" x14ac:dyDescent="0.25">
      <c r="C1219" t="str">
        <f>IF(COUNTBLANK(E1219:J1219) = 6,"",IF(AND(NOT(ISBLANK(E1219)),COUNTBLANK(E1219:J1219) = 5),"3 Delete",IF(ISBLANK(E1219),"2 Add",IF(SHA1Range(E1219:J1219) = "9cb318b4c6da1d7583c38c2dff93768ceb20e2a9","0 Original","1 Modify"))))</f>
        <v>0 Original</v>
      </c>
      <c r="D1219" s="5" t="s">
        <v>4146</v>
      </c>
      <c r="E1219" s="3">
        <v>310</v>
      </c>
      <c r="F1219" s="13">
        <v>42168</v>
      </c>
      <c r="G1219" t="s">
        <v>284</v>
      </c>
      <c r="H1219" s="9">
        <v>26.96</v>
      </c>
      <c r="I1219" s="5" t="s">
        <v>68</v>
      </c>
      <c r="J1219" s="15">
        <v>42168.622824074075</v>
      </c>
      <c r="K1219" t="str">
        <f t="shared" ref="K1219:K1282" si="19">TEXT(F1219,"mm-yyyy")</f>
        <v>06-2015</v>
      </c>
    </row>
    <row r="1220" spans="3:11" x14ac:dyDescent="0.25">
      <c r="C1220" t="str">
        <f>IF(COUNTBLANK(E1220:J1220) = 6,"",IF(AND(NOT(ISBLANK(E1220)),COUNTBLANK(E1220:J1220) = 5),"3 Delete",IF(ISBLANK(E1220),"2 Add",IF(SHA1Range(E1220:J1220) = "4da755369083ac404c6e144ef06d64072c7c1ab2","0 Original","1 Modify"))))</f>
        <v>0 Original</v>
      </c>
      <c r="D1220" s="5" t="s">
        <v>2108</v>
      </c>
      <c r="E1220" s="3">
        <v>1019</v>
      </c>
      <c r="F1220" s="13">
        <v>42168</v>
      </c>
      <c r="G1220" t="s">
        <v>260</v>
      </c>
      <c r="H1220" s="9">
        <v>40.950000000000003</v>
      </c>
      <c r="I1220" s="5" t="s">
        <v>68</v>
      </c>
      <c r="J1220" s="15">
        <v>42168.699247685188</v>
      </c>
      <c r="K1220" t="str">
        <f t="shared" si="19"/>
        <v>06-2015</v>
      </c>
    </row>
    <row r="1221" spans="3:11" x14ac:dyDescent="0.25">
      <c r="C1221" t="str">
        <f>IF(COUNTBLANK(E1221:J1221) = 6,"",IF(AND(NOT(ISBLANK(E1221)),COUNTBLANK(E1221:J1221) = 5),"3 Delete",IF(ISBLANK(E1221),"2 Add",IF(SHA1Range(E1221:J1221) = "48834984c77a5408e19df3aaf7ef25f4c42b581a","0 Original","1 Modify"))))</f>
        <v>0 Original</v>
      </c>
      <c r="D1221" s="5" t="s">
        <v>2109</v>
      </c>
      <c r="E1221" s="3">
        <v>935</v>
      </c>
      <c r="F1221" s="13">
        <v>42168</v>
      </c>
      <c r="G1221" t="s">
        <v>170</v>
      </c>
      <c r="H1221" s="9">
        <v>13.98</v>
      </c>
      <c r="I1221" s="5" t="s">
        <v>68</v>
      </c>
      <c r="J1221" s="15">
        <v>42168.791956018518</v>
      </c>
      <c r="K1221" t="str">
        <f t="shared" si="19"/>
        <v>06-2015</v>
      </c>
    </row>
    <row r="1222" spans="3:11" x14ac:dyDescent="0.25">
      <c r="C1222" t="str">
        <f>IF(COUNTBLANK(E1222:J1222) = 6,"",IF(AND(NOT(ISBLANK(E1222)),COUNTBLANK(E1222:J1222) = 5),"3 Delete",IF(ISBLANK(E1222),"2 Add",IF(SHA1Range(E1222:J1222) = "530139f8708927cc61dfbd768f2b436d9bffdadc","0 Original","1 Modify"))))</f>
        <v>0 Original</v>
      </c>
      <c r="D1222" s="5" t="s">
        <v>4410</v>
      </c>
      <c r="E1222" s="3">
        <v>67</v>
      </c>
      <c r="F1222" s="13">
        <v>42169</v>
      </c>
      <c r="G1222" t="s">
        <v>245</v>
      </c>
      <c r="H1222" s="9">
        <v>8.99</v>
      </c>
      <c r="I1222" s="5" t="s">
        <v>68</v>
      </c>
      <c r="J1222" s="15">
        <v>42169.252962962964</v>
      </c>
      <c r="K1222" t="str">
        <f t="shared" si="19"/>
        <v>06-2015</v>
      </c>
    </row>
    <row r="1223" spans="3:11" x14ac:dyDescent="0.25">
      <c r="C1223" t="str">
        <f>IF(COUNTBLANK(E1223:J1223) = 6,"",IF(AND(NOT(ISBLANK(E1223)),COUNTBLANK(E1223:J1223) = 5),"3 Delete",IF(ISBLANK(E1223),"2 Add",IF(SHA1Range(E1223:J1223) = "07e91889634f029771ceb812d6844373b2859447","0 Original","1 Modify"))))</f>
        <v>0 Original</v>
      </c>
      <c r="D1223" s="5" t="s">
        <v>4124</v>
      </c>
      <c r="E1223" s="3">
        <v>317</v>
      </c>
      <c r="F1223" s="13">
        <v>42169</v>
      </c>
      <c r="G1223" t="s">
        <v>101</v>
      </c>
      <c r="H1223" s="9">
        <v>20.96</v>
      </c>
      <c r="I1223" s="5" t="s">
        <v>68</v>
      </c>
      <c r="J1223" s="15">
        <v>42169.837326388886</v>
      </c>
      <c r="K1223" t="str">
        <f t="shared" si="19"/>
        <v>06-2015</v>
      </c>
    </row>
    <row r="1224" spans="3:11" x14ac:dyDescent="0.25">
      <c r="C1224" t="str">
        <f>IF(COUNTBLANK(E1224:J1224) = 6,"",IF(AND(NOT(ISBLANK(E1224)),COUNTBLANK(E1224:J1224) = 5),"3 Delete",IF(ISBLANK(E1224),"2 Add",IF(SHA1Range(E1224:J1224) = "20b33b25cd7239f580f6a8dc8b7fe0d321e9315a","0 Original","1 Modify"))))</f>
        <v>0 Original</v>
      </c>
      <c r="D1224" s="5" t="s">
        <v>4411</v>
      </c>
      <c r="E1224" s="3">
        <v>37</v>
      </c>
      <c r="F1224" s="13">
        <v>42169</v>
      </c>
      <c r="G1224" t="s">
        <v>251</v>
      </c>
      <c r="H1224" s="9">
        <v>44.95</v>
      </c>
      <c r="I1224" s="5" t="s">
        <v>68</v>
      </c>
      <c r="J1224" s="15">
        <v>42169.992951388886</v>
      </c>
      <c r="K1224" t="str">
        <f t="shared" si="19"/>
        <v>06-2015</v>
      </c>
    </row>
    <row r="1225" spans="3:11" x14ac:dyDescent="0.25">
      <c r="C1225" t="str">
        <f>IF(COUNTBLANK(E1225:J1225) = 6,"",IF(AND(NOT(ISBLANK(E1225)),COUNTBLANK(E1225:J1225) = 5),"3 Delete",IF(ISBLANK(E1225),"2 Add",IF(SHA1Range(E1225:J1225) = "552036e96884bde4719665e936663ee0acb324cd","0 Original","1 Modify"))))</f>
        <v>0 Original</v>
      </c>
      <c r="D1225" s="5" t="s">
        <v>4145</v>
      </c>
      <c r="E1225" s="3">
        <v>240</v>
      </c>
      <c r="F1225" s="13">
        <v>42170</v>
      </c>
      <c r="G1225" t="s">
        <v>275</v>
      </c>
      <c r="H1225" s="9">
        <v>39.94</v>
      </c>
      <c r="I1225" s="5" t="s">
        <v>68</v>
      </c>
      <c r="J1225" s="15">
        <v>42170.387349537035</v>
      </c>
      <c r="K1225" t="str">
        <f t="shared" si="19"/>
        <v>06-2015</v>
      </c>
    </row>
    <row r="1226" spans="3:11" x14ac:dyDescent="0.25">
      <c r="C1226" t="str">
        <f>IF(COUNTBLANK(E1226:J1226) = 6,"",IF(AND(NOT(ISBLANK(E1226)),COUNTBLANK(E1226:J1226) = 5),"3 Delete",IF(ISBLANK(E1226),"2 Add",IF(SHA1Range(E1226:J1226) = "c0b154b8649d80b36bb4ecff12fc9175a5ace4b5","0 Original","1 Modify"))))</f>
        <v>0 Original</v>
      </c>
      <c r="D1226" s="5" t="s">
        <v>4119</v>
      </c>
      <c r="E1226" s="3">
        <v>335</v>
      </c>
      <c r="F1226" s="13">
        <v>42170</v>
      </c>
      <c r="G1226" t="s">
        <v>245</v>
      </c>
      <c r="H1226" s="9">
        <v>34.96</v>
      </c>
      <c r="I1226" s="5" t="s">
        <v>68</v>
      </c>
      <c r="J1226" s="15">
        <v>42170.395833333336</v>
      </c>
      <c r="K1226" t="str">
        <f t="shared" si="19"/>
        <v>06-2015</v>
      </c>
    </row>
    <row r="1227" spans="3:11" x14ac:dyDescent="0.25">
      <c r="C1227" t="str">
        <f>IF(COUNTBLANK(E1227:J1227) = 6,"",IF(AND(NOT(ISBLANK(E1227)),COUNTBLANK(E1227:J1227) = 5),"3 Delete",IF(ISBLANK(E1227),"2 Add",IF(SHA1Range(E1227:J1227) = "0623baf92c688c7bc80035f19d9e060579c50de8","0 Original","1 Modify"))))</f>
        <v>0 Original</v>
      </c>
      <c r="D1227" s="5" t="s">
        <v>2110</v>
      </c>
      <c r="E1227" s="3">
        <v>933</v>
      </c>
      <c r="F1227" s="13">
        <v>42171</v>
      </c>
      <c r="G1227" t="s">
        <v>98</v>
      </c>
      <c r="H1227" s="9">
        <v>23.97</v>
      </c>
      <c r="I1227" s="5" t="s">
        <v>68</v>
      </c>
      <c r="J1227" s="15">
        <v>42171.451469907406</v>
      </c>
      <c r="K1227" t="str">
        <f t="shared" si="19"/>
        <v>06-2015</v>
      </c>
    </row>
    <row r="1228" spans="3:11" x14ac:dyDescent="0.25">
      <c r="C1228" t="str">
        <f>IF(COUNTBLANK(E1228:J1228) = 6,"",IF(AND(NOT(ISBLANK(E1228)),COUNTBLANK(E1228:J1228) = 5),"3 Delete",IF(ISBLANK(E1228),"2 Add",IF(SHA1Range(E1228:J1228) = "1ca929e8fe28cd62602763f5a0cd036b889407e4","0 Original","1 Modify"))))</f>
        <v>0 Original</v>
      </c>
      <c r="D1228" s="5" t="s">
        <v>2111</v>
      </c>
      <c r="E1228" s="3">
        <v>977</v>
      </c>
      <c r="F1228" s="13">
        <v>42171</v>
      </c>
      <c r="G1228" t="s">
        <v>302</v>
      </c>
      <c r="H1228" s="9">
        <v>27.96</v>
      </c>
      <c r="I1228" s="5" t="s">
        <v>68</v>
      </c>
      <c r="J1228" s="15">
        <v>42171.576782407406</v>
      </c>
      <c r="K1228" t="str">
        <f t="shared" si="19"/>
        <v>06-2015</v>
      </c>
    </row>
    <row r="1229" spans="3:11" x14ac:dyDescent="0.25">
      <c r="C1229" t="str">
        <f>IF(COUNTBLANK(E1229:J1229) = 6,"",IF(AND(NOT(ISBLANK(E1229)),COUNTBLANK(E1229:J1229) = 5),"3 Delete",IF(ISBLANK(E1229),"2 Add",IF(SHA1Range(E1229:J1229) = "7a57078dc2d5a32a4518e5a26ff3a26568661f24","0 Original","1 Modify"))))</f>
        <v>0 Original</v>
      </c>
      <c r="D1229" s="5" t="s">
        <v>2112</v>
      </c>
      <c r="E1229" s="3">
        <v>910</v>
      </c>
      <c r="F1229" s="13">
        <v>42171</v>
      </c>
      <c r="G1229" t="s">
        <v>302</v>
      </c>
      <c r="H1229" s="9">
        <v>74.91</v>
      </c>
      <c r="I1229" s="5" t="s">
        <v>68</v>
      </c>
      <c r="J1229" s="15">
        <v>42171.609675925924</v>
      </c>
      <c r="K1229" t="str">
        <f t="shared" si="19"/>
        <v>06-2015</v>
      </c>
    </row>
    <row r="1230" spans="3:11" x14ac:dyDescent="0.25">
      <c r="C1230" t="str">
        <f>IF(COUNTBLANK(E1230:J1230) = 6,"",IF(AND(NOT(ISBLANK(E1230)),COUNTBLANK(E1230:J1230) = 5),"3 Delete",IF(ISBLANK(E1230),"2 Add",IF(SHA1Range(E1230:J1230) = "f69cfcfdb0460f41fdc917064423ea82a1e784d2","0 Original","1 Modify"))))</f>
        <v>0 Original</v>
      </c>
      <c r="D1230" s="5" t="s">
        <v>2113</v>
      </c>
      <c r="E1230" s="3">
        <v>817</v>
      </c>
      <c r="F1230" s="13">
        <v>42171</v>
      </c>
      <c r="G1230" t="s">
        <v>326</v>
      </c>
      <c r="H1230" s="9">
        <v>34.94</v>
      </c>
      <c r="I1230" s="5" t="s">
        <v>68</v>
      </c>
      <c r="J1230" s="15">
        <v>42171.669236111113</v>
      </c>
      <c r="K1230" t="str">
        <f t="shared" si="19"/>
        <v>06-2015</v>
      </c>
    </row>
    <row r="1231" spans="3:11" x14ac:dyDescent="0.25">
      <c r="C1231" t="str">
        <f>IF(COUNTBLANK(E1231:J1231) = 6,"",IF(AND(NOT(ISBLANK(E1231)),COUNTBLANK(E1231:J1231) = 5),"3 Delete",IF(ISBLANK(E1231),"2 Add",IF(SHA1Range(E1231:J1231) = "e023f13c9c722275585977f7dca7420741bb6c67","0 Original","1 Modify"))))</f>
        <v>0 Original</v>
      </c>
      <c r="D1231" s="5" t="s">
        <v>4080</v>
      </c>
      <c r="E1231" s="3">
        <v>437</v>
      </c>
      <c r="F1231" s="13">
        <v>42172</v>
      </c>
      <c r="G1231" t="s">
        <v>239</v>
      </c>
      <c r="H1231" s="9">
        <v>72.91</v>
      </c>
      <c r="I1231" s="5" t="s">
        <v>68</v>
      </c>
      <c r="J1231" s="15">
        <v>42172.397847222222</v>
      </c>
      <c r="K1231" t="str">
        <f t="shared" si="19"/>
        <v>06-2015</v>
      </c>
    </row>
    <row r="1232" spans="3:11" x14ac:dyDescent="0.25">
      <c r="C1232" t="str">
        <f>IF(COUNTBLANK(E1232:J1232) = 6,"",IF(AND(NOT(ISBLANK(E1232)),COUNTBLANK(E1232:J1232) = 5),"3 Delete",IF(ISBLANK(E1232),"2 Add",IF(SHA1Range(E1232:J1232) = "3ee13d485db0385b7f57bf4a28502617372c29f5","0 Original","1 Modify"))))</f>
        <v>0 Original</v>
      </c>
      <c r="D1232" s="5" t="s">
        <v>4412</v>
      </c>
      <c r="E1232" s="3">
        <v>190</v>
      </c>
      <c r="F1232" s="13">
        <v>42172</v>
      </c>
      <c r="G1232" t="s">
        <v>155</v>
      </c>
      <c r="H1232" s="9">
        <v>46.93</v>
      </c>
      <c r="I1232" s="5" t="s">
        <v>68</v>
      </c>
      <c r="J1232" s="15">
        <v>42172.827962962961</v>
      </c>
      <c r="K1232" t="str">
        <f t="shared" si="19"/>
        <v>06-2015</v>
      </c>
    </row>
    <row r="1233" spans="3:11" x14ac:dyDescent="0.25">
      <c r="C1233" t="str">
        <f>IF(COUNTBLANK(E1233:J1233) = 6,"",IF(AND(NOT(ISBLANK(E1233)),COUNTBLANK(E1233:J1233) = 5),"3 Delete",IF(ISBLANK(E1233),"2 Add",IF(SHA1Range(E1233:J1233) = "7c464fec644a13a5738c7e09fd7e2aee02cbc8e1","0 Original","1 Modify"))))</f>
        <v>0 Original</v>
      </c>
      <c r="D1233" s="5" t="s">
        <v>2114</v>
      </c>
      <c r="E1233" s="3">
        <v>1115</v>
      </c>
      <c r="F1233" s="13">
        <v>42173</v>
      </c>
      <c r="G1233" t="s">
        <v>245</v>
      </c>
      <c r="H1233" s="9">
        <v>9.99</v>
      </c>
      <c r="I1233" s="5" t="s">
        <v>68</v>
      </c>
      <c r="J1233" s="15">
        <v>42173.466851851852</v>
      </c>
      <c r="K1233" t="str">
        <f t="shared" si="19"/>
        <v>06-2015</v>
      </c>
    </row>
    <row r="1234" spans="3:11" x14ac:dyDescent="0.25">
      <c r="C1234" t="str">
        <f>IF(COUNTBLANK(E1234:J1234) = 6,"",IF(AND(NOT(ISBLANK(E1234)),COUNTBLANK(E1234:J1234) = 5),"3 Delete",IF(ISBLANK(E1234),"2 Add",IF(SHA1Range(E1234:J1234) = "8ddf248b8609f9c3295f0a9cbe86037477e59127","0 Original","1 Modify"))))</f>
        <v>0 Original</v>
      </c>
      <c r="D1234" s="5" t="s">
        <v>2115</v>
      </c>
      <c r="E1234" s="3">
        <v>1002</v>
      </c>
      <c r="F1234" s="13">
        <v>42174</v>
      </c>
      <c r="G1234" t="s">
        <v>98</v>
      </c>
      <c r="H1234" s="9">
        <v>26.97</v>
      </c>
      <c r="I1234" s="5" t="s">
        <v>68</v>
      </c>
      <c r="J1234" s="15">
        <v>42174.154675925929</v>
      </c>
      <c r="K1234" t="str">
        <f t="shared" si="19"/>
        <v>06-2015</v>
      </c>
    </row>
    <row r="1235" spans="3:11" x14ac:dyDescent="0.25">
      <c r="C1235" t="str">
        <f>IF(COUNTBLANK(E1235:J1235) = 6,"",IF(AND(NOT(ISBLANK(E1235)),COUNTBLANK(E1235:J1235) = 5),"3 Delete",IF(ISBLANK(E1235),"2 Add",IF(SHA1Range(E1235:J1235) = "d82261d9381ccd89a4cef3f3e859e140056721df","0 Original","1 Modify"))))</f>
        <v>0 Original</v>
      </c>
      <c r="D1235" s="5" t="s">
        <v>2116</v>
      </c>
      <c r="E1235" s="3">
        <v>554</v>
      </c>
      <c r="F1235" s="13">
        <v>42174</v>
      </c>
      <c r="G1235" t="s">
        <v>284</v>
      </c>
      <c r="H1235" s="9">
        <v>40.94</v>
      </c>
      <c r="I1235" s="5" t="s">
        <v>68</v>
      </c>
      <c r="J1235" s="15">
        <v>42174.464317129627</v>
      </c>
      <c r="K1235" t="str">
        <f t="shared" si="19"/>
        <v>06-2015</v>
      </c>
    </row>
    <row r="1236" spans="3:11" x14ac:dyDescent="0.25">
      <c r="C1236" t="str">
        <f>IF(COUNTBLANK(E1236:J1236) = 6,"",IF(AND(NOT(ISBLANK(E1236)),COUNTBLANK(E1236:J1236) = 5),"3 Delete",IF(ISBLANK(E1236),"2 Add",IF(SHA1Range(E1236:J1236) = "57efa110e018635e96e3e0224a6e66fd4ab3a1f6","0 Original","1 Modify"))))</f>
        <v>0 Original</v>
      </c>
      <c r="D1236" s="5" t="s">
        <v>2117</v>
      </c>
      <c r="E1236" s="3">
        <v>1099</v>
      </c>
      <c r="F1236" s="13">
        <v>42174</v>
      </c>
      <c r="G1236" t="s">
        <v>260</v>
      </c>
      <c r="H1236" s="9">
        <v>60.93</v>
      </c>
      <c r="I1236" s="5" t="s">
        <v>68</v>
      </c>
      <c r="J1236" s="15">
        <v>42174.567870370367</v>
      </c>
      <c r="K1236" t="str">
        <f t="shared" si="19"/>
        <v>06-2015</v>
      </c>
    </row>
    <row r="1237" spans="3:11" x14ac:dyDescent="0.25">
      <c r="C1237" t="str">
        <f>IF(COUNTBLANK(E1237:J1237) = 6,"",IF(AND(NOT(ISBLANK(E1237)),COUNTBLANK(E1237:J1237) = 5),"3 Delete",IF(ISBLANK(E1237),"2 Add",IF(SHA1Range(E1237:J1237) = "eb6753974a7a352ca8f290caad80fc32163fe24e","0 Original","1 Modify"))))</f>
        <v>0 Original</v>
      </c>
      <c r="D1237" s="5" t="s">
        <v>4107</v>
      </c>
      <c r="E1237" s="3">
        <v>366</v>
      </c>
      <c r="F1237" s="13">
        <v>42175</v>
      </c>
      <c r="G1237" t="s">
        <v>284</v>
      </c>
      <c r="H1237" s="9">
        <v>16.98</v>
      </c>
      <c r="I1237" s="5" t="s">
        <v>68</v>
      </c>
      <c r="J1237" s="15">
        <v>42175.309675925928</v>
      </c>
      <c r="K1237" t="str">
        <f t="shared" si="19"/>
        <v>06-2015</v>
      </c>
    </row>
    <row r="1238" spans="3:11" x14ac:dyDescent="0.25">
      <c r="C1238" t="str">
        <f>IF(COUNTBLANK(E1238:J1238) = 6,"",IF(AND(NOT(ISBLANK(E1238)),COUNTBLANK(E1238:J1238) = 5),"3 Delete",IF(ISBLANK(E1238),"2 Add",IF(SHA1Range(E1238:J1238) = "7e6bd4f03505119f486008b3b3d2ab0e5b73b656","0 Original","1 Modify"))))</f>
        <v>0 Original</v>
      </c>
      <c r="D1238" s="5" t="s">
        <v>2118</v>
      </c>
      <c r="E1238" s="3">
        <v>1041</v>
      </c>
      <c r="F1238" s="13">
        <v>42175</v>
      </c>
      <c r="G1238" t="s">
        <v>272</v>
      </c>
      <c r="H1238" s="9">
        <v>23.97</v>
      </c>
      <c r="I1238" s="5" t="s">
        <v>68</v>
      </c>
      <c r="J1238" s="15">
        <v>42175.889131944445</v>
      </c>
      <c r="K1238" t="str">
        <f t="shared" si="19"/>
        <v>06-2015</v>
      </c>
    </row>
    <row r="1239" spans="3:11" x14ac:dyDescent="0.25">
      <c r="C1239" t="str">
        <f>IF(COUNTBLANK(E1239:J1239) = 6,"",IF(AND(NOT(ISBLANK(E1239)),COUNTBLANK(E1239:J1239) = 5),"3 Delete",IF(ISBLANK(E1239),"2 Add",IF(SHA1Range(E1239:J1239) = "8afa56fde582351c0c98a5cc63e92d28c62dd713","0 Original","1 Modify"))))</f>
        <v>0 Original</v>
      </c>
      <c r="D1239" s="5" t="s">
        <v>4413</v>
      </c>
      <c r="E1239" s="3">
        <v>232</v>
      </c>
      <c r="F1239" s="13">
        <v>42175</v>
      </c>
      <c r="G1239" t="s">
        <v>137</v>
      </c>
      <c r="H1239" s="9">
        <v>18.97</v>
      </c>
      <c r="I1239" s="5" t="s">
        <v>68</v>
      </c>
      <c r="J1239" s="15">
        <v>42175.915914351855</v>
      </c>
      <c r="K1239" t="str">
        <f t="shared" si="19"/>
        <v>06-2015</v>
      </c>
    </row>
    <row r="1240" spans="3:11" x14ac:dyDescent="0.25">
      <c r="C1240" t="str">
        <f>IF(COUNTBLANK(E1240:J1240) = 6,"",IF(AND(NOT(ISBLANK(E1240)),COUNTBLANK(E1240:J1240) = 5),"3 Delete",IF(ISBLANK(E1240),"2 Add",IF(SHA1Range(E1240:J1240) = "1ee3a0d3ac8582390ef681e30200da44f33c0838","0 Original","1 Modify"))))</f>
        <v>0 Original</v>
      </c>
      <c r="D1240" s="5" t="s">
        <v>2119</v>
      </c>
      <c r="E1240" s="3">
        <v>755</v>
      </c>
      <c r="F1240" s="13">
        <v>42176</v>
      </c>
      <c r="G1240" t="s">
        <v>134</v>
      </c>
      <c r="H1240" s="9">
        <v>26.96</v>
      </c>
      <c r="I1240" s="5" t="s">
        <v>68</v>
      </c>
      <c r="J1240" s="15">
        <v>42176.614247685182</v>
      </c>
      <c r="K1240" t="str">
        <f t="shared" si="19"/>
        <v>06-2015</v>
      </c>
    </row>
    <row r="1241" spans="3:11" x14ac:dyDescent="0.25">
      <c r="C1241" t="str">
        <f>IF(COUNTBLANK(E1241:J1241) = 6,"",IF(AND(NOT(ISBLANK(E1241)),COUNTBLANK(E1241:J1241) = 5),"3 Delete",IF(ISBLANK(E1241),"2 Add",IF(SHA1Range(E1241:J1241) = "f3092193ad4114c65f83ee5315dd1451d97ed178","0 Original","1 Modify"))))</f>
        <v>0 Original</v>
      </c>
      <c r="D1241" s="5" t="s">
        <v>4114</v>
      </c>
      <c r="E1241" s="3">
        <v>347</v>
      </c>
      <c r="F1241" s="13">
        <v>42176</v>
      </c>
      <c r="G1241" t="s">
        <v>89</v>
      </c>
      <c r="H1241" s="9">
        <v>12.98</v>
      </c>
      <c r="I1241" s="5" t="s">
        <v>68</v>
      </c>
      <c r="J1241" s="15">
        <v>42176.814120370371</v>
      </c>
      <c r="K1241" t="str">
        <f t="shared" si="19"/>
        <v>06-2015</v>
      </c>
    </row>
    <row r="1242" spans="3:11" x14ac:dyDescent="0.25">
      <c r="C1242" t="str">
        <f>IF(COUNTBLANK(E1242:J1242) = 6,"",IF(AND(NOT(ISBLANK(E1242)),COUNTBLANK(E1242:J1242) = 5),"3 Delete",IF(ISBLANK(E1242),"2 Add",IF(SHA1Range(E1242:J1242) = "be4ecaf06df21c3c337cadc3baedb451069d53e3","0 Original","1 Modify"))))</f>
        <v>0 Original</v>
      </c>
      <c r="D1242" s="5" t="s">
        <v>4092</v>
      </c>
      <c r="E1242" s="3">
        <v>418</v>
      </c>
      <c r="F1242" s="13">
        <v>42176</v>
      </c>
      <c r="G1242" t="s">
        <v>119</v>
      </c>
      <c r="H1242" s="9">
        <v>8.99</v>
      </c>
      <c r="I1242" s="5" t="s">
        <v>68</v>
      </c>
      <c r="J1242" s="15">
        <v>42176.894456018519</v>
      </c>
      <c r="K1242" t="str">
        <f t="shared" si="19"/>
        <v>06-2015</v>
      </c>
    </row>
    <row r="1243" spans="3:11" x14ac:dyDescent="0.25">
      <c r="C1243" t="str">
        <f>IF(COUNTBLANK(E1243:J1243) = 6,"",IF(AND(NOT(ISBLANK(E1243)),COUNTBLANK(E1243:J1243) = 5),"3 Delete",IF(ISBLANK(E1243),"2 Add",IF(SHA1Range(E1243:J1243) = "e2f12fb095e7f2799c3f78eee4c1a7b98994918d","0 Original","1 Modify"))))</f>
        <v>0 Original</v>
      </c>
      <c r="D1243" s="5" t="s">
        <v>2120</v>
      </c>
      <c r="E1243" s="3">
        <v>738</v>
      </c>
      <c r="F1243" s="13">
        <v>42177</v>
      </c>
      <c r="G1243" t="s">
        <v>242</v>
      </c>
      <c r="H1243" s="9">
        <v>4.99</v>
      </c>
      <c r="I1243" s="5" t="s">
        <v>68</v>
      </c>
      <c r="J1243" s="15">
        <v>42177.514374999999</v>
      </c>
      <c r="K1243" t="str">
        <f t="shared" si="19"/>
        <v>06-2015</v>
      </c>
    </row>
    <row r="1244" spans="3:11" x14ac:dyDescent="0.25">
      <c r="C1244" t="str">
        <f>IF(COUNTBLANK(E1244:J1244) = 6,"",IF(AND(NOT(ISBLANK(E1244)),COUNTBLANK(E1244:J1244) = 5),"3 Delete",IF(ISBLANK(E1244),"2 Add",IF(SHA1Range(E1244:J1244) = "7d3d3b78a42ea0a5eb00a6f883bc8908bb2cba2b","0 Original","1 Modify"))))</f>
        <v>0 Original</v>
      </c>
      <c r="D1244" s="5" t="s">
        <v>4123</v>
      </c>
      <c r="E1244" s="3">
        <v>322</v>
      </c>
      <c r="F1244" s="13">
        <v>42178</v>
      </c>
      <c r="G1244" t="s">
        <v>248</v>
      </c>
      <c r="H1244" s="9">
        <v>36.950000000000003</v>
      </c>
      <c r="I1244" s="5" t="s">
        <v>68</v>
      </c>
      <c r="J1244" s="15">
        <v>42178.874305555553</v>
      </c>
      <c r="K1244" t="str">
        <f t="shared" si="19"/>
        <v>06-2015</v>
      </c>
    </row>
    <row r="1245" spans="3:11" x14ac:dyDescent="0.25">
      <c r="C1245" t="str">
        <f>IF(COUNTBLANK(E1245:J1245) = 6,"",IF(AND(NOT(ISBLANK(E1245)),COUNTBLANK(E1245:J1245) = 5),"3 Delete",IF(ISBLANK(E1245),"2 Add",IF(SHA1Range(E1245:J1245) = "5c7ca0a823efff15e2372de23aa8552b4704078e","0 Original","1 Modify"))))</f>
        <v>0 Original</v>
      </c>
      <c r="D1245" s="5" t="s">
        <v>4414</v>
      </c>
      <c r="E1245" s="3">
        <v>79</v>
      </c>
      <c r="F1245" s="13">
        <v>42180</v>
      </c>
      <c r="G1245" t="s">
        <v>245</v>
      </c>
      <c r="H1245" s="9">
        <v>58.93</v>
      </c>
      <c r="I1245" s="5" t="s">
        <v>68</v>
      </c>
      <c r="J1245" s="15">
        <v>42180.376550925925</v>
      </c>
      <c r="K1245" t="str">
        <f t="shared" si="19"/>
        <v>06-2015</v>
      </c>
    </row>
    <row r="1246" spans="3:11" x14ac:dyDescent="0.25">
      <c r="C1246" t="str">
        <f>IF(COUNTBLANK(E1246:J1246) = 6,"",IF(AND(NOT(ISBLANK(E1246)),COUNTBLANK(E1246:J1246) = 5),"3 Delete",IF(ISBLANK(E1246),"2 Add",IF(SHA1Range(E1246:J1246) = "500651e4c5a11bc6ae2f1affde1c987a3c2a486f","0 Original","1 Modify"))))</f>
        <v>0 Original</v>
      </c>
      <c r="D1246" s="5" t="s">
        <v>2121</v>
      </c>
      <c r="E1246" s="3">
        <v>916</v>
      </c>
      <c r="F1246" s="13">
        <v>42181</v>
      </c>
      <c r="G1246" t="s">
        <v>170</v>
      </c>
      <c r="H1246" s="9">
        <v>21.96</v>
      </c>
      <c r="I1246" s="5" t="s">
        <v>68</v>
      </c>
      <c r="J1246" s="15">
        <v>42181.06958333333</v>
      </c>
      <c r="K1246" t="str">
        <f t="shared" si="19"/>
        <v>06-2015</v>
      </c>
    </row>
    <row r="1247" spans="3:11" x14ac:dyDescent="0.25">
      <c r="C1247" t="str">
        <f>IF(COUNTBLANK(E1247:J1247) = 6,"",IF(AND(NOT(ISBLANK(E1247)),COUNTBLANK(E1247:J1247) = 5),"3 Delete",IF(ISBLANK(E1247),"2 Add",IF(SHA1Range(E1247:J1247) = "82fbaffe4de40fd80653e8669d5e159441abe14f","0 Original","1 Modify"))))</f>
        <v>0 Original</v>
      </c>
      <c r="D1247" s="5" t="s">
        <v>2122</v>
      </c>
      <c r="E1247" s="3">
        <v>667</v>
      </c>
      <c r="F1247" s="13">
        <v>42181</v>
      </c>
      <c r="G1247" t="s">
        <v>146</v>
      </c>
      <c r="H1247" s="9">
        <v>45.95</v>
      </c>
      <c r="I1247" s="5" t="s">
        <v>68</v>
      </c>
      <c r="J1247" s="15">
        <v>42181.431458333333</v>
      </c>
      <c r="K1247" t="str">
        <f t="shared" si="19"/>
        <v>06-2015</v>
      </c>
    </row>
    <row r="1248" spans="3:11" x14ac:dyDescent="0.25">
      <c r="C1248" t="str">
        <f>IF(COUNTBLANK(E1248:J1248) = 6,"",IF(AND(NOT(ISBLANK(E1248)),COUNTBLANK(E1248:J1248) = 5),"3 Delete",IF(ISBLANK(E1248),"2 Add",IF(SHA1Range(E1248:J1248) = "ebc1757b7fe781d65bad4b766a74457052557a59","0 Original","1 Modify"))))</f>
        <v>0 Original</v>
      </c>
      <c r="D1248" s="5" t="s">
        <v>4415</v>
      </c>
      <c r="E1248" s="3">
        <v>43</v>
      </c>
      <c r="F1248" s="13">
        <v>42181</v>
      </c>
      <c r="G1248" t="s">
        <v>143</v>
      </c>
      <c r="H1248" s="9">
        <v>34.96</v>
      </c>
      <c r="I1248" s="5" t="s">
        <v>68</v>
      </c>
      <c r="J1248" s="15">
        <v>42181.997754629629</v>
      </c>
      <c r="K1248" t="str">
        <f t="shared" si="19"/>
        <v>06-2015</v>
      </c>
    </row>
    <row r="1249" spans="3:11" x14ac:dyDescent="0.25">
      <c r="C1249" t="str">
        <f>IF(COUNTBLANK(E1249:J1249) = 6,"",IF(AND(NOT(ISBLANK(E1249)),COUNTBLANK(E1249:J1249) = 5),"3 Delete",IF(ISBLANK(E1249),"2 Add",IF(SHA1Range(E1249:J1249) = "902bec471648b13e6ad5a49b4acf171904d76255","0 Original","1 Modify"))))</f>
        <v>0 Original</v>
      </c>
      <c r="D1249" s="5" t="s">
        <v>2123</v>
      </c>
      <c r="E1249" s="3">
        <v>612</v>
      </c>
      <c r="F1249" s="13">
        <v>42182</v>
      </c>
      <c r="G1249" t="s">
        <v>83</v>
      </c>
      <c r="H1249" s="9">
        <v>9.99</v>
      </c>
      <c r="I1249" s="5" t="s">
        <v>68</v>
      </c>
      <c r="J1249" s="15">
        <v>42182.112939814811</v>
      </c>
      <c r="K1249" t="str">
        <f t="shared" si="19"/>
        <v>06-2015</v>
      </c>
    </row>
    <row r="1250" spans="3:11" x14ac:dyDescent="0.25">
      <c r="C1250" t="str">
        <f>IF(COUNTBLANK(E1250:J1250) = 6,"",IF(AND(NOT(ISBLANK(E1250)),COUNTBLANK(E1250:J1250) = 5),"3 Delete",IF(ISBLANK(E1250),"2 Add",IF(SHA1Range(E1250:J1250) = "ead2a1e1e3bacbd3d7d6ca46df6a435854122a4a","0 Original","1 Modify"))))</f>
        <v>0 Original</v>
      </c>
      <c r="D1250" s="5" t="s">
        <v>2124</v>
      </c>
      <c r="E1250" s="3">
        <v>1000</v>
      </c>
      <c r="F1250" s="13">
        <v>42182</v>
      </c>
      <c r="G1250" t="s">
        <v>245</v>
      </c>
      <c r="H1250" s="9">
        <v>45.94</v>
      </c>
      <c r="I1250" s="5" t="s">
        <v>68</v>
      </c>
      <c r="J1250" s="15">
        <v>42182.408935185187</v>
      </c>
      <c r="K1250" t="str">
        <f t="shared" si="19"/>
        <v>06-2015</v>
      </c>
    </row>
    <row r="1251" spans="3:11" x14ac:dyDescent="0.25">
      <c r="C1251" t="str">
        <f>IF(COUNTBLANK(E1251:J1251) = 6,"",IF(AND(NOT(ISBLANK(E1251)),COUNTBLANK(E1251:J1251) = 5),"3 Delete",IF(ISBLANK(E1251),"2 Add",IF(SHA1Range(E1251:J1251) = "b1e9ec9a061baaa89de36307d4099fb5c226bce7","0 Original","1 Modify"))))</f>
        <v>0 Original</v>
      </c>
      <c r="D1251" s="5" t="s">
        <v>2125</v>
      </c>
      <c r="E1251" s="3">
        <v>844</v>
      </c>
      <c r="F1251" s="13">
        <v>42184</v>
      </c>
      <c r="G1251" t="s">
        <v>221</v>
      </c>
      <c r="H1251" s="9">
        <v>12.98</v>
      </c>
      <c r="I1251" s="5" t="s">
        <v>68</v>
      </c>
      <c r="J1251" s="15">
        <v>42184.332349537035</v>
      </c>
      <c r="K1251" t="str">
        <f t="shared" si="19"/>
        <v>06-2015</v>
      </c>
    </row>
    <row r="1252" spans="3:11" x14ac:dyDescent="0.25">
      <c r="C1252" t="str">
        <f>IF(COUNTBLANK(E1252:J1252) = 6,"",IF(AND(NOT(ISBLANK(E1252)),COUNTBLANK(E1252:J1252) = 5),"3 Delete",IF(ISBLANK(E1252),"2 Add",IF(SHA1Range(E1252:J1252) = "77e191651cd67557a6a2dc849010af687e3553a3","0 Original","1 Modify"))))</f>
        <v>0 Original</v>
      </c>
      <c r="D1252" s="5" t="s">
        <v>4070</v>
      </c>
      <c r="E1252" s="3">
        <v>461</v>
      </c>
      <c r="F1252" s="13">
        <v>42184</v>
      </c>
      <c r="G1252" t="s">
        <v>302</v>
      </c>
      <c r="H1252" s="9">
        <v>17.98</v>
      </c>
      <c r="I1252" s="5" t="s">
        <v>68</v>
      </c>
      <c r="J1252" s="15">
        <v>42184.643703703703</v>
      </c>
      <c r="K1252" t="str">
        <f t="shared" si="19"/>
        <v>06-2015</v>
      </c>
    </row>
    <row r="1253" spans="3:11" x14ac:dyDescent="0.25">
      <c r="C1253" t="str">
        <f>IF(COUNTBLANK(E1253:J1253) = 6,"",IF(AND(NOT(ISBLANK(E1253)),COUNTBLANK(E1253:J1253) = 5),"3 Delete",IF(ISBLANK(E1253),"2 Add",IF(SHA1Range(E1253:J1253) = "1520cbfddbccc1ef368e18934cb34048f3331a84","0 Original","1 Modify"))))</f>
        <v>0 Original</v>
      </c>
      <c r="D1253" s="5" t="s">
        <v>2126</v>
      </c>
      <c r="E1253" s="3">
        <v>880</v>
      </c>
      <c r="F1253" s="13">
        <v>42184</v>
      </c>
      <c r="G1253" t="s">
        <v>242</v>
      </c>
      <c r="H1253" s="9">
        <v>33.950000000000003</v>
      </c>
      <c r="I1253" s="5" t="s">
        <v>68</v>
      </c>
      <c r="J1253" s="15">
        <v>42184.791215277779</v>
      </c>
      <c r="K1253" t="str">
        <f t="shared" si="19"/>
        <v>06-2015</v>
      </c>
    </row>
    <row r="1254" spans="3:11" x14ac:dyDescent="0.25">
      <c r="C1254" t="str">
        <f>IF(COUNTBLANK(E1254:J1254) = 6,"",IF(AND(NOT(ISBLANK(E1254)),COUNTBLANK(E1254:J1254) = 5),"3 Delete",IF(ISBLANK(E1254),"2 Add",IF(SHA1Range(E1254:J1254) = "ab949306b831b1658038f35e4660bc484a16c4b2","0 Original","1 Modify"))))</f>
        <v>0 Original</v>
      </c>
      <c r="D1254" s="5" t="s">
        <v>4416</v>
      </c>
      <c r="E1254" s="3">
        <v>56</v>
      </c>
      <c r="F1254" s="13">
        <v>42186</v>
      </c>
      <c r="G1254" t="s">
        <v>104</v>
      </c>
      <c r="H1254" s="9">
        <v>33.96</v>
      </c>
      <c r="I1254" s="5" t="s">
        <v>68</v>
      </c>
      <c r="J1254" s="15">
        <v>42186.824166666665</v>
      </c>
      <c r="K1254" t="str">
        <f t="shared" si="19"/>
        <v>07-2015</v>
      </c>
    </row>
    <row r="1255" spans="3:11" x14ac:dyDescent="0.25">
      <c r="C1255" t="str">
        <f>IF(COUNTBLANK(E1255:J1255) = 6,"",IF(AND(NOT(ISBLANK(E1255)),COUNTBLANK(E1255:J1255) = 5),"3 Delete",IF(ISBLANK(E1255),"2 Add",IF(SHA1Range(E1255:J1255) = "40bd1172c47591e657cd3c1ec090e648f787c905","0 Original","1 Modify"))))</f>
        <v>0 Original</v>
      </c>
      <c r="D1255" s="5" t="s">
        <v>2127</v>
      </c>
      <c r="E1255" s="3">
        <v>772</v>
      </c>
      <c r="F1255" s="13">
        <v>42187</v>
      </c>
      <c r="G1255" t="s">
        <v>245</v>
      </c>
      <c r="H1255" s="9">
        <v>6.99</v>
      </c>
      <c r="I1255" s="5" t="s">
        <v>68</v>
      </c>
      <c r="J1255" s="15">
        <v>42187.558865740742</v>
      </c>
      <c r="K1255" t="str">
        <f t="shared" si="19"/>
        <v>07-2015</v>
      </c>
    </row>
    <row r="1256" spans="3:11" x14ac:dyDescent="0.25">
      <c r="C1256" t="str">
        <f>IF(COUNTBLANK(E1256:J1256) = 6,"",IF(AND(NOT(ISBLANK(E1256)),COUNTBLANK(E1256:J1256) = 5),"3 Delete",IF(ISBLANK(E1256),"2 Add",IF(SHA1Range(E1256:J1256) = "f5322e6d7530510e29fa4671b61b86fc8275fa75","0 Original","1 Modify"))))</f>
        <v>0 Original</v>
      </c>
      <c r="D1256" s="5" t="s">
        <v>2128</v>
      </c>
      <c r="E1256" s="3">
        <v>1171</v>
      </c>
      <c r="F1256" s="13">
        <v>42187</v>
      </c>
      <c r="G1256" t="s">
        <v>260</v>
      </c>
      <c r="H1256" s="9">
        <v>20.97</v>
      </c>
      <c r="I1256" s="5" t="s">
        <v>68</v>
      </c>
      <c r="J1256" s="15">
        <v>42187.809814814813</v>
      </c>
      <c r="K1256" t="str">
        <f t="shared" si="19"/>
        <v>07-2015</v>
      </c>
    </row>
    <row r="1257" spans="3:11" x14ac:dyDescent="0.25">
      <c r="C1257" t="str">
        <f>IF(COUNTBLANK(E1257:J1257) = 6,"",IF(AND(NOT(ISBLANK(E1257)),COUNTBLANK(E1257:J1257) = 5),"3 Delete",IF(ISBLANK(E1257),"2 Add",IF(SHA1Range(E1257:J1257) = "4d3c229814b9e0d635d4477127902d2c5b6d6c40","0 Original","1 Modify"))))</f>
        <v>0 Original</v>
      </c>
      <c r="D1257" s="5" t="s">
        <v>2129</v>
      </c>
      <c r="E1257" s="3">
        <v>1173</v>
      </c>
      <c r="F1257" s="13">
        <v>42187</v>
      </c>
      <c r="G1257" t="s">
        <v>326</v>
      </c>
      <c r="H1257" s="9">
        <v>37.950000000000003</v>
      </c>
      <c r="I1257" s="5" t="s">
        <v>68</v>
      </c>
      <c r="J1257" s="15">
        <v>42187.819652777776</v>
      </c>
      <c r="K1257" t="str">
        <f t="shared" si="19"/>
        <v>07-2015</v>
      </c>
    </row>
    <row r="1258" spans="3:11" x14ac:dyDescent="0.25">
      <c r="C1258" t="str">
        <f>IF(COUNTBLANK(E1258:J1258) = 6,"",IF(AND(NOT(ISBLANK(E1258)),COUNTBLANK(E1258:J1258) = 5),"3 Delete",IF(ISBLANK(E1258),"2 Add",IF(SHA1Range(E1258:J1258) = "dba89162f2b3a252d38826dc46dee9cf59b52cd2","0 Original","1 Modify"))))</f>
        <v>0 Original</v>
      </c>
      <c r="D1258" s="5" t="s">
        <v>4144</v>
      </c>
      <c r="E1258" s="3">
        <v>173</v>
      </c>
      <c r="F1258" s="13">
        <v>42188</v>
      </c>
      <c r="G1258" t="s">
        <v>173</v>
      </c>
      <c r="H1258" s="9">
        <v>38.950000000000003</v>
      </c>
      <c r="I1258" s="5" t="s">
        <v>68</v>
      </c>
      <c r="J1258" s="15">
        <v>42188.98505787037</v>
      </c>
      <c r="K1258" t="str">
        <f t="shared" si="19"/>
        <v>07-2015</v>
      </c>
    </row>
    <row r="1259" spans="3:11" x14ac:dyDescent="0.25">
      <c r="C1259" t="str">
        <f>IF(COUNTBLANK(E1259:J1259) = 6,"",IF(AND(NOT(ISBLANK(E1259)),COUNTBLANK(E1259:J1259) = 5),"3 Delete",IF(ISBLANK(E1259),"2 Add",IF(SHA1Range(E1259:J1259) = "546e474466440803361f2c9bececeb8c61286cc6","0 Original","1 Modify"))))</f>
        <v>0 Original</v>
      </c>
      <c r="D1259" s="5" t="s">
        <v>2130</v>
      </c>
      <c r="E1259" s="3">
        <v>697</v>
      </c>
      <c r="F1259" s="13">
        <v>42189</v>
      </c>
      <c r="G1259" t="s">
        <v>221</v>
      </c>
      <c r="H1259" s="9">
        <v>13.98</v>
      </c>
      <c r="I1259" s="5" t="s">
        <v>68</v>
      </c>
      <c r="J1259" s="15">
        <v>42189.454201388886</v>
      </c>
      <c r="K1259" t="str">
        <f t="shared" si="19"/>
        <v>07-2015</v>
      </c>
    </row>
    <row r="1260" spans="3:11" x14ac:dyDescent="0.25">
      <c r="C1260" t="str">
        <f>IF(COUNTBLANK(E1260:J1260) = 6,"",IF(AND(NOT(ISBLANK(E1260)),COUNTBLANK(E1260:J1260) = 5),"3 Delete",IF(ISBLANK(E1260),"2 Add",IF(SHA1Range(E1260:J1260) = "42911ee547f825e464140c7118aebfa96d332ab4","0 Original","1 Modify"))))</f>
        <v>0 Original</v>
      </c>
      <c r="D1260" s="5" t="s">
        <v>2131</v>
      </c>
      <c r="E1260" s="3">
        <v>647</v>
      </c>
      <c r="F1260" s="13">
        <v>42189</v>
      </c>
      <c r="G1260" t="s">
        <v>215</v>
      </c>
      <c r="H1260" s="9">
        <v>6.99</v>
      </c>
      <c r="I1260" s="5" t="s">
        <v>68</v>
      </c>
      <c r="J1260" s="15">
        <v>42189.878194444442</v>
      </c>
      <c r="K1260" t="str">
        <f t="shared" si="19"/>
        <v>07-2015</v>
      </c>
    </row>
    <row r="1261" spans="3:11" x14ac:dyDescent="0.25">
      <c r="C1261" t="str">
        <f>IF(COUNTBLANK(E1261:J1261) = 6,"",IF(AND(NOT(ISBLANK(E1261)),COUNTBLANK(E1261:J1261) = 5),"3 Delete",IF(ISBLANK(E1261),"2 Add",IF(SHA1Range(E1261:J1261) = "b691bca5fbfc6bf5233c9f4e518587f8d97fe674","0 Original","1 Modify"))))</f>
        <v>0 Original</v>
      </c>
      <c r="D1261" s="5" t="s">
        <v>2132</v>
      </c>
      <c r="E1261" s="3">
        <v>650</v>
      </c>
      <c r="F1261" s="13">
        <v>42189</v>
      </c>
      <c r="G1261" t="s">
        <v>83</v>
      </c>
      <c r="H1261" s="9">
        <v>7.99</v>
      </c>
      <c r="I1261" s="5" t="s">
        <v>68</v>
      </c>
      <c r="J1261" s="15">
        <v>42189.933564814812</v>
      </c>
      <c r="K1261" t="str">
        <f t="shared" si="19"/>
        <v>07-2015</v>
      </c>
    </row>
    <row r="1262" spans="3:11" x14ac:dyDescent="0.25">
      <c r="C1262" t="str">
        <f>IF(COUNTBLANK(E1262:J1262) = 6,"",IF(AND(NOT(ISBLANK(E1262)),COUNTBLANK(E1262:J1262) = 5),"3 Delete",IF(ISBLANK(E1262),"2 Add",IF(SHA1Range(E1262:J1262) = "ce2356f25fd2880540e1f53de622f75b0d33932a","0 Original","1 Modify"))))</f>
        <v>0 Original</v>
      </c>
      <c r="D1262" s="5" t="s">
        <v>2133</v>
      </c>
      <c r="E1262" s="3">
        <v>715</v>
      </c>
      <c r="F1262" s="13">
        <v>42191</v>
      </c>
      <c r="G1262" t="s">
        <v>221</v>
      </c>
      <c r="H1262" s="9">
        <v>13.98</v>
      </c>
      <c r="I1262" s="5" t="s">
        <v>68</v>
      </c>
      <c r="J1262" s="15">
        <v>42191.103784722225</v>
      </c>
      <c r="K1262" t="str">
        <f t="shared" si="19"/>
        <v>07-2015</v>
      </c>
    </row>
    <row r="1263" spans="3:11" x14ac:dyDescent="0.25">
      <c r="C1263" t="str">
        <f>IF(COUNTBLANK(E1263:J1263) = 6,"",IF(AND(NOT(ISBLANK(E1263)),COUNTBLANK(E1263:J1263) = 5),"3 Delete",IF(ISBLANK(E1263),"2 Add",IF(SHA1Range(E1263:J1263) = "1f5f354d231f2529c74173885453660c55cf16fc","0 Original","1 Modify"))))</f>
        <v>0 Original</v>
      </c>
      <c r="D1263" s="5" t="s">
        <v>4417</v>
      </c>
      <c r="E1263" s="3">
        <v>2</v>
      </c>
      <c r="F1263" s="13">
        <v>42191</v>
      </c>
      <c r="G1263" t="s">
        <v>266</v>
      </c>
      <c r="H1263" s="9">
        <v>23.97</v>
      </c>
      <c r="I1263" s="5" t="s">
        <v>68</v>
      </c>
      <c r="J1263" s="15">
        <v>42191.669212962966</v>
      </c>
      <c r="K1263" t="str">
        <f t="shared" si="19"/>
        <v>07-2015</v>
      </c>
    </row>
    <row r="1264" spans="3:11" x14ac:dyDescent="0.25">
      <c r="C1264" t="str">
        <f>IF(COUNTBLANK(E1264:J1264) = 6,"",IF(AND(NOT(ISBLANK(E1264)),COUNTBLANK(E1264:J1264) = 5),"3 Delete",IF(ISBLANK(E1264),"2 Add",IF(SHA1Range(E1264:J1264) = "7851f1a6205bb28f1077d4691217547eeaee2cf8","0 Original","1 Modify"))))</f>
        <v>0 Original</v>
      </c>
      <c r="D1264" s="5" t="s">
        <v>4418</v>
      </c>
      <c r="E1264" s="3">
        <v>156</v>
      </c>
      <c r="F1264" s="13">
        <v>42193</v>
      </c>
      <c r="G1264" t="s">
        <v>122</v>
      </c>
      <c r="H1264" s="9">
        <v>11.98</v>
      </c>
      <c r="I1264" s="5" t="s">
        <v>68</v>
      </c>
      <c r="J1264" s="15">
        <v>42193.483483796299</v>
      </c>
      <c r="K1264" t="str">
        <f t="shared" si="19"/>
        <v>07-2015</v>
      </c>
    </row>
    <row r="1265" spans="3:11" x14ac:dyDescent="0.25">
      <c r="C1265" t="str">
        <f>IF(COUNTBLANK(E1265:J1265) = 6,"",IF(AND(NOT(ISBLANK(E1265)),COUNTBLANK(E1265:J1265) = 5),"3 Delete",IF(ISBLANK(E1265),"2 Add",IF(SHA1Range(E1265:J1265) = "30ea533fbaf20b3d5889b08a27b71c0bc31d43ba","0 Original","1 Modify"))))</f>
        <v>0 Original</v>
      </c>
      <c r="D1265" s="5" t="s">
        <v>2134</v>
      </c>
      <c r="E1265" s="3">
        <v>563</v>
      </c>
      <c r="F1265" s="13">
        <v>42194</v>
      </c>
      <c r="G1265" t="s">
        <v>119</v>
      </c>
      <c r="H1265" s="9">
        <v>34.950000000000003</v>
      </c>
      <c r="I1265" s="5" t="s">
        <v>68</v>
      </c>
      <c r="J1265" s="15">
        <v>42194.174270833333</v>
      </c>
      <c r="K1265" t="str">
        <f t="shared" si="19"/>
        <v>07-2015</v>
      </c>
    </row>
    <row r="1266" spans="3:11" x14ac:dyDescent="0.25">
      <c r="C1266" t="str">
        <f>IF(COUNTBLANK(E1266:J1266) = 6,"",IF(AND(NOT(ISBLANK(E1266)),COUNTBLANK(E1266:J1266) = 5),"3 Delete",IF(ISBLANK(E1266),"2 Add",IF(SHA1Range(E1266:J1266) = "79df5dcd71b03d0dadb75216881f732bca5e258f","0 Original","1 Modify"))))</f>
        <v>0 Original</v>
      </c>
      <c r="D1266" s="5" t="s">
        <v>4419</v>
      </c>
      <c r="E1266" s="3">
        <v>111</v>
      </c>
      <c r="F1266" s="13">
        <v>42195</v>
      </c>
      <c r="G1266" t="s">
        <v>125</v>
      </c>
      <c r="H1266" s="9">
        <v>36.96</v>
      </c>
      <c r="I1266" s="5" t="s">
        <v>68</v>
      </c>
      <c r="J1266" s="15">
        <v>42195.468553240738</v>
      </c>
      <c r="K1266" t="str">
        <f t="shared" si="19"/>
        <v>07-2015</v>
      </c>
    </row>
    <row r="1267" spans="3:11" x14ac:dyDescent="0.25">
      <c r="C1267" t="str">
        <f>IF(COUNTBLANK(E1267:J1267) = 6,"",IF(AND(NOT(ISBLANK(E1267)),COUNTBLANK(E1267:J1267) = 5),"3 Delete",IF(ISBLANK(E1267),"2 Add",IF(SHA1Range(E1267:J1267) = "41644b61a8e8a25f3dc4418506d2438402c9bd13","0 Original","1 Modify"))))</f>
        <v>0 Original</v>
      </c>
      <c r="D1267" s="5" t="s">
        <v>2135</v>
      </c>
      <c r="E1267" s="3">
        <v>1078</v>
      </c>
      <c r="F1267" s="13">
        <v>42195</v>
      </c>
      <c r="G1267" t="s">
        <v>221</v>
      </c>
      <c r="H1267" s="9">
        <v>21.96</v>
      </c>
      <c r="I1267" s="5" t="s">
        <v>68</v>
      </c>
      <c r="J1267" s="15">
        <v>42195.691296296296</v>
      </c>
      <c r="K1267" t="str">
        <f t="shared" si="19"/>
        <v>07-2015</v>
      </c>
    </row>
    <row r="1268" spans="3:11" x14ac:dyDescent="0.25">
      <c r="C1268" t="str">
        <f>IF(COUNTBLANK(E1268:J1268) = 6,"",IF(AND(NOT(ISBLANK(E1268)),COUNTBLANK(E1268:J1268) = 5),"3 Delete",IF(ISBLANK(E1268),"2 Add",IF(SHA1Range(E1268:J1268) = "f210e392fe39a6864979787dafccae958d003e8b","0 Original","1 Modify"))))</f>
        <v>0 Original</v>
      </c>
      <c r="D1268" s="5" t="s">
        <v>2136</v>
      </c>
      <c r="E1268" s="3">
        <v>1031</v>
      </c>
      <c r="F1268" s="13">
        <v>42196</v>
      </c>
      <c r="G1268" t="s">
        <v>326</v>
      </c>
      <c r="H1268" s="9">
        <v>23.97</v>
      </c>
      <c r="I1268" s="5" t="s">
        <v>68</v>
      </c>
      <c r="J1268" s="15">
        <v>42196.05978009259</v>
      </c>
      <c r="K1268" t="str">
        <f t="shared" si="19"/>
        <v>07-2015</v>
      </c>
    </row>
    <row r="1269" spans="3:11" x14ac:dyDescent="0.25">
      <c r="C1269" t="str">
        <f>IF(COUNTBLANK(E1269:J1269) = 6,"",IF(AND(NOT(ISBLANK(E1269)),COUNTBLANK(E1269:J1269) = 5),"3 Delete",IF(ISBLANK(E1269),"2 Add",IF(SHA1Range(E1269:J1269) = "c89ebf7f516f21829b02ac4ba5fa2160afd06a94","0 Original","1 Modify"))))</f>
        <v>0 Original</v>
      </c>
      <c r="D1269" s="5" t="s">
        <v>4143</v>
      </c>
      <c r="E1269" s="3">
        <v>86</v>
      </c>
      <c r="F1269" s="13">
        <v>42197</v>
      </c>
      <c r="G1269" t="s">
        <v>101</v>
      </c>
      <c r="H1269" s="9">
        <v>30.95</v>
      </c>
      <c r="I1269" s="5" t="s">
        <v>68</v>
      </c>
      <c r="J1269" s="15">
        <v>42197.67428240741</v>
      </c>
      <c r="K1269" t="str">
        <f t="shared" si="19"/>
        <v>07-2015</v>
      </c>
    </row>
    <row r="1270" spans="3:11" x14ac:dyDescent="0.25">
      <c r="C1270" t="str">
        <f>IF(COUNTBLANK(E1270:J1270) = 6,"",IF(AND(NOT(ISBLANK(E1270)),COUNTBLANK(E1270:J1270) = 5),"3 Delete",IF(ISBLANK(E1270),"2 Add",IF(SHA1Range(E1270:J1270) = "086e134b142a8cba19e04d54ea827a7889a707eb","0 Original","1 Modify"))))</f>
        <v>0 Original</v>
      </c>
      <c r="D1270" s="5" t="s">
        <v>4142</v>
      </c>
      <c r="E1270" s="3">
        <v>246</v>
      </c>
      <c r="F1270" s="13">
        <v>42197</v>
      </c>
      <c r="G1270" t="s">
        <v>119</v>
      </c>
      <c r="H1270" s="9">
        <v>46.95</v>
      </c>
      <c r="I1270" s="5" t="s">
        <v>68</v>
      </c>
      <c r="J1270" s="15">
        <v>42197.741111111114</v>
      </c>
      <c r="K1270" t="str">
        <f t="shared" si="19"/>
        <v>07-2015</v>
      </c>
    </row>
    <row r="1271" spans="3:11" x14ac:dyDescent="0.25">
      <c r="C1271" t="str">
        <f>IF(COUNTBLANK(E1271:J1271) = 6,"",IF(AND(NOT(ISBLANK(E1271)),COUNTBLANK(E1271:J1271) = 5),"3 Delete",IF(ISBLANK(E1271),"2 Add",IF(SHA1Range(E1271:J1271) = "2e5d6e0bdde0f0a9ba3c1efada98ca3bef1f909e","0 Original","1 Modify"))))</f>
        <v>0 Original</v>
      </c>
      <c r="D1271" s="5" t="s">
        <v>4102</v>
      </c>
      <c r="E1271" s="3">
        <v>372</v>
      </c>
      <c r="F1271" s="13">
        <v>42198</v>
      </c>
      <c r="G1271" t="s">
        <v>230</v>
      </c>
      <c r="H1271" s="9">
        <v>48.93</v>
      </c>
      <c r="I1271" s="5" t="s">
        <v>68</v>
      </c>
      <c r="J1271" s="15">
        <v>42198.589259259257</v>
      </c>
      <c r="K1271" t="str">
        <f t="shared" si="19"/>
        <v>07-2015</v>
      </c>
    </row>
    <row r="1272" spans="3:11" x14ac:dyDescent="0.25">
      <c r="C1272" t="str">
        <f>IF(COUNTBLANK(E1272:J1272) = 6,"",IF(AND(NOT(ISBLANK(E1272)),COUNTBLANK(E1272:J1272) = 5),"3 Delete",IF(ISBLANK(E1272),"2 Add",IF(SHA1Range(E1272:J1272) = "338aef669ba34d2bf2cb9e845d5d2c2248060634","0 Original","1 Modify"))))</f>
        <v>0 Original</v>
      </c>
      <c r="D1272" s="5" t="s">
        <v>2137</v>
      </c>
      <c r="E1272" s="3">
        <v>752</v>
      </c>
      <c r="F1272" s="13">
        <v>42199</v>
      </c>
      <c r="G1272" t="s">
        <v>260</v>
      </c>
      <c r="H1272" s="9">
        <v>33.96</v>
      </c>
      <c r="I1272" s="5" t="s">
        <v>68</v>
      </c>
      <c r="J1272" s="15">
        <v>42199.355752314812</v>
      </c>
      <c r="K1272" t="str">
        <f t="shared" si="19"/>
        <v>07-2015</v>
      </c>
    </row>
    <row r="1273" spans="3:11" x14ac:dyDescent="0.25">
      <c r="C1273" t="str">
        <f>IF(COUNTBLANK(E1273:J1273) = 6,"",IF(AND(NOT(ISBLANK(E1273)),COUNTBLANK(E1273:J1273) = 5),"3 Delete",IF(ISBLANK(E1273),"2 Add",IF(SHA1Range(E1273:J1273) = "e53d210cbdcc845a1d70216ed6f8fa8a3981763c","0 Original","1 Modify"))))</f>
        <v>0 Original</v>
      </c>
      <c r="D1273" s="5" t="s">
        <v>2138</v>
      </c>
      <c r="E1273" s="3">
        <v>775</v>
      </c>
      <c r="F1273" s="13">
        <v>42199</v>
      </c>
      <c r="G1273" t="s">
        <v>242</v>
      </c>
      <c r="H1273" s="9">
        <v>46.93</v>
      </c>
      <c r="I1273" s="5" t="s">
        <v>68</v>
      </c>
      <c r="J1273" s="15">
        <v>42199.673171296294</v>
      </c>
      <c r="K1273" t="str">
        <f t="shared" si="19"/>
        <v>07-2015</v>
      </c>
    </row>
    <row r="1274" spans="3:11" x14ac:dyDescent="0.25">
      <c r="C1274" t="str">
        <f>IF(COUNTBLANK(E1274:J1274) = 6,"",IF(AND(NOT(ISBLANK(E1274)),COUNTBLANK(E1274:J1274) = 5),"3 Delete",IF(ISBLANK(E1274),"2 Add",IF(SHA1Range(E1274:J1274) = "afd4ad3744ee911855a3b1566686dad554813dcf","0 Original","1 Modify"))))</f>
        <v>0 Original</v>
      </c>
      <c r="D1274" s="5" t="s">
        <v>2139</v>
      </c>
      <c r="E1274" s="3">
        <v>503</v>
      </c>
      <c r="F1274" s="13">
        <v>42200</v>
      </c>
      <c r="G1274" t="s">
        <v>65</v>
      </c>
      <c r="H1274" s="9">
        <v>40.950000000000003</v>
      </c>
      <c r="I1274" s="5" t="s">
        <v>68</v>
      </c>
      <c r="J1274" s="15">
        <v>42200.029328703706</v>
      </c>
      <c r="K1274" t="str">
        <f t="shared" si="19"/>
        <v>07-2015</v>
      </c>
    </row>
    <row r="1275" spans="3:11" x14ac:dyDescent="0.25">
      <c r="C1275" t="str">
        <f>IF(COUNTBLANK(E1275:J1275) = 6,"",IF(AND(NOT(ISBLANK(E1275)),COUNTBLANK(E1275:J1275) = 5),"3 Delete",IF(ISBLANK(E1275),"2 Add",IF(SHA1Range(E1275:J1275) = "9f9c36ad6c0289968c47bcb6761394765a6fe199","0 Original","1 Modify"))))</f>
        <v>0 Original</v>
      </c>
      <c r="D1275" s="5" t="s">
        <v>2140</v>
      </c>
      <c r="E1275" s="3">
        <v>1139</v>
      </c>
      <c r="F1275" s="13">
        <v>42200</v>
      </c>
      <c r="G1275" t="s">
        <v>221</v>
      </c>
      <c r="H1275" s="9">
        <v>14.98</v>
      </c>
      <c r="I1275" s="5" t="s">
        <v>68</v>
      </c>
      <c r="J1275" s="15">
        <v>42200.356736111113</v>
      </c>
      <c r="K1275" t="str">
        <f t="shared" si="19"/>
        <v>07-2015</v>
      </c>
    </row>
    <row r="1276" spans="3:11" x14ac:dyDescent="0.25">
      <c r="C1276" t="str">
        <f>IF(COUNTBLANK(E1276:J1276) = 6,"",IF(AND(NOT(ISBLANK(E1276)),COUNTBLANK(E1276:J1276) = 5),"3 Delete",IF(ISBLANK(E1276),"2 Add",IF(SHA1Range(E1276:J1276) = "995f4d3665f808484546164b590c33838e966002","0 Original","1 Modify"))))</f>
        <v>0 Original</v>
      </c>
      <c r="D1276" s="5" t="s">
        <v>2141</v>
      </c>
      <c r="E1276" s="3">
        <v>520</v>
      </c>
      <c r="F1276" s="13">
        <v>42200</v>
      </c>
      <c r="G1276" t="s">
        <v>101</v>
      </c>
      <c r="H1276" s="9">
        <v>53.92</v>
      </c>
      <c r="I1276" s="5" t="s">
        <v>68</v>
      </c>
      <c r="J1276" s="15">
        <v>42200.739583333336</v>
      </c>
      <c r="K1276" t="str">
        <f t="shared" si="19"/>
        <v>07-2015</v>
      </c>
    </row>
    <row r="1277" spans="3:11" x14ac:dyDescent="0.25">
      <c r="C1277" t="str">
        <f>IF(COUNTBLANK(E1277:J1277) = 6,"",IF(AND(NOT(ISBLANK(E1277)),COUNTBLANK(E1277:J1277) = 5),"3 Delete",IF(ISBLANK(E1277),"2 Add",IF(SHA1Range(E1277:J1277) = "1ef198a4cd4b11adccab9d827ee3a17c8aa521a6","0 Original","1 Modify"))))</f>
        <v>0 Original</v>
      </c>
      <c r="D1277" s="5" t="s">
        <v>2142</v>
      </c>
      <c r="E1277" s="3">
        <v>603</v>
      </c>
      <c r="F1277" s="13">
        <v>42201</v>
      </c>
      <c r="G1277" t="s">
        <v>341</v>
      </c>
      <c r="H1277" s="9">
        <v>51.93</v>
      </c>
      <c r="I1277" s="5" t="s">
        <v>68</v>
      </c>
      <c r="J1277" s="15">
        <v>42201.115925925929</v>
      </c>
      <c r="K1277" t="str">
        <f t="shared" si="19"/>
        <v>07-2015</v>
      </c>
    </row>
    <row r="1278" spans="3:11" x14ac:dyDescent="0.25">
      <c r="C1278" t="str">
        <f>IF(COUNTBLANK(E1278:J1278) = 6,"",IF(AND(NOT(ISBLANK(E1278)),COUNTBLANK(E1278:J1278) = 5),"3 Delete",IF(ISBLANK(E1278),"2 Add",IF(SHA1Range(E1278:J1278) = "9d19ebeff081d46f5dcc3bb523253530fcaf4b63","0 Original","1 Modify"))))</f>
        <v>0 Original</v>
      </c>
      <c r="D1278" s="5" t="s">
        <v>2143</v>
      </c>
      <c r="E1278" s="3">
        <v>655</v>
      </c>
      <c r="F1278" s="13">
        <v>42202</v>
      </c>
      <c r="G1278" t="s">
        <v>164</v>
      </c>
      <c r="H1278" s="9">
        <v>19.98</v>
      </c>
      <c r="I1278" s="5" t="s">
        <v>68</v>
      </c>
      <c r="J1278" s="15">
        <v>42202.04115740741</v>
      </c>
      <c r="K1278" t="str">
        <f t="shared" si="19"/>
        <v>07-2015</v>
      </c>
    </row>
    <row r="1279" spans="3:11" x14ac:dyDescent="0.25">
      <c r="C1279" t="str">
        <f>IF(COUNTBLANK(E1279:J1279) = 6,"",IF(AND(NOT(ISBLANK(E1279)),COUNTBLANK(E1279:J1279) = 5),"3 Delete",IF(ISBLANK(E1279),"2 Add",IF(SHA1Range(E1279:J1279) = "08d2b4f99e5b0619430751f6dc22729ab33022f2","0 Original","1 Modify"))))</f>
        <v>0 Original</v>
      </c>
      <c r="D1279" s="5" t="s">
        <v>4420</v>
      </c>
      <c r="E1279" s="3">
        <v>71</v>
      </c>
      <c r="F1279" s="13">
        <v>42202</v>
      </c>
      <c r="G1279" t="s">
        <v>227</v>
      </c>
      <c r="H1279" s="9">
        <v>73.91</v>
      </c>
      <c r="I1279" s="5" t="s">
        <v>68</v>
      </c>
      <c r="J1279" s="15">
        <v>42202.095821759256</v>
      </c>
      <c r="K1279" t="str">
        <f t="shared" si="19"/>
        <v>07-2015</v>
      </c>
    </row>
    <row r="1280" spans="3:11" x14ac:dyDescent="0.25">
      <c r="C1280" t="str">
        <f>IF(COUNTBLANK(E1280:J1280) = 6,"",IF(AND(NOT(ISBLANK(E1280)),COUNTBLANK(E1280:J1280) = 5),"3 Delete",IF(ISBLANK(E1280),"2 Add",IF(SHA1Range(E1280:J1280) = "130d9d954d8d9f9d33267be0372847a8e80f6a9b","0 Original","1 Modify"))))</f>
        <v>0 Original</v>
      </c>
      <c r="D1280" s="5" t="s">
        <v>4421</v>
      </c>
      <c r="E1280" s="3">
        <v>84</v>
      </c>
      <c r="F1280" s="13">
        <v>42202</v>
      </c>
      <c r="G1280" t="s">
        <v>224</v>
      </c>
      <c r="H1280" s="9">
        <v>27.97</v>
      </c>
      <c r="I1280" s="5" t="s">
        <v>68</v>
      </c>
      <c r="J1280" s="15">
        <v>42202.205000000002</v>
      </c>
      <c r="K1280" t="str">
        <f t="shared" si="19"/>
        <v>07-2015</v>
      </c>
    </row>
    <row r="1281" spans="3:11" x14ac:dyDescent="0.25">
      <c r="C1281" t="str">
        <f>IF(COUNTBLANK(E1281:J1281) = 6,"",IF(AND(NOT(ISBLANK(E1281)),COUNTBLANK(E1281:J1281) = 5),"3 Delete",IF(ISBLANK(E1281),"2 Add",IF(SHA1Range(E1281:J1281) = "b73b84fcfb3de6f6d22e7a9593aa7de9a6e72fe4","0 Original","1 Modify"))))</f>
        <v>0 Original</v>
      </c>
      <c r="D1281" s="5" t="s">
        <v>2144</v>
      </c>
      <c r="E1281" s="3">
        <v>820</v>
      </c>
      <c r="F1281" s="13">
        <v>42203</v>
      </c>
      <c r="G1281" t="s">
        <v>170</v>
      </c>
      <c r="H1281" s="9">
        <v>20.97</v>
      </c>
      <c r="I1281" s="5" t="s">
        <v>68</v>
      </c>
      <c r="J1281" s="15">
        <v>42203.085416666669</v>
      </c>
      <c r="K1281" t="str">
        <f t="shared" si="19"/>
        <v>07-2015</v>
      </c>
    </row>
    <row r="1282" spans="3:11" x14ac:dyDescent="0.25">
      <c r="C1282" t="str">
        <f>IF(COUNTBLANK(E1282:J1282) = 6,"",IF(AND(NOT(ISBLANK(E1282)),COUNTBLANK(E1282:J1282) = 5),"3 Delete",IF(ISBLANK(E1282),"2 Add",IF(SHA1Range(E1282:J1282) = "377b194acd2529d670d7a3997e94a7cbba27bc9b","0 Original","1 Modify"))))</f>
        <v>0 Original</v>
      </c>
      <c r="D1282" s="5" t="s">
        <v>4422</v>
      </c>
      <c r="E1282" s="3">
        <v>57</v>
      </c>
      <c r="F1282" s="13">
        <v>42203</v>
      </c>
      <c r="G1282" t="s">
        <v>80</v>
      </c>
      <c r="H1282" s="9">
        <v>100.88</v>
      </c>
      <c r="I1282" s="5" t="s">
        <v>68</v>
      </c>
      <c r="J1282" s="15">
        <v>42203.160578703704</v>
      </c>
      <c r="K1282" t="str">
        <f t="shared" si="19"/>
        <v>07-2015</v>
      </c>
    </row>
    <row r="1283" spans="3:11" x14ac:dyDescent="0.25">
      <c r="C1283" t="str">
        <f>IF(COUNTBLANK(E1283:J1283) = 6,"",IF(AND(NOT(ISBLANK(E1283)),COUNTBLANK(E1283:J1283) = 5),"3 Delete",IF(ISBLANK(E1283),"2 Add",IF(SHA1Range(E1283:J1283) = "36c3494d34a28e4fe091714a991efd6143463d87","0 Original","1 Modify"))))</f>
        <v>0 Original</v>
      </c>
      <c r="D1283" s="5" t="s">
        <v>4423</v>
      </c>
      <c r="E1283" s="3">
        <v>108</v>
      </c>
      <c r="F1283" s="13">
        <v>42204</v>
      </c>
      <c r="G1283" t="s">
        <v>119</v>
      </c>
      <c r="H1283" s="9">
        <v>4.99</v>
      </c>
      <c r="I1283" s="5" t="s">
        <v>68</v>
      </c>
      <c r="J1283" s="15">
        <v>42204.27915509259</v>
      </c>
      <c r="K1283" t="str">
        <f t="shared" ref="K1283:K1346" si="20">TEXT(F1283,"mm-yyyy")</f>
        <v>07-2015</v>
      </c>
    </row>
    <row r="1284" spans="3:11" x14ac:dyDescent="0.25">
      <c r="C1284" t="str">
        <f>IF(COUNTBLANK(E1284:J1284) = 6,"",IF(AND(NOT(ISBLANK(E1284)),COUNTBLANK(E1284:J1284) = 5),"3 Delete",IF(ISBLANK(E1284),"2 Add",IF(SHA1Range(E1284:J1284) = "21844b95fdad9fe10edbb2efa0b7d3ad3e4d29e2","0 Original","1 Modify"))))</f>
        <v>0 Original</v>
      </c>
      <c r="D1284" s="5" t="s">
        <v>2145</v>
      </c>
      <c r="E1284" s="3">
        <v>936</v>
      </c>
      <c r="F1284" s="13">
        <v>42204</v>
      </c>
      <c r="G1284" t="s">
        <v>272</v>
      </c>
      <c r="H1284" s="9">
        <v>17.98</v>
      </c>
      <c r="I1284" s="5" t="s">
        <v>68</v>
      </c>
      <c r="J1284" s="15">
        <v>42204.543182870373</v>
      </c>
      <c r="K1284" t="str">
        <f t="shared" si="20"/>
        <v>07-2015</v>
      </c>
    </row>
    <row r="1285" spans="3:11" x14ac:dyDescent="0.25">
      <c r="C1285" t="str">
        <f>IF(COUNTBLANK(E1285:J1285) = 6,"",IF(AND(NOT(ISBLANK(E1285)),COUNTBLANK(E1285:J1285) = 5),"3 Delete",IF(ISBLANK(E1285),"2 Add",IF(SHA1Range(E1285:J1285) = "2c13f4b1f52df4d52d00411b3e2f1856736fc224","0 Original","1 Modify"))))</f>
        <v>0 Original</v>
      </c>
      <c r="D1285" s="5" t="s">
        <v>2146</v>
      </c>
      <c r="E1285" s="3">
        <v>992</v>
      </c>
      <c r="F1285" s="13">
        <v>42204</v>
      </c>
      <c r="G1285" t="s">
        <v>245</v>
      </c>
      <c r="H1285" s="9">
        <v>43.95</v>
      </c>
      <c r="I1285" s="5" t="s">
        <v>68</v>
      </c>
      <c r="J1285" s="15">
        <v>42204.563078703701</v>
      </c>
      <c r="K1285" t="str">
        <f t="shared" si="20"/>
        <v>07-2015</v>
      </c>
    </row>
    <row r="1286" spans="3:11" x14ac:dyDescent="0.25">
      <c r="C1286" t="str">
        <f>IF(COUNTBLANK(E1286:J1286) = 6,"",IF(AND(NOT(ISBLANK(E1286)),COUNTBLANK(E1286:J1286) = 5),"3 Delete",IF(ISBLANK(E1286),"2 Add",IF(SHA1Range(E1286:J1286) = "286635c36028c18e1ebd34f384a1c7ba633d6f1b","0 Original","1 Modify"))))</f>
        <v>0 Original</v>
      </c>
      <c r="D1286" s="5" t="s">
        <v>2147</v>
      </c>
      <c r="E1286" s="3">
        <v>575</v>
      </c>
      <c r="F1286" s="13">
        <v>42204</v>
      </c>
      <c r="G1286" t="s">
        <v>305</v>
      </c>
      <c r="H1286" s="9">
        <v>55.93</v>
      </c>
      <c r="I1286" s="5" t="s">
        <v>68</v>
      </c>
      <c r="J1286" s="15">
        <v>42204.698831018519</v>
      </c>
      <c r="K1286" t="str">
        <f t="shared" si="20"/>
        <v>07-2015</v>
      </c>
    </row>
    <row r="1287" spans="3:11" x14ac:dyDescent="0.25">
      <c r="C1287" t="str">
        <f>IF(COUNTBLANK(E1287:J1287) = 6,"",IF(AND(NOT(ISBLANK(E1287)),COUNTBLANK(E1287:J1287) = 5),"3 Delete",IF(ISBLANK(E1287),"2 Add",IF(SHA1Range(E1287:J1287) = "8db49348219edb0a3f63f3d342c6bafe8ef5d6b3","0 Original","1 Modify"))))</f>
        <v>0 Original</v>
      </c>
      <c r="D1287" s="5" t="s">
        <v>4141</v>
      </c>
      <c r="E1287" s="3">
        <v>276</v>
      </c>
      <c r="F1287" s="13">
        <v>42205</v>
      </c>
      <c r="G1287" t="s">
        <v>89</v>
      </c>
      <c r="H1287" s="9">
        <v>68.92</v>
      </c>
      <c r="I1287" s="5" t="s">
        <v>68</v>
      </c>
      <c r="J1287" s="15">
        <v>42205.072152777779</v>
      </c>
      <c r="K1287" t="str">
        <f t="shared" si="20"/>
        <v>07-2015</v>
      </c>
    </row>
    <row r="1288" spans="3:11" x14ac:dyDescent="0.25">
      <c r="C1288" t="str">
        <f>IF(COUNTBLANK(E1288:J1288) = 6,"",IF(AND(NOT(ISBLANK(E1288)),COUNTBLANK(E1288:J1288) = 5),"3 Delete",IF(ISBLANK(E1288),"2 Add",IF(SHA1Range(E1288:J1288) = "d3210a3b325aae57ae70a708651c0c1717d0d5cf","0 Original","1 Modify"))))</f>
        <v>0 Original</v>
      </c>
      <c r="D1288" s="5" t="s">
        <v>2148</v>
      </c>
      <c r="E1288" s="3">
        <v>1055</v>
      </c>
      <c r="F1288" s="13">
        <v>42205</v>
      </c>
      <c r="G1288" t="s">
        <v>170</v>
      </c>
      <c r="H1288" s="9">
        <v>39.950000000000003</v>
      </c>
      <c r="I1288" s="5" t="s">
        <v>68</v>
      </c>
      <c r="J1288" s="15">
        <v>42205.418541666666</v>
      </c>
      <c r="K1288" t="str">
        <f t="shared" si="20"/>
        <v>07-2015</v>
      </c>
    </row>
    <row r="1289" spans="3:11" x14ac:dyDescent="0.25">
      <c r="C1289" t="str">
        <f>IF(COUNTBLANK(E1289:J1289) = 6,"",IF(AND(NOT(ISBLANK(E1289)),COUNTBLANK(E1289:J1289) = 5),"3 Delete",IF(ISBLANK(E1289),"2 Add",IF(SHA1Range(E1289:J1289) = "4afa64ce091d530375001904fba2c0dbc7d016b3","0 Original","1 Modify"))))</f>
        <v>0 Original</v>
      </c>
      <c r="D1289" s="5" t="s">
        <v>4140</v>
      </c>
      <c r="E1289" s="3">
        <v>296</v>
      </c>
      <c r="F1289" s="13">
        <v>42205</v>
      </c>
      <c r="G1289" t="s">
        <v>119</v>
      </c>
      <c r="H1289" s="9">
        <v>12.98</v>
      </c>
      <c r="I1289" s="5" t="s">
        <v>68</v>
      </c>
      <c r="J1289" s="15">
        <v>42205.663460648146</v>
      </c>
      <c r="K1289" t="str">
        <f t="shared" si="20"/>
        <v>07-2015</v>
      </c>
    </row>
    <row r="1290" spans="3:11" x14ac:dyDescent="0.25">
      <c r="C1290" t="str">
        <f>IF(COUNTBLANK(E1290:J1290) = 6,"",IF(AND(NOT(ISBLANK(E1290)),COUNTBLANK(E1290:J1290) = 5),"3 Delete",IF(ISBLANK(E1290),"2 Add",IF(SHA1Range(E1290:J1290) = "fcc6e9a2bef253027783485da917693ae8bc3e74","0 Original","1 Modify"))))</f>
        <v>0 Original</v>
      </c>
      <c r="D1290" s="5" t="s">
        <v>2149</v>
      </c>
      <c r="E1290" s="3">
        <v>806</v>
      </c>
      <c r="F1290" s="13">
        <v>42205</v>
      </c>
      <c r="G1290" t="s">
        <v>242</v>
      </c>
      <c r="H1290" s="9">
        <v>106.87</v>
      </c>
      <c r="I1290" s="5" t="s">
        <v>68</v>
      </c>
      <c r="J1290" s="15">
        <v>42205.693449074075</v>
      </c>
      <c r="K1290" t="str">
        <f t="shared" si="20"/>
        <v>07-2015</v>
      </c>
    </row>
    <row r="1291" spans="3:11" x14ac:dyDescent="0.25">
      <c r="C1291" t="str">
        <f>IF(COUNTBLANK(E1291:J1291) = 6,"",IF(AND(NOT(ISBLANK(E1291)),COUNTBLANK(E1291:J1291) = 5),"3 Delete",IF(ISBLANK(E1291),"2 Add",IF(SHA1Range(E1291:J1291) = "bab02641ed04e92aba71e507703154cbfc5e3729","0 Original","1 Modify"))))</f>
        <v>0 Original</v>
      </c>
      <c r="D1291" s="5" t="s">
        <v>2150</v>
      </c>
      <c r="E1291" s="3">
        <v>716</v>
      </c>
      <c r="F1291" s="13">
        <v>42207</v>
      </c>
      <c r="G1291" t="s">
        <v>302</v>
      </c>
      <c r="H1291" s="9">
        <v>5.99</v>
      </c>
      <c r="I1291" s="5" t="s">
        <v>68</v>
      </c>
      <c r="J1291" s="15">
        <v>42207.629282407404</v>
      </c>
      <c r="K1291" t="str">
        <f t="shared" si="20"/>
        <v>07-2015</v>
      </c>
    </row>
    <row r="1292" spans="3:11" x14ac:dyDescent="0.25">
      <c r="C1292" t="str">
        <f>IF(COUNTBLANK(E1292:J1292) = 6,"",IF(AND(NOT(ISBLANK(E1292)),COUNTBLANK(E1292:J1292) = 5),"3 Delete",IF(ISBLANK(E1292),"2 Add",IF(SHA1Range(E1292:J1292) = "36d04113483552b04135d33d216c50e68a2558ca","0 Original","1 Modify"))))</f>
        <v>0 Original</v>
      </c>
      <c r="D1292" s="5" t="s">
        <v>4424</v>
      </c>
      <c r="E1292" s="3">
        <v>109</v>
      </c>
      <c r="F1292" s="13">
        <v>42209</v>
      </c>
      <c r="G1292" t="s">
        <v>308</v>
      </c>
      <c r="H1292" s="9">
        <v>32.96</v>
      </c>
      <c r="I1292" s="5" t="s">
        <v>68</v>
      </c>
      <c r="J1292" s="15">
        <v>42209.387083333335</v>
      </c>
      <c r="K1292" t="str">
        <f t="shared" si="20"/>
        <v>07-2015</v>
      </c>
    </row>
    <row r="1293" spans="3:11" x14ac:dyDescent="0.25">
      <c r="C1293" t="str">
        <f>IF(COUNTBLANK(E1293:J1293) = 6,"",IF(AND(NOT(ISBLANK(E1293)),COUNTBLANK(E1293:J1293) = 5),"3 Delete",IF(ISBLANK(E1293),"2 Add",IF(SHA1Range(E1293:J1293) = "648d3453fc74150a0f54813f6dbfb84f2413eb0e","0 Original","1 Modify"))))</f>
        <v>0 Original</v>
      </c>
      <c r="D1293" s="5" t="s">
        <v>4425</v>
      </c>
      <c r="E1293" s="3">
        <v>235</v>
      </c>
      <c r="F1293" s="13">
        <v>42209</v>
      </c>
      <c r="G1293" t="s">
        <v>308</v>
      </c>
      <c r="H1293" s="9">
        <v>44.95</v>
      </c>
      <c r="I1293" s="5" t="s">
        <v>68</v>
      </c>
      <c r="J1293" s="15">
        <v>42209.844490740739</v>
      </c>
      <c r="K1293" t="str">
        <f t="shared" si="20"/>
        <v>07-2015</v>
      </c>
    </row>
    <row r="1294" spans="3:11" x14ac:dyDescent="0.25">
      <c r="C1294" t="str">
        <f>IF(COUNTBLANK(E1294:J1294) = 6,"",IF(AND(NOT(ISBLANK(E1294)),COUNTBLANK(E1294:J1294) = 5),"3 Delete",IF(ISBLANK(E1294),"2 Add",IF(SHA1Range(E1294:J1294) = "ed0b36cc180d019594e15d50e416d168bd3943e4","0 Original","1 Modify"))))</f>
        <v>0 Original</v>
      </c>
      <c r="D1294" s="5" t="s">
        <v>4426</v>
      </c>
      <c r="E1294" s="3">
        <v>31</v>
      </c>
      <c r="F1294" s="13">
        <v>42209</v>
      </c>
      <c r="G1294" t="s">
        <v>239</v>
      </c>
      <c r="H1294" s="9">
        <v>32.94</v>
      </c>
      <c r="I1294" s="5" t="s">
        <v>68</v>
      </c>
      <c r="J1294" s="15">
        <v>42209.95212962963</v>
      </c>
      <c r="K1294" t="str">
        <f t="shared" si="20"/>
        <v>07-2015</v>
      </c>
    </row>
    <row r="1295" spans="3:11" x14ac:dyDescent="0.25">
      <c r="C1295" t="str">
        <f>IF(COUNTBLANK(E1295:J1295) = 6,"",IF(AND(NOT(ISBLANK(E1295)),COUNTBLANK(E1295:J1295) = 5),"3 Delete",IF(ISBLANK(E1295),"2 Add",IF(SHA1Range(E1295:J1295) = "f2a4eb19e28e9027ef6c396415566c325e34ec2c","0 Original","1 Modify"))))</f>
        <v>0 Original</v>
      </c>
      <c r="D1295" s="5" t="s">
        <v>2151</v>
      </c>
      <c r="E1295" s="3">
        <v>842</v>
      </c>
      <c r="F1295" s="13">
        <v>42210</v>
      </c>
      <c r="G1295" t="s">
        <v>221</v>
      </c>
      <c r="H1295" s="9">
        <v>15.98</v>
      </c>
      <c r="I1295" s="5" t="s">
        <v>68</v>
      </c>
      <c r="J1295" s="15">
        <v>42210.652974537035</v>
      </c>
      <c r="K1295" t="str">
        <f t="shared" si="20"/>
        <v>07-2015</v>
      </c>
    </row>
    <row r="1296" spans="3:11" x14ac:dyDescent="0.25">
      <c r="C1296" t="str">
        <f>IF(COUNTBLANK(E1296:J1296) = 6,"",IF(AND(NOT(ISBLANK(E1296)),COUNTBLANK(E1296:J1296) = 5),"3 Delete",IF(ISBLANK(E1296),"2 Add",IF(SHA1Range(E1296:J1296) = "52361d9d22f4fed27dc4b12c962da05f0da8ef66","0 Original","1 Modify"))))</f>
        <v>0 Original</v>
      </c>
      <c r="D1296" s="5" t="s">
        <v>4427</v>
      </c>
      <c r="E1296" s="3">
        <v>28</v>
      </c>
      <c r="F1296" s="13">
        <v>42210</v>
      </c>
      <c r="G1296" t="s">
        <v>116</v>
      </c>
      <c r="H1296" s="9">
        <v>20.97</v>
      </c>
      <c r="I1296" s="5" t="s">
        <v>68</v>
      </c>
      <c r="J1296" s="15">
        <v>42210.701562499999</v>
      </c>
      <c r="K1296" t="str">
        <f t="shared" si="20"/>
        <v>07-2015</v>
      </c>
    </row>
    <row r="1297" spans="3:11" x14ac:dyDescent="0.25">
      <c r="C1297" t="str">
        <f>IF(COUNTBLANK(E1297:J1297) = 6,"",IF(AND(NOT(ISBLANK(E1297)),COUNTBLANK(E1297:J1297) = 5),"3 Delete",IF(ISBLANK(E1297),"2 Add",IF(SHA1Range(E1297:J1297) = "4168b1802ab9ec859a149a6b625623b2fe72a0e0","0 Original","1 Modify"))))</f>
        <v>0 Original</v>
      </c>
      <c r="D1297" s="5" t="s">
        <v>2152</v>
      </c>
      <c r="E1297" s="3">
        <v>1030</v>
      </c>
      <c r="F1297" s="13">
        <v>42212</v>
      </c>
      <c r="G1297" t="s">
        <v>245</v>
      </c>
      <c r="H1297" s="9">
        <v>24.97</v>
      </c>
      <c r="I1297" s="5" t="s">
        <v>68</v>
      </c>
      <c r="J1297" s="15">
        <v>42212.147118055553</v>
      </c>
      <c r="K1297" t="str">
        <f t="shared" si="20"/>
        <v>07-2015</v>
      </c>
    </row>
    <row r="1298" spans="3:11" x14ac:dyDescent="0.25">
      <c r="C1298" t="str">
        <f>IF(COUNTBLANK(E1298:J1298) = 6,"",IF(AND(NOT(ISBLANK(E1298)),COUNTBLANK(E1298:J1298) = 5),"3 Delete",IF(ISBLANK(E1298),"2 Add",IF(SHA1Range(E1298:J1298) = "4382de0d41e725cbd755171b551c57a5f0774e0c","0 Original","1 Modify"))))</f>
        <v>0 Original</v>
      </c>
      <c r="D1298" s="5" t="s">
        <v>4116</v>
      </c>
      <c r="E1298" s="3">
        <v>341</v>
      </c>
      <c r="F1298" s="13">
        <v>42212</v>
      </c>
      <c r="G1298" t="s">
        <v>284</v>
      </c>
      <c r="H1298" s="9">
        <v>60.93</v>
      </c>
      <c r="I1298" s="5" t="s">
        <v>68</v>
      </c>
      <c r="J1298" s="15">
        <v>42212.215682870374</v>
      </c>
      <c r="K1298" t="str">
        <f t="shared" si="20"/>
        <v>07-2015</v>
      </c>
    </row>
    <row r="1299" spans="3:11" x14ac:dyDescent="0.25">
      <c r="C1299" t="str">
        <f>IF(COUNTBLANK(E1299:J1299) = 6,"",IF(AND(NOT(ISBLANK(E1299)),COUNTBLANK(E1299:J1299) = 5),"3 Delete",IF(ISBLANK(E1299),"2 Add",IF(SHA1Range(E1299:J1299) = "65ad61daa99dd8352785a42918a9600d3cd80080","0 Original","1 Modify"))))</f>
        <v>0 Original</v>
      </c>
      <c r="D1299" s="5" t="s">
        <v>4428</v>
      </c>
      <c r="E1299" s="3">
        <v>184</v>
      </c>
      <c r="F1299" s="13">
        <v>42213</v>
      </c>
      <c r="G1299" t="s">
        <v>326</v>
      </c>
      <c r="H1299" s="9">
        <v>17.98</v>
      </c>
      <c r="I1299" s="5" t="s">
        <v>68</v>
      </c>
      <c r="J1299" s="15">
        <v>42213.590300925927</v>
      </c>
      <c r="K1299" t="str">
        <f t="shared" si="20"/>
        <v>07-2015</v>
      </c>
    </row>
    <row r="1300" spans="3:11" x14ac:dyDescent="0.25">
      <c r="C1300" t="str">
        <f>IF(COUNTBLANK(E1300:J1300) = 6,"",IF(AND(NOT(ISBLANK(E1300)),COUNTBLANK(E1300:J1300) = 5),"3 Delete",IF(ISBLANK(E1300),"2 Add",IF(SHA1Range(E1300:J1300) = "b22fa9b488162355cdcdaf857211dea5a1292446","0 Original","1 Modify"))))</f>
        <v>0 Original</v>
      </c>
      <c r="D1300" s="5" t="s">
        <v>2153</v>
      </c>
      <c r="E1300" s="3">
        <v>1066</v>
      </c>
      <c r="F1300" s="13">
        <v>42213</v>
      </c>
      <c r="G1300" t="s">
        <v>134</v>
      </c>
      <c r="H1300" s="9">
        <v>29.96</v>
      </c>
      <c r="I1300" s="5" t="s">
        <v>68</v>
      </c>
      <c r="J1300" s="15">
        <v>42213.830960648149</v>
      </c>
      <c r="K1300" t="str">
        <f t="shared" si="20"/>
        <v>07-2015</v>
      </c>
    </row>
    <row r="1301" spans="3:11" x14ac:dyDescent="0.25">
      <c r="C1301" t="str">
        <f>IF(COUNTBLANK(E1301:J1301) = 6,"",IF(AND(NOT(ISBLANK(E1301)),COUNTBLANK(E1301:J1301) = 5),"3 Delete",IF(ISBLANK(E1301),"2 Add",IF(SHA1Range(E1301:J1301) = "ad40cf0abb2b1af852bc511ffe70276984104223","0 Original","1 Modify"))))</f>
        <v>0 Original</v>
      </c>
      <c r="D1301" s="5" t="s">
        <v>2154</v>
      </c>
      <c r="E1301" s="3">
        <v>931</v>
      </c>
      <c r="F1301" s="13">
        <v>42214</v>
      </c>
      <c r="G1301" t="s">
        <v>302</v>
      </c>
      <c r="H1301" s="9">
        <v>22.97</v>
      </c>
      <c r="I1301" s="5" t="s">
        <v>68</v>
      </c>
      <c r="J1301" s="15">
        <v>42214.446180555555</v>
      </c>
      <c r="K1301" t="str">
        <f t="shared" si="20"/>
        <v>07-2015</v>
      </c>
    </row>
    <row r="1302" spans="3:11" x14ac:dyDescent="0.25">
      <c r="C1302" t="str">
        <f>IF(COUNTBLANK(E1302:J1302) = 6,"",IF(AND(NOT(ISBLANK(E1302)),COUNTBLANK(E1302:J1302) = 5),"3 Delete",IF(ISBLANK(E1302),"2 Add",IF(SHA1Range(E1302:J1302) = "afb938972342d54ecaae12b35d52847240079afc","0 Original","1 Modify"))))</f>
        <v>0 Original</v>
      </c>
      <c r="D1302" s="5" t="s">
        <v>2155</v>
      </c>
      <c r="E1302" s="3">
        <v>771</v>
      </c>
      <c r="F1302" s="13">
        <v>42215</v>
      </c>
      <c r="G1302" t="s">
        <v>260</v>
      </c>
      <c r="H1302" s="9">
        <v>19.98</v>
      </c>
      <c r="I1302" s="5" t="s">
        <v>68</v>
      </c>
      <c r="J1302" s="15">
        <v>42215.181180555555</v>
      </c>
      <c r="K1302" t="str">
        <f t="shared" si="20"/>
        <v>07-2015</v>
      </c>
    </row>
    <row r="1303" spans="3:11" x14ac:dyDescent="0.25">
      <c r="C1303" t="str">
        <f>IF(COUNTBLANK(E1303:J1303) = 6,"",IF(AND(NOT(ISBLANK(E1303)),COUNTBLANK(E1303:J1303) = 5),"3 Delete",IF(ISBLANK(E1303),"2 Add",IF(SHA1Range(E1303:J1303) = "bf456d9946fb8c095d83ca398220f5933f4fd054","0 Original","1 Modify"))))</f>
        <v>0 Original</v>
      </c>
      <c r="D1303" s="5" t="s">
        <v>2156</v>
      </c>
      <c r="E1303" s="3">
        <v>1165</v>
      </c>
      <c r="F1303" s="13">
        <v>42215</v>
      </c>
      <c r="G1303" t="s">
        <v>170</v>
      </c>
      <c r="H1303" s="9">
        <v>22.96</v>
      </c>
      <c r="I1303" s="5" t="s">
        <v>68</v>
      </c>
      <c r="J1303" s="15">
        <v>42215.711909722224</v>
      </c>
      <c r="K1303" t="str">
        <f t="shared" si="20"/>
        <v>07-2015</v>
      </c>
    </row>
    <row r="1304" spans="3:11" x14ac:dyDescent="0.25">
      <c r="C1304" t="str">
        <f>IF(COUNTBLANK(E1304:J1304) = 6,"",IF(AND(NOT(ISBLANK(E1304)),COUNTBLANK(E1304:J1304) = 5),"3 Delete",IF(ISBLANK(E1304),"2 Add",IF(SHA1Range(E1304:J1304) = "803cf4a6299b265cf53b45f46154782380f1c9b6","0 Original","1 Modify"))))</f>
        <v>0 Original</v>
      </c>
      <c r="D1304" s="5" t="s">
        <v>2157</v>
      </c>
      <c r="E1304" s="3">
        <v>1129</v>
      </c>
      <c r="F1304" s="13">
        <v>42215</v>
      </c>
      <c r="G1304" t="s">
        <v>134</v>
      </c>
      <c r="H1304" s="9">
        <v>36.950000000000003</v>
      </c>
      <c r="I1304" s="5" t="s">
        <v>68</v>
      </c>
      <c r="J1304" s="15">
        <v>42215.784525462965</v>
      </c>
      <c r="K1304" t="str">
        <f t="shared" si="20"/>
        <v>07-2015</v>
      </c>
    </row>
    <row r="1305" spans="3:11" x14ac:dyDescent="0.25">
      <c r="C1305" t="str">
        <f>IF(COUNTBLANK(E1305:J1305) = 6,"",IF(AND(NOT(ISBLANK(E1305)),COUNTBLANK(E1305:J1305) = 5),"3 Delete",IF(ISBLANK(E1305),"2 Add",IF(SHA1Range(E1305:J1305) = "4ef4c585b9f93b651d15ad21151d7bfe5efd0f9b","0 Original","1 Modify"))))</f>
        <v>0 Original</v>
      </c>
      <c r="D1305" s="5" t="s">
        <v>2158</v>
      </c>
      <c r="E1305" s="3">
        <v>879</v>
      </c>
      <c r="F1305" s="13">
        <v>42215</v>
      </c>
      <c r="G1305" t="s">
        <v>221</v>
      </c>
      <c r="H1305" s="9">
        <v>48.94</v>
      </c>
      <c r="I1305" s="5" t="s">
        <v>68</v>
      </c>
      <c r="J1305" s="15">
        <v>42215.796967592592</v>
      </c>
      <c r="K1305" t="str">
        <f t="shared" si="20"/>
        <v>07-2015</v>
      </c>
    </row>
    <row r="1306" spans="3:11" x14ac:dyDescent="0.25">
      <c r="C1306" t="str">
        <f>IF(COUNTBLANK(E1306:J1306) = 6,"",IF(AND(NOT(ISBLANK(E1306)),COUNTBLANK(E1306:J1306) = 5),"3 Delete",IF(ISBLANK(E1306),"2 Add",IF(SHA1Range(E1306:J1306) = "deb4968dae82be1f869f2a4b2dcfceef6b52d6c5","0 Original","1 Modify"))))</f>
        <v>0 Original</v>
      </c>
      <c r="D1306" s="5" t="s">
        <v>2159</v>
      </c>
      <c r="E1306" s="3">
        <v>1086</v>
      </c>
      <c r="F1306" s="13">
        <v>42216</v>
      </c>
      <c r="G1306" t="s">
        <v>245</v>
      </c>
      <c r="H1306" s="9">
        <v>22.97</v>
      </c>
      <c r="I1306" s="5" t="s">
        <v>68</v>
      </c>
      <c r="J1306" s="15">
        <v>42216.174479166664</v>
      </c>
      <c r="K1306" t="str">
        <f t="shared" si="20"/>
        <v>07-2015</v>
      </c>
    </row>
    <row r="1307" spans="3:11" x14ac:dyDescent="0.25">
      <c r="C1307" t="str">
        <f>IF(COUNTBLANK(E1307:J1307) = 6,"",IF(AND(NOT(ISBLANK(E1307)),COUNTBLANK(E1307:J1307) = 5),"3 Delete",IF(ISBLANK(E1307),"2 Add",IF(SHA1Range(E1307:J1307) = "36700cd1cd8b23ec0704329d25763e25bc46a3b7","0 Original","1 Modify"))))</f>
        <v>0 Original</v>
      </c>
      <c r="D1307" s="5" t="s">
        <v>2160</v>
      </c>
      <c r="E1307" s="3">
        <v>601</v>
      </c>
      <c r="F1307" s="13">
        <v>42216</v>
      </c>
      <c r="G1307" t="s">
        <v>248</v>
      </c>
      <c r="H1307" s="9">
        <v>6.99</v>
      </c>
      <c r="I1307" s="5" t="s">
        <v>68</v>
      </c>
      <c r="J1307" s="15">
        <v>42216.839062500003</v>
      </c>
      <c r="K1307" t="str">
        <f t="shared" si="20"/>
        <v>07-2015</v>
      </c>
    </row>
    <row r="1308" spans="3:11" x14ac:dyDescent="0.25">
      <c r="C1308" t="str">
        <f>IF(COUNTBLANK(E1308:J1308) = 6,"",IF(AND(NOT(ISBLANK(E1308)),COUNTBLANK(E1308:J1308) = 5),"3 Delete",IF(ISBLANK(E1308),"2 Add",IF(SHA1Range(E1308:J1308) = "c9fa4fce62fb231b1854aa7f9d77596e19926c29","0 Original","1 Modify"))))</f>
        <v>0 Original</v>
      </c>
      <c r="D1308" s="5" t="s">
        <v>2161</v>
      </c>
      <c r="E1308" s="3">
        <v>703</v>
      </c>
      <c r="F1308" s="13">
        <v>42216</v>
      </c>
      <c r="G1308" t="s">
        <v>242</v>
      </c>
      <c r="H1308" s="9">
        <v>30.95</v>
      </c>
      <c r="I1308" s="5" t="s">
        <v>68</v>
      </c>
      <c r="J1308" s="15">
        <v>42216.930879629632</v>
      </c>
      <c r="K1308" t="str">
        <f t="shared" si="20"/>
        <v>07-2015</v>
      </c>
    </row>
    <row r="1309" spans="3:11" x14ac:dyDescent="0.25">
      <c r="C1309" t="str">
        <f>IF(COUNTBLANK(E1309:J1309) = 6,"",IF(AND(NOT(ISBLANK(E1309)),COUNTBLANK(E1309:J1309) = 5),"3 Delete",IF(ISBLANK(E1309),"2 Add",IF(SHA1Range(E1309:J1309) = "206da35418b47b43ce064f00b5698b5ce6d14eda","0 Original","1 Modify"))))</f>
        <v>0 Original</v>
      </c>
      <c r="D1309" s="5" t="s">
        <v>4429</v>
      </c>
      <c r="E1309" s="3">
        <v>121</v>
      </c>
      <c r="F1309" s="13">
        <v>42217</v>
      </c>
      <c r="G1309" t="s">
        <v>89</v>
      </c>
      <c r="H1309" s="9">
        <v>33.96</v>
      </c>
      <c r="I1309" s="5" t="s">
        <v>68</v>
      </c>
      <c r="J1309" s="15">
        <v>42217.069016203706</v>
      </c>
      <c r="K1309" t="str">
        <f t="shared" si="20"/>
        <v>08-2015</v>
      </c>
    </row>
    <row r="1310" spans="3:11" x14ac:dyDescent="0.25">
      <c r="C1310" t="str">
        <f>IF(COUNTBLANK(E1310:J1310) = 6,"",IF(AND(NOT(ISBLANK(E1310)),COUNTBLANK(E1310:J1310) = 5),"3 Delete",IF(ISBLANK(E1310),"2 Add",IF(SHA1Range(E1310:J1310) = "9ed0b8855a5cd1464d45c8818bc9a12920860eeb","0 Original","1 Modify"))))</f>
        <v>0 Original</v>
      </c>
      <c r="D1310" s="5" t="s">
        <v>4139</v>
      </c>
      <c r="E1310" s="3">
        <v>34</v>
      </c>
      <c r="F1310" s="13">
        <v>42217</v>
      </c>
      <c r="G1310" t="s">
        <v>363</v>
      </c>
      <c r="H1310" s="9">
        <v>27.95</v>
      </c>
      <c r="I1310" s="5" t="s">
        <v>68</v>
      </c>
      <c r="J1310" s="15">
        <v>42217.196446759262</v>
      </c>
      <c r="K1310" t="str">
        <f t="shared" si="20"/>
        <v>08-2015</v>
      </c>
    </row>
    <row r="1311" spans="3:11" x14ac:dyDescent="0.25">
      <c r="C1311" t="str">
        <f>IF(COUNTBLANK(E1311:J1311) = 6,"",IF(AND(NOT(ISBLANK(E1311)),COUNTBLANK(E1311:J1311) = 5),"3 Delete",IF(ISBLANK(E1311),"2 Add",IF(SHA1Range(E1311:J1311) = "e4089fddb49a0fb297784e5558b6e73373f29803","0 Original","1 Modify"))))</f>
        <v>0 Original</v>
      </c>
      <c r="D1311" s="5" t="s">
        <v>2162</v>
      </c>
      <c r="E1311" s="3">
        <v>613</v>
      </c>
      <c r="F1311" s="13">
        <v>42218</v>
      </c>
      <c r="G1311" t="s">
        <v>137</v>
      </c>
      <c r="H1311" s="9">
        <v>19.97</v>
      </c>
      <c r="I1311" s="5" t="s">
        <v>68</v>
      </c>
      <c r="J1311" s="15">
        <v>42218.903993055559</v>
      </c>
      <c r="K1311" t="str">
        <f t="shared" si="20"/>
        <v>08-2015</v>
      </c>
    </row>
    <row r="1312" spans="3:11" x14ac:dyDescent="0.25">
      <c r="C1312" t="str">
        <f>IF(COUNTBLANK(E1312:J1312) = 6,"",IF(AND(NOT(ISBLANK(E1312)),COUNTBLANK(E1312:J1312) = 5),"3 Delete",IF(ISBLANK(E1312),"2 Add",IF(SHA1Range(E1312:J1312) = "39a69841333267c8a6aed0c09d13b9dc5fb30791","0 Original","1 Modify"))))</f>
        <v>0 Original</v>
      </c>
      <c r="D1312" s="5" t="s">
        <v>4430</v>
      </c>
      <c r="E1312" s="3">
        <v>186</v>
      </c>
      <c r="F1312" s="13">
        <v>42219</v>
      </c>
      <c r="G1312" t="s">
        <v>360</v>
      </c>
      <c r="H1312" s="9">
        <v>17.97</v>
      </c>
      <c r="I1312" s="5" t="s">
        <v>68</v>
      </c>
      <c r="J1312" s="15">
        <v>42219.447893518518</v>
      </c>
      <c r="K1312" t="str">
        <f t="shared" si="20"/>
        <v>08-2015</v>
      </c>
    </row>
    <row r="1313" spans="3:11" x14ac:dyDescent="0.25">
      <c r="C1313" t="str">
        <f>IF(COUNTBLANK(E1313:J1313) = 6,"",IF(AND(NOT(ISBLANK(E1313)),COUNTBLANK(E1313:J1313) = 5),"3 Delete",IF(ISBLANK(E1313),"2 Add",IF(SHA1Range(E1313:J1313) = "88e5a7a1cce3f67e494ab5505cd493f88d566a5b","0 Original","1 Modify"))))</f>
        <v>0 Original</v>
      </c>
      <c r="D1313" s="5" t="s">
        <v>2163</v>
      </c>
      <c r="E1313" s="3">
        <v>561</v>
      </c>
      <c r="F1313" s="13">
        <v>42219</v>
      </c>
      <c r="G1313" t="s">
        <v>281</v>
      </c>
      <c r="H1313" s="9">
        <v>14.98</v>
      </c>
      <c r="I1313" s="5" t="s">
        <v>68</v>
      </c>
      <c r="J1313" s="15">
        <v>42219.65965277778</v>
      </c>
      <c r="K1313" t="str">
        <f t="shared" si="20"/>
        <v>08-2015</v>
      </c>
    </row>
    <row r="1314" spans="3:11" x14ac:dyDescent="0.25">
      <c r="C1314" t="str">
        <f>IF(COUNTBLANK(E1314:J1314) = 6,"",IF(AND(NOT(ISBLANK(E1314)),COUNTBLANK(E1314:J1314) = 5),"3 Delete",IF(ISBLANK(E1314),"2 Add",IF(SHA1Range(E1314:J1314) = "56e9ebfc7d593ad895bf0bb1facc67cd8273e91d","0 Original","1 Modify"))))</f>
        <v>0 Original</v>
      </c>
      <c r="D1314" s="5" t="s">
        <v>2164</v>
      </c>
      <c r="E1314" s="3">
        <v>1016</v>
      </c>
      <c r="F1314" s="13">
        <v>42219</v>
      </c>
      <c r="G1314" t="s">
        <v>242</v>
      </c>
      <c r="H1314" s="9">
        <v>37.950000000000003</v>
      </c>
      <c r="I1314" s="5" t="s">
        <v>68</v>
      </c>
      <c r="J1314" s="15">
        <v>42219.806979166664</v>
      </c>
      <c r="K1314" t="str">
        <f t="shared" si="20"/>
        <v>08-2015</v>
      </c>
    </row>
    <row r="1315" spans="3:11" x14ac:dyDescent="0.25">
      <c r="C1315" t="str">
        <f>IF(COUNTBLANK(E1315:J1315) = 6,"",IF(AND(NOT(ISBLANK(E1315)),COUNTBLANK(E1315:J1315) = 5),"3 Delete",IF(ISBLANK(E1315),"2 Add",IF(SHA1Range(E1315:J1315) = "ee482c680cadef1c6779e47828b0d963f572bd1b","0 Original","1 Modify"))))</f>
        <v>0 Original</v>
      </c>
      <c r="D1315" s="5" t="s">
        <v>2165</v>
      </c>
      <c r="E1315" s="3">
        <v>176</v>
      </c>
      <c r="F1315" s="13">
        <v>42219</v>
      </c>
      <c r="G1315" t="s">
        <v>284</v>
      </c>
      <c r="H1315" s="9">
        <v>26.96</v>
      </c>
      <c r="I1315" s="5" t="s">
        <v>68</v>
      </c>
      <c r="J1315" s="15">
        <v>42219.928437499999</v>
      </c>
      <c r="K1315" t="str">
        <f t="shared" si="20"/>
        <v>08-2015</v>
      </c>
    </row>
    <row r="1316" spans="3:11" x14ac:dyDescent="0.25">
      <c r="C1316" t="str">
        <f>IF(COUNTBLANK(E1316:J1316) = 6,"",IF(AND(NOT(ISBLANK(E1316)),COUNTBLANK(E1316:J1316) = 5),"3 Delete",IF(ISBLANK(E1316),"2 Add",IF(SHA1Range(E1316:J1316) = "24820aed28e073e025eb724e2960c6594a25a195","0 Original","1 Modify"))))</f>
        <v>0 Original</v>
      </c>
      <c r="D1316" s="5" t="s">
        <v>2166</v>
      </c>
      <c r="E1316" s="3">
        <v>1131</v>
      </c>
      <c r="F1316" s="13">
        <v>42220</v>
      </c>
      <c r="G1316" t="s">
        <v>242</v>
      </c>
      <c r="H1316" s="9">
        <v>13.98</v>
      </c>
      <c r="I1316" s="5" t="s">
        <v>68</v>
      </c>
      <c r="J1316" s="15">
        <v>42220.686192129629</v>
      </c>
      <c r="K1316" t="str">
        <f t="shared" si="20"/>
        <v>08-2015</v>
      </c>
    </row>
    <row r="1317" spans="3:11" x14ac:dyDescent="0.25">
      <c r="C1317" t="str">
        <f>IF(COUNTBLANK(E1317:J1317) = 6,"",IF(AND(NOT(ISBLANK(E1317)),COUNTBLANK(E1317:J1317) = 5),"3 Delete",IF(ISBLANK(E1317),"2 Add",IF(SHA1Range(E1317:J1317) = "9cde403e47ddc7f8c89c9a548b16682dfe9221c0","0 Original","1 Modify"))))</f>
        <v>0 Original</v>
      </c>
      <c r="D1317" s="5" t="s">
        <v>2167</v>
      </c>
      <c r="E1317" s="3">
        <v>581</v>
      </c>
      <c r="F1317" s="13">
        <v>42221</v>
      </c>
      <c r="G1317" t="s">
        <v>119</v>
      </c>
      <c r="H1317" s="9">
        <v>44.94</v>
      </c>
      <c r="I1317" s="5" t="s">
        <v>68</v>
      </c>
      <c r="J1317" s="15">
        <v>42221.412986111114</v>
      </c>
      <c r="K1317" t="str">
        <f t="shared" si="20"/>
        <v>08-2015</v>
      </c>
    </row>
    <row r="1318" spans="3:11" x14ac:dyDescent="0.25">
      <c r="C1318" t="str">
        <f>IF(COUNTBLANK(E1318:J1318) = 6,"",IF(AND(NOT(ISBLANK(E1318)),COUNTBLANK(E1318:J1318) = 5),"3 Delete",IF(ISBLANK(E1318),"2 Add",IF(SHA1Range(E1318:J1318) = "ca1bfc8f398f0a51f83849c5a6ceba3a4c0727c7","0 Original","1 Modify"))))</f>
        <v>0 Original</v>
      </c>
      <c r="D1318" s="5" t="s">
        <v>2168</v>
      </c>
      <c r="E1318" s="3">
        <v>1178</v>
      </c>
      <c r="F1318" s="13">
        <v>42221</v>
      </c>
      <c r="G1318" t="s">
        <v>242</v>
      </c>
      <c r="H1318" s="9">
        <v>23.97</v>
      </c>
      <c r="I1318" s="5" t="s">
        <v>68</v>
      </c>
      <c r="J1318" s="15">
        <v>42221.826157407406</v>
      </c>
      <c r="K1318" t="str">
        <f t="shared" si="20"/>
        <v>08-2015</v>
      </c>
    </row>
    <row r="1319" spans="3:11" x14ac:dyDescent="0.25">
      <c r="C1319" t="str">
        <f>IF(COUNTBLANK(E1319:J1319) = 6,"",IF(AND(NOT(ISBLANK(E1319)),COUNTBLANK(E1319:J1319) = 5),"3 Delete",IF(ISBLANK(E1319),"2 Add",IF(SHA1Range(E1319:J1319) = "f5832fa41297667b2f84cab5780ceb6632b32d5c","0 Original","1 Modify"))))</f>
        <v>0 Original</v>
      </c>
      <c r="D1319" s="5" t="s">
        <v>2169</v>
      </c>
      <c r="E1319" s="3">
        <v>187</v>
      </c>
      <c r="F1319" s="13">
        <v>42223</v>
      </c>
      <c r="G1319" t="s">
        <v>131</v>
      </c>
      <c r="H1319" s="9">
        <v>10.98</v>
      </c>
      <c r="I1319" s="5" t="s">
        <v>68</v>
      </c>
      <c r="J1319" s="15">
        <v>42223.64603009259</v>
      </c>
      <c r="K1319" t="str">
        <f t="shared" si="20"/>
        <v>08-2015</v>
      </c>
    </row>
    <row r="1320" spans="3:11" x14ac:dyDescent="0.25">
      <c r="C1320" t="str">
        <f>IF(COUNTBLANK(E1320:J1320) = 6,"",IF(AND(NOT(ISBLANK(E1320)),COUNTBLANK(E1320:J1320) = 5),"3 Delete",IF(ISBLANK(E1320),"2 Add",IF(SHA1Range(E1320:J1320) = "04afe5c69b376bec5570d7c4018847bdeffc62bf","0 Original","1 Modify"))))</f>
        <v>0 Original</v>
      </c>
      <c r="D1320" s="5" t="s">
        <v>4098</v>
      </c>
      <c r="E1320" s="3">
        <v>387</v>
      </c>
      <c r="F1320" s="13">
        <v>42224</v>
      </c>
      <c r="G1320" t="s">
        <v>182</v>
      </c>
      <c r="H1320" s="9">
        <v>35.96</v>
      </c>
      <c r="I1320" s="5" t="s">
        <v>68</v>
      </c>
      <c r="J1320" s="15">
        <v>42224.751655092594</v>
      </c>
      <c r="K1320" t="str">
        <f t="shared" si="20"/>
        <v>08-2015</v>
      </c>
    </row>
    <row r="1321" spans="3:11" x14ac:dyDescent="0.25">
      <c r="C1321" t="str">
        <f>IF(COUNTBLANK(E1321:J1321) = 6,"",IF(AND(NOT(ISBLANK(E1321)),COUNTBLANK(E1321:J1321) = 5),"3 Delete",IF(ISBLANK(E1321),"2 Add",IF(SHA1Range(E1321:J1321) = "17f4f063c876a0b848dec00c182ca4ae8835b664","0 Original","1 Modify"))))</f>
        <v>0 Original</v>
      </c>
      <c r="D1321" s="5" t="s">
        <v>2170</v>
      </c>
      <c r="E1321" s="3">
        <v>544</v>
      </c>
      <c r="F1321" s="13">
        <v>42227</v>
      </c>
      <c r="G1321" t="s">
        <v>354</v>
      </c>
      <c r="H1321" s="9">
        <v>8.99</v>
      </c>
      <c r="I1321" s="5" t="s">
        <v>68</v>
      </c>
      <c r="J1321" s="15">
        <v>42227.106608796297</v>
      </c>
      <c r="K1321" t="str">
        <f t="shared" si="20"/>
        <v>08-2015</v>
      </c>
    </row>
    <row r="1322" spans="3:11" x14ac:dyDescent="0.25">
      <c r="C1322" t="str">
        <f>IF(COUNTBLANK(E1322:J1322) = 6,"",IF(AND(NOT(ISBLANK(E1322)),COUNTBLANK(E1322:J1322) = 5),"3 Delete",IF(ISBLANK(E1322),"2 Add",IF(SHA1Range(E1322:J1322) = "497adaeb0c5d91e9abd460f1b498a960b4e7a9e0","0 Original","1 Modify"))))</f>
        <v>0 Original</v>
      </c>
      <c r="D1322" s="5" t="s">
        <v>2171</v>
      </c>
      <c r="E1322" s="3">
        <v>621</v>
      </c>
      <c r="F1322" s="13">
        <v>42228</v>
      </c>
      <c r="G1322" t="s">
        <v>224</v>
      </c>
      <c r="H1322" s="9">
        <v>23.96</v>
      </c>
      <c r="I1322" s="5" t="s">
        <v>68</v>
      </c>
      <c r="J1322" s="15">
        <v>42228.047384259262</v>
      </c>
      <c r="K1322" t="str">
        <f t="shared" si="20"/>
        <v>08-2015</v>
      </c>
    </row>
    <row r="1323" spans="3:11" x14ac:dyDescent="0.25">
      <c r="C1323" t="str">
        <f>IF(COUNTBLANK(E1323:J1323) = 6,"",IF(AND(NOT(ISBLANK(E1323)),COUNTBLANK(E1323:J1323) = 5),"3 Delete",IF(ISBLANK(E1323),"2 Add",IF(SHA1Range(E1323:J1323) = "4ac91c60f7ee352defcb799d5b8128aa1acb2e51","0 Original","1 Modify"))))</f>
        <v>0 Original</v>
      </c>
      <c r="D1323" s="5" t="s">
        <v>2172</v>
      </c>
      <c r="E1323" s="3">
        <v>804</v>
      </c>
      <c r="F1323" s="13">
        <v>42229</v>
      </c>
      <c r="G1323" t="s">
        <v>242</v>
      </c>
      <c r="H1323" s="9">
        <v>60.92</v>
      </c>
      <c r="I1323" s="5" t="s">
        <v>68</v>
      </c>
      <c r="J1323" s="15">
        <v>42229.459768518522</v>
      </c>
      <c r="K1323" t="str">
        <f t="shared" si="20"/>
        <v>08-2015</v>
      </c>
    </row>
    <row r="1324" spans="3:11" x14ac:dyDescent="0.25">
      <c r="C1324" t="str">
        <f>IF(COUNTBLANK(E1324:J1324) = 6,"",IF(AND(NOT(ISBLANK(E1324)),COUNTBLANK(E1324:J1324) = 5),"3 Delete",IF(ISBLANK(E1324),"2 Add",IF(SHA1Range(E1324:J1324) = "ba85fbe66c251fc33476163b62b54bffd2fa3297","0 Original","1 Modify"))))</f>
        <v>0 Original</v>
      </c>
      <c r="D1324" s="5" t="s">
        <v>2173</v>
      </c>
      <c r="E1324" s="3">
        <v>1074</v>
      </c>
      <c r="F1324" s="13">
        <v>42230</v>
      </c>
      <c r="G1324" t="s">
        <v>272</v>
      </c>
      <c r="H1324" s="9">
        <v>48.94</v>
      </c>
      <c r="I1324" s="5" t="s">
        <v>68</v>
      </c>
      <c r="J1324" s="15">
        <v>42230.580081018517</v>
      </c>
      <c r="K1324" t="str">
        <f t="shared" si="20"/>
        <v>08-2015</v>
      </c>
    </row>
    <row r="1325" spans="3:11" x14ac:dyDescent="0.25">
      <c r="C1325" t="str">
        <f>IF(COUNTBLANK(E1325:J1325) = 6,"",IF(AND(NOT(ISBLANK(E1325)),COUNTBLANK(E1325:J1325) = 5),"3 Delete",IF(ISBLANK(E1325),"2 Add",IF(SHA1Range(E1325:J1325) = "c737699e8c0c317f74e6b49509147da4e119c0c4","0 Original","1 Modify"))))</f>
        <v>0 Original</v>
      </c>
      <c r="D1325" s="5" t="s">
        <v>2174</v>
      </c>
      <c r="E1325" s="3">
        <v>864</v>
      </c>
      <c r="F1325" s="13">
        <v>42232</v>
      </c>
      <c r="G1325" t="s">
        <v>326</v>
      </c>
      <c r="H1325" s="9">
        <v>19.98</v>
      </c>
      <c r="I1325" s="5" t="s">
        <v>68</v>
      </c>
      <c r="J1325" s="15">
        <v>42232.171527777777</v>
      </c>
      <c r="K1325" t="str">
        <f t="shared" si="20"/>
        <v>08-2015</v>
      </c>
    </row>
    <row r="1326" spans="3:11" x14ac:dyDescent="0.25">
      <c r="C1326" t="str">
        <f>IF(COUNTBLANK(E1326:J1326) = 6,"",IF(AND(NOT(ISBLANK(E1326)),COUNTBLANK(E1326:J1326) = 5),"3 Delete",IF(ISBLANK(E1326),"2 Add",IF(SHA1Range(E1326:J1326) = "653fe3b87aeae86704809433ae44819b38ee7bc0","0 Original","1 Modify"))))</f>
        <v>0 Original</v>
      </c>
      <c r="D1326" s="5" t="s">
        <v>4431</v>
      </c>
      <c r="E1326" s="3">
        <v>63</v>
      </c>
      <c r="F1326" s="13">
        <v>42232</v>
      </c>
      <c r="G1326" t="s">
        <v>158</v>
      </c>
      <c r="H1326" s="9">
        <v>71.91</v>
      </c>
      <c r="I1326" s="5" t="s">
        <v>68</v>
      </c>
      <c r="J1326" s="15">
        <v>42232.801180555558</v>
      </c>
      <c r="K1326" t="str">
        <f t="shared" si="20"/>
        <v>08-2015</v>
      </c>
    </row>
    <row r="1327" spans="3:11" x14ac:dyDescent="0.25">
      <c r="C1327" t="str">
        <f>IF(COUNTBLANK(E1327:J1327) = 6,"",IF(AND(NOT(ISBLANK(E1327)),COUNTBLANK(E1327:J1327) = 5),"3 Delete",IF(ISBLANK(E1327),"2 Add",IF(SHA1Range(E1327:J1327) = "8e9890681107490e647e818570a1722ad9c34b30","0 Original","1 Modify"))))</f>
        <v>0 Original</v>
      </c>
      <c r="D1327" s="5" t="s">
        <v>2175</v>
      </c>
      <c r="E1327" s="3">
        <v>765</v>
      </c>
      <c r="F1327" s="13">
        <v>42233</v>
      </c>
      <c r="G1327" t="s">
        <v>221</v>
      </c>
      <c r="H1327" s="9">
        <v>26.96</v>
      </c>
      <c r="I1327" s="5" t="s">
        <v>68</v>
      </c>
      <c r="J1327" s="15">
        <v>42233.878634259258</v>
      </c>
      <c r="K1327" t="str">
        <f t="shared" si="20"/>
        <v>08-2015</v>
      </c>
    </row>
    <row r="1328" spans="3:11" x14ac:dyDescent="0.25">
      <c r="C1328" t="str">
        <f>IF(COUNTBLANK(E1328:J1328) = 6,"",IF(AND(NOT(ISBLANK(E1328)),COUNTBLANK(E1328:J1328) = 5),"3 Delete",IF(ISBLANK(E1328),"2 Add",IF(SHA1Range(E1328:J1328) = "d0f13b4fb12d34dc4ca19a5c1bd231473e67490d","0 Original","1 Modify"))))</f>
        <v>0 Original</v>
      </c>
      <c r="D1328" s="5" t="s">
        <v>4432</v>
      </c>
      <c r="E1328" s="3">
        <v>178</v>
      </c>
      <c r="F1328" s="13">
        <v>42234</v>
      </c>
      <c r="G1328" t="s">
        <v>110</v>
      </c>
      <c r="H1328" s="9">
        <v>59.92</v>
      </c>
      <c r="I1328" s="5" t="s">
        <v>68</v>
      </c>
      <c r="J1328" s="15">
        <v>42234.182175925926</v>
      </c>
      <c r="K1328" t="str">
        <f t="shared" si="20"/>
        <v>08-2015</v>
      </c>
    </row>
    <row r="1329" spans="3:11" x14ac:dyDescent="0.25">
      <c r="C1329" t="str">
        <f>IF(COUNTBLANK(E1329:J1329) = 6,"",IF(AND(NOT(ISBLANK(E1329)),COUNTBLANK(E1329:J1329) = 5),"3 Delete",IF(ISBLANK(E1329),"2 Add",IF(SHA1Range(E1329:J1329) = "9edd2c54c17ba925deb54eedbe775b2773402849","0 Original","1 Modify"))))</f>
        <v>0 Original</v>
      </c>
      <c r="D1329" s="5" t="s">
        <v>4433</v>
      </c>
      <c r="E1329" s="3">
        <v>74</v>
      </c>
      <c r="F1329" s="13">
        <v>42234</v>
      </c>
      <c r="G1329" t="s">
        <v>125</v>
      </c>
      <c r="H1329" s="9">
        <v>71.91</v>
      </c>
      <c r="I1329" s="5" t="s">
        <v>68</v>
      </c>
      <c r="J1329" s="15">
        <v>42234.207384259258</v>
      </c>
      <c r="K1329" t="str">
        <f t="shared" si="20"/>
        <v>08-2015</v>
      </c>
    </row>
    <row r="1330" spans="3:11" x14ac:dyDescent="0.25">
      <c r="C1330" t="str">
        <f>IF(COUNTBLANK(E1330:J1330) = 6,"",IF(AND(NOT(ISBLANK(E1330)),COUNTBLANK(E1330:J1330) = 5),"3 Delete",IF(ISBLANK(E1330),"2 Add",IF(SHA1Range(E1330:J1330) = "820491d10f632d542982643de954d56ab5959609","0 Original","1 Modify"))))</f>
        <v>0 Original</v>
      </c>
      <c r="D1330" s="5" t="s">
        <v>4434</v>
      </c>
      <c r="E1330" s="3">
        <v>10</v>
      </c>
      <c r="F1330" s="13">
        <v>42235</v>
      </c>
      <c r="G1330" t="s">
        <v>209</v>
      </c>
      <c r="H1330" s="9">
        <v>54.92</v>
      </c>
      <c r="I1330" s="5" t="s">
        <v>68</v>
      </c>
      <c r="J1330" s="15">
        <v>42235.507152777776</v>
      </c>
      <c r="K1330" t="str">
        <f t="shared" si="20"/>
        <v>08-2015</v>
      </c>
    </row>
    <row r="1331" spans="3:11" x14ac:dyDescent="0.25">
      <c r="C1331" t="str">
        <f>IF(COUNTBLANK(E1331:J1331) = 6,"",IF(AND(NOT(ISBLANK(E1331)),COUNTBLANK(E1331:J1331) = 5),"3 Delete",IF(ISBLANK(E1331),"2 Add",IF(SHA1Range(E1331:J1331) = "5e7d7eafebc2a7fd939f7ec3352bb4951f7087b3","0 Original","1 Modify"))))</f>
        <v>0 Original</v>
      </c>
      <c r="D1331" s="5" t="s">
        <v>2176</v>
      </c>
      <c r="E1331" s="3">
        <v>1132</v>
      </c>
      <c r="F1331" s="13">
        <v>42236</v>
      </c>
      <c r="G1331" t="s">
        <v>245</v>
      </c>
      <c r="H1331" s="9">
        <v>11.98</v>
      </c>
      <c r="I1331" s="5" t="s">
        <v>68</v>
      </c>
      <c r="J1331" s="15">
        <v>42236.250289351854</v>
      </c>
      <c r="K1331" t="str">
        <f t="shared" si="20"/>
        <v>08-2015</v>
      </c>
    </row>
    <row r="1332" spans="3:11" x14ac:dyDescent="0.25">
      <c r="C1332" t="str">
        <f>IF(COUNTBLANK(E1332:J1332) = 6,"",IF(AND(NOT(ISBLANK(E1332)),COUNTBLANK(E1332:J1332) = 5),"3 Delete",IF(ISBLANK(E1332),"2 Add",IF(SHA1Range(E1332:J1332) = "aad1fa02228e8e5fd67c3c585cbb445673b9a12e","0 Original","1 Modify"))))</f>
        <v>0 Original</v>
      </c>
      <c r="D1332" s="5" t="s">
        <v>2177</v>
      </c>
      <c r="E1332" s="3">
        <v>1185</v>
      </c>
      <c r="F1332" s="13">
        <v>42236</v>
      </c>
      <c r="G1332" t="s">
        <v>170</v>
      </c>
      <c r="H1332" s="9">
        <v>22.97</v>
      </c>
      <c r="I1332" s="5" t="s">
        <v>68</v>
      </c>
      <c r="J1332" s="15">
        <v>42236.918645833335</v>
      </c>
      <c r="K1332" t="str">
        <f t="shared" si="20"/>
        <v>08-2015</v>
      </c>
    </row>
    <row r="1333" spans="3:11" x14ac:dyDescent="0.25">
      <c r="C1333" t="str">
        <f>IF(COUNTBLANK(E1333:J1333) = 6,"",IF(AND(NOT(ISBLANK(E1333)),COUNTBLANK(E1333:J1333) = 5),"3 Delete",IF(ISBLANK(E1333),"2 Add",IF(SHA1Range(E1333:J1333) = "c022f674678b9aee52d76a73c496ea820d605979","0 Original","1 Modify"))))</f>
        <v>0 Original</v>
      </c>
      <c r="D1333" s="5" t="s">
        <v>4110</v>
      </c>
      <c r="E1333" s="3">
        <v>358</v>
      </c>
      <c r="F1333" s="13">
        <v>42237</v>
      </c>
      <c r="G1333" t="s">
        <v>89</v>
      </c>
      <c r="H1333" s="9">
        <v>22.96</v>
      </c>
      <c r="I1333" s="5" t="s">
        <v>68</v>
      </c>
      <c r="J1333" s="15">
        <v>42237.732997685183</v>
      </c>
      <c r="K1333" t="str">
        <f t="shared" si="20"/>
        <v>08-2015</v>
      </c>
    </row>
    <row r="1334" spans="3:11" x14ac:dyDescent="0.25">
      <c r="C1334" t="str">
        <f>IF(COUNTBLANK(E1334:J1334) = 6,"",IF(AND(NOT(ISBLANK(E1334)),COUNTBLANK(E1334:J1334) = 5),"3 Delete",IF(ISBLANK(E1334),"2 Add",IF(SHA1Range(E1334:J1334) = "bfff18e00f9e4690c62f9f2fc441a3abf90c385b","0 Original","1 Modify"))))</f>
        <v>0 Original</v>
      </c>
      <c r="D1334" s="5" t="s">
        <v>2178</v>
      </c>
      <c r="E1334" s="3">
        <v>692</v>
      </c>
      <c r="F1334" s="13">
        <v>42237</v>
      </c>
      <c r="G1334" t="s">
        <v>203</v>
      </c>
      <c r="H1334" s="9">
        <v>17.98</v>
      </c>
      <c r="I1334" s="5" t="s">
        <v>68</v>
      </c>
      <c r="J1334" s="15">
        <v>42237.80909722222</v>
      </c>
      <c r="K1334" t="str">
        <f t="shared" si="20"/>
        <v>08-2015</v>
      </c>
    </row>
    <row r="1335" spans="3:11" x14ac:dyDescent="0.25">
      <c r="C1335" t="str">
        <f>IF(COUNTBLANK(E1335:J1335) = 6,"",IF(AND(NOT(ISBLANK(E1335)),COUNTBLANK(E1335:J1335) = 5),"3 Delete",IF(ISBLANK(E1335),"2 Add",IF(SHA1Range(E1335:J1335) = "2e78804d4df2edd173afc9bc59ded3f8c2884846","0 Original","1 Modify"))))</f>
        <v>0 Original</v>
      </c>
      <c r="D1335" s="5" t="s">
        <v>2179</v>
      </c>
      <c r="E1335" s="3">
        <v>1104</v>
      </c>
      <c r="F1335" s="13">
        <v>42238</v>
      </c>
      <c r="G1335" t="s">
        <v>242</v>
      </c>
      <c r="H1335" s="9">
        <v>58.92</v>
      </c>
      <c r="I1335" s="5" t="s">
        <v>68</v>
      </c>
      <c r="J1335" s="15">
        <v>42238.466064814813</v>
      </c>
      <c r="K1335" t="str">
        <f t="shared" si="20"/>
        <v>08-2015</v>
      </c>
    </row>
    <row r="1336" spans="3:11" x14ac:dyDescent="0.25">
      <c r="C1336" t="str">
        <f>IF(COUNTBLANK(E1336:J1336) = 6,"",IF(AND(NOT(ISBLANK(E1336)),COUNTBLANK(E1336:J1336) = 5),"3 Delete",IF(ISBLANK(E1336),"2 Add",IF(SHA1Range(E1336:J1336) = "01d6c6204d187780f8450953bb4cd5a687a230eb","0 Original","1 Modify"))))</f>
        <v>0 Original</v>
      </c>
      <c r="D1336" s="5" t="s">
        <v>2180</v>
      </c>
      <c r="E1336" s="3">
        <v>522</v>
      </c>
      <c r="F1336" s="13">
        <v>42238</v>
      </c>
      <c r="G1336" t="s">
        <v>317</v>
      </c>
      <c r="H1336" s="9">
        <v>44.94</v>
      </c>
      <c r="I1336" s="5" t="s">
        <v>68</v>
      </c>
      <c r="J1336" s="15">
        <v>42238.869363425925</v>
      </c>
      <c r="K1336" t="str">
        <f t="shared" si="20"/>
        <v>08-2015</v>
      </c>
    </row>
    <row r="1337" spans="3:11" x14ac:dyDescent="0.25">
      <c r="C1337" t="str">
        <f>IF(COUNTBLANK(E1337:J1337) = 6,"",IF(AND(NOT(ISBLANK(E1337)),COUNTBLANK(E1337:J1337) = 5),"3 Delete",IF(ISBLANK(E1337),"2 Add",IF(SHA1Range(E1337:J1337) = "db8fc13d8e95a778be952cb0fe13970a1fc09803","0 Original","1 Modify"))))</f>
        <v>0 Original</v>
      </c>
      <c r="D1337" s="5" t="s">
        <v>2181</v>
      </c>
      <c r="E1337" s="3">
        <v>1180</v>
      </c>
      <c r="F1337" s="13">
        <v>42240</v>
      </c>
      <c r="G1337" t="s">
        <v>326</v>
      </c>
      <c r="H1337" s="9">
        <v>26.96</v>
      </c>
      <c r="I1337" s="5" t="s">
        <v>68</v>
      </c>
      <c r="J1337" s="15">
        <v>42240.849224537036</v>
      </c>
      <c r="K1337" t="str">
        <f t="shared" si="20"/>
        <v>08-2015</v>
      </c>
    </row>
    <row r="1338" spans="3:11" x14ac:dyDescent="0.25">
      <c r="C1338" t="str">
        <f>IF(COUNTBLANK(E1338:J1338) = 6,"",IF(AND(NOT(ISBLANK(E1338)),COUNTBLANK(E1338:J1338) = 5),"3 Delete",IF(ISBLANK(E1338),"2 Add",IF(SHA1Range(E1338:J1338) = "cfa324e7efc2af2b9fcccf692c8098a73fd12a3d","0 Original","1 Modify"))))</f>
        <v>0 Original</v>
      </c>
      <c r="D1338" s="5" t="s">
        <v>2182</v>
      </c>
      <c r="E1338" s="3">
        <v>835</v>
      </c>
      <c r="F1338" s="13">
        <v>42242</v>
      </c>
      <c r="G1338" t="s">
        <v>221</v>
      </c>
      <c r="H1338" s="9">
        <v>27.96</v>
      </c>
      <c r="I1338" s="5" t="s">
        <v>68</v>
      </c>
      <c r="J1338" s="15">
        <v>42242.393136574072</v>
      </c>
      <c r="K1338" t="str">
        <f t="shared" si="20"/>
        <v>08-2015</v>
      </c>
    </row>
    <row r="1339" spans="3:11" x14ac:dyDescent="0.25">
      <c r="C1339" t="str">
        <f>IF(COUNTBLANK(E1339:J1339) = 6,"",IF(AND(NOT(ISBLANK(E1339)),COUNTBLANK(E1339:J1339) = 5),"3 Delete",IF(ISBLANK(E1339),"2 Add",IF(SHA1Range(E1339:J1339) = "67991debc4ee83de919b8f8f37e930ef8f4c7039","0 Original","1 Modify"))))</f>
        <v>0 Original</v>
      </c>
      <c r="D1339" s="5" t="s">
        <v>2183</v>
      </c>
      <c r="E1339" s="3">
        <v>1027</v>
      </c>
      <c r="F1339" s="13">
        <v>42242</v>
      </c>
      <c r="G1339" t="s">
        <v>170</v>
      </c>
      <c r="H1339" s="9">
        <v>14.98</v>
      </c>
      <c r="I1339" s="5" t="s">
        <v>68</v>
      </c>
      <c r="J1339" s="15">
        <v>42242.396064814813</v>
      </c>
      <c r="K1339" t="str">
        <f t="shared" si="20"/>
        <v>08-2015</v>
      </c>
    </row>
    <row r="1340" spans="3:11" x14ac:dyDescent="0.25">
      <c r="C1340" t="str">
        <f>IF(COUNTBLANK(E1340:J1340) = 6,"",IF(AND(NOT(ISBLANK(E1340)),COUNTBLANK(E1340:J1340) = 5),"3 Delete",IF(ISBLANK(E1340),"2 Add",IF(SHA1Range(E1340:J1340) = "a4ab99db442e78cb86a1213def5aa566b14a6000","0 Original","1 Modify"))))</f>
        <v>0 Original</v>
      </c>
      <c r="D1340" s="5" t="s">
        <v>4100</v>
      </c>
      <c r="E1340" s="3">
        <v>382</v>
      </c>
      <c r="F1340" s="13">
        <v>42243</v>
      </c>
      <c r="G1340" t="s">
        <v>281</v>
      </c>
      <c r="H1340" s="9">
        <v>22.97</v>
      </c>
      <c r="I1340" s="5" t="s">
        <v>68</v>
      </c>
      <c r="J1340" s="15">
        <v>42243.035219907404</v>
      </c>
      <c r="K1340" t="str">
        <f t="shared" si="20"/>
        <v>08-2015</v>
      </c>
    </row>
    <row r="1341" spans="3:11" x14ac:dyDescent="0.25">
      <c r="C1341" t="str">
        <f>IF(COUNTBLANK(E1341:J1341) = 6,"",IF(AND(NOT(ISBLANK(E1341)),COUNTBLANK(E1341:J1341) = 5),"3 Delete",IF(ISBLANK(E1341),"2 Add",IF(SHA1Range(E1341:J1341) = "13d7a0a79b62aab2b892271daab49742c62a7d69","0 Original","1 Modify"))))</f>
        <v>0 Original</v>
      </c>
      <c r="D1341" s="5" t="s">
        <v>2184</v>
      </c>
      <c r="E1341" s="3">
        <v>790</v>
      </c>
      <c r="F1341" s="13">
        <v>42243</v>
      </c>
      <c r="G1341" t="s">
        <v>326</v>
      </c>
      <c r="H1341" s="9">
        <v>34.950000000000003</v>
      </c>
      <c r="I1341" s="5" t="s">
        <v>68</v>
      </c>
      <c r="J1341" s="15">
        <v>42243.47587962963</v>
      </c>
      <c r="K1341" t="str">
        <f t="shared" si="20"/>
        <v>08-2015</v>
      </c>
    </row>
    <row r="1342" spans="3:11" x14ac:dyDescent="0.25">
      <c r="C1342" t="str">
        <f>IF(COUNTBLANK(E1342:J1342) = 6,"",IF(AND(NOT(ISBLANK(E1342)),COUNTBLANK(E1342:J1342) = 5),"3 Delete",IF(ISBLANK(E1342),"2 Add",IF(SHA1Range(E1342:J1342) = "b3f4a01913b55f81143cc2185b43cdc80cc883a3","0 Original","1 Modify"))))</f>
        <v>0 Original</v>
      </c>
      <c r="D1342" s="5" t="s">
        <v>4435</v>
      </c>
      <c r="E1342" s="3">
        <v>248</v>
      </c>
      <c r="F1342" s="13">
        <v>42243</v>
      </c>
      <c r="G1342" t="s">
        <v>101</v>
      </c>
      <c r="H1342" s="9">
        <v>48.92</v>
      </c>
      <c r="I1342" s="5" t="s">
        <v>68</v>
      </c>
      <c r="J1342" s="15">
        <v>42243.537766203706</v>
      </c>
      <c r="K1342" t="str">
        <f t="shared" si="20"/>
        <v>08-2015</v>
      </c>
    </row>
    <row r="1343" spans="3:11" x14ac:dyDescent="0.25">
      <c r="C1343" t="str">
        <f>IF(COUNTBLANK(E1343:J1343) = 6,"",IF(AND(NOT(ISBLANK(E1343)),COUNTBLANK(E1343:J1343) = 5),"3 Delete",IF(ISBLANK(E1343),"2 Add",IF(SHA1Range(E1343:J1343) = "4ffb00b5d51a4dd182dd8d11b64b7b58e8fb809e","0 Original","1 Modify"))))</f>
        <v>0 Original</v>
      </c>
      <c r="D1343" s="5" t="s">
        <v>4436</v>
      </c>
      <c r="E1343" s="3">
        <v>3</v>
      </c>
      <c r="F1343" s="13">
        <v>42243</v>
      </c>
      <c r="G1343" t="s">
        <v>221</v>
      </c>
      <c r="H1343" s="9">
        <v>29.97</v>
      </c>
      <c r="I1343" s="5" t="s">
        <v>68</v>
      </c>
      <c r="J1343" s="15">
        <v>42243.965671296297</v>
      </c>
      <c r="K1343" t="str">
        <f t="shared" si="20"/>
        <v>08-2015</v>
      </c>
    </row>
    <row r="1344" spans="3:11" x14ac:dyDescent="0.25">
      <c r="C1344" t="str">
        <f>IF(COUNTBLANK(E1344:J1344) = 6,"",IF(AND(NOT(ISBLANK(E1344)),COUNTBLANK(E1344:J1344) = 5),"3 Delete",IF(ISBLANK(E1344),"2 Add",IF(SHA1Range(E1344:J1344) = "1110e17a43d72c33edf575722f62fa32de97306e","0 Original","1 Modify"))))</f>
        <v>0 Original</v>
      </c>
      <c r="D1344" s="5" t="s">
        <v>2185</v>
      </c>
      <c r="E1344" s="3">
        <v>800</v>
      </c>
      <c r="F1344" s="13">
        <v>42244</v>
      </c>
      <c r="G1344" t="s">
        <v>326</v>
      </c>
      <c r="H1344" s="9">
        <v>38.950000000000003</v>
      </c>
      <c r="I1344" s="5" t="s">
        <v>68</v>
      </c>
      <c r="J1344" s="15">
        <v>42244.552291666667</v>
      </c>
      <c r="K1344" t="str">
        <f t="shared" si="20"/>
        <v>08-2015</v>
      </c>
    </row>
    <row r="1345" spans="3:11" x14ac:dyDescent="0.25">
      <c r="C1345" t="str">
        <f>IF(COUNTBLANK(E1345:J1345) = 6,"",IF(AND(NOT(ISBLANK(E1345)),COUNTBLANK(E1345:J1345) = 5),"3 Delete",IF(ISBLANK(E1345),"2 Add",IF(SHA1Range(E1345:J1345) = "8d5bd2b51cc5be5fd26b92d2f28df2579aba7b16","0 Original","1 Modify"))))</f>
        <v>0 Original</v>
      </c>
      <c r="D1345" s="5" t="s">
        <v>2186</v>
      </c>
      <c r="E1345" s="3">
        <v>736</v>
      </c>
      <c r="F1345" s="13">
        <v>42244</v>
      </c>
      <c r="G1345" t="s">
        <v>221</v>
      </c>
      <c r="H1345" s="9">
        <v>17.97</v>
      </c>
      <c r="I1345" s="5" t="s">
        <v>68</v>
      </c>
      <c r="J1345" s="15">
        <v>42244.883113425924</v>
      </c>
      <c r="K1345" t="str">
        <f t="shared" si="20"/>
        <v>08-2015</v>
      </c>
    </row>
    <row r="1346" spans="3:11" x14ac:dyDescent="0.25">
      <c r="C1346" t="str">
        <f>IF(COUNTBLANK(E1346:J1346) = 6,"",IF(AND(NOT(ISBLANK(E1346)),COUNTBLANK(E1346:J1346) = 5),"3 Delete",IF(ISBLANK(E1346),"2 Add",IF(SHA1Range(E1346:J1346) = "e63a6c8d385f319ecafe468e6c3a9c2c0048afe6","0 Original","1 Modify"))))</f>
        <v>0 Original</v>
      </c>
      <c r="D1346" s="5" t="s">
        <v>2187</v>
      </c>
      <c r="E1346" s="3">
        <v>1126</v>
      </c>
      <c r="F1346" s="13">
        <v>42244</v>
      </c>
      <c r="G1346" t="s">
        <v>245</v>
      </c>
      <c r="H1346" s="9">
        <v>64.91</v>
      </c>
      <c r="I1346" s="5" t="s">
        <v>68</v>
      </c>
      <c r="J1346" s="15">
        <v>42244.922291666669</v>
      </c>
      <c r="K1346" t="str">
        <f t="shared" si="20"/>
        <v>08-2015</v>
      </c>
    </row>
    <row r="1347" spans="3:11" x14ac:dyDescent="0.25">
      <c r="C1347" t="str">
        <f>IF(COUNTBLANK(E1347:J1347) = 6,"",IF(AND(NOT(ISBLANK(E1347)),COUNTBLANK(E1347:J1347) = 5),"3 Delete",IF(ISBLANK(E1347),"2 Add",IF(SHA1Range(E1347:J1347) = "77ea469b84d0e749f64aee9d24242ea5335a9373","0 Original","1 Modify"))))</f>
        <v>0 Original</v>
      </c>
      <c r="D1347" s="5" t="s">
        <v>4437</v>
      </c>
      <c r="E1347" s="3">
        <v>7</v>
      </c>
      <c r="F1347" s="13">
        <v>42244</v>
      </c>
      <c r="G1347" t="s">
        <v>317</v>
      </c>
      <c r="H1347" s="9">
        <v>41.95</v>
      </c>
      <c r="I1347" s="5" t="s">
        <v>68</v>
      </c>
      <c r="J1347" s="15">
        <v>42244.928842592592</v>
      </c>
      <c r="K1347" t="str">
        <f t="shared" ref="K1347:K1410" si="21">TEXT(F1347,"mm-yyyy")</f>
        <v>08-2015</v>
      </c>
    </row>
    <row r="1348" spans="3:11" x14ac:dyDescent="0.25">
      <c r="C1348" t="str">
        <f>IF(COUNTBLANK(E1348:J1348) = 6,"",IF(AND(NOT(ISBLANK(E1348)),COUNTBLANK(E1348:J1348) = 5),"3 Delete",IF(ISBLANK(E1348),"2 Add",IF(SHA1Range(E1348:J1348) = "45925d407a3f3149365cd9a3b667a154c1442aef","0 Original","1 Modify"))))</f>
        <v>0 Original</v>
      </c>
      <c r="D1348" s="5" t="s">
        <v>4438</v>
      </c>
      <c r="E1348" s="3">
        <v>6</v>
      </c>
      <c r="F1348" s="13">
        <v>42245</v>
      </c>
      <c r="G1348" t="s">
        <v>354</v>
      </c>
      <c r="H1348" s="9">
        <v>27.97</v>
      </c>
      <c r="I1348" s="5" t="s">
        <v>68</v>
      </c>
      <c r="J1348" s="15">
        <v>42245.209814814814</v>
      </c>
      <c r="K1348" t="str">
        <f t="shared" si="21"/>
        <v>08-2015</v>
      </c>
    </row>
    <row r="1349" spans="3:11" x14ac:dyDescent="0.25">
      <c r="C1349" t="str">
        <f>IF(COUNTBLANK(E1349:J1349) = 6,"",IF(AND(NOT(ISBLANK(E1349)),COUNTBLANK(E1349:J1349) = 5),"3 Delete",IF(ISBLANK(E1349),"2 Add",IF(SHA1Range(E1349:J1349) = "fde2f0ef403d5e08d49f7291393d6675ae429993","0 Original","1 Modify"))))</f>
        <v>0 Original</v>
      </c>
      <c r="D1349" s="5" t="s">
        <v>4439</v>
      </c>
      <c r="E1349" s="3">
        <v>151</v>
      </c>
      <c r="F1349" s="13">
        <v>42245</v>
      </c>
      <c r="G1349" t="s">
        <v>257</v>
      </c>
      <c r="H1349" s="9">
        <v>45.95</v>
      </c>
      <c r="I1349" s="5" t="s">
        <v>68</v>
      </c>
      <c r="J1349" s="15">
        <v>42245.230902777781</v>
      </c>
      <c r="K1349" t="str">
        <f t="shared" si="21"/>
        <v>08-2015</v>
      </c>
    </row>
    <row r="1350" spans="3:11" x14ac:dyDescent="0.25">
      <c r="C1350" t="str">
        <f>IF(COUNTBLANK(E1350:J1350) = 6,"",IF(AND(NOT(ISBLANK(E1350)),COUNTBLANK(E1350:J1350) = 5),"3 Delete",IF(ISBLANK(E1350),"2 Add",IF(SHA1Range(E1350:J1350) = "bf9120f0d20c3f42553cf50196bac16b15a86bea","0 Original","1 Modify"))))</f>
        <v>0 Original</v>
      </c>
      <c r="D1350" s="5" t="s">
        <v>4440</v>
      </c>
      <c r="E1350" s="3">
        <v>249</v>
      </c>
      <c r="F1350" s="13">
        <v>42247</v>
      </c>
      <c r="G1350" t="s">
        <v>164</v>
      </c>
      <c r="H1350" s="9">
        <v>23.96</v>
      </c>
      <c r="I1350" s="5" t="s">
        <v>68</v>
      </c>
      <c r="J1350" s="15">
        <v>42247.468298611115</v>
      </c>
      <c r="K1350" t="str">
        <f t="shared" si="21"/>
        <v>08-2015</v>
      </c>
    </row>
    <row r="1351" spans="3:11" x14ac:dyDescent="0.25">
      <c r="C1351" t="str">
        <f>IF(COUNTBLANK(E1351:J1351) = 6,"",IF(AND(NOT(ISBLANK(E1351)),COUNTBLANK(E1351:J1351) = 5),"3 Delete",IF(ISBLANK(E1351),"2 Add",IF(SHA1Range(E1351:J1351) = "37ac42a81a43718786b3482c4e44efdeda8deaa7","0 Original","1 Modify"))))</f>
        <v>0 Original</v>
      </c>
      <c r="D1351" s="5" t="s">
        <v>4084</v>
      </c>
      <c r="E1351" s="3">
        <v>433</v>
      </c>
      <c r="F1351" s="13">
        <v>42247</v>
      </c>
      <c r="G1351" t="s">
        <v>320</v>
      </c>
      <c r="H1351" s="9">
        <v>44.95</v>
      </c>
      <c r="I1351" s="5" t="s">
        <v>68</v>
      </c>
      <c r="J1351" s="15">
        <v>42247.971122685187</v>
      </c>
      <c r="K1351" t="str">
        <f t="shared" si="21"/>
        <v>08-2015</v>
      </c>
    </row>
    <row r="1352" spans="3:11" x14ac:dyDescent="0.25">
      <c r="C1352" t="str">
        <f>IF(COUNTBLANK(E1352:J1352) = 6,"",IF(AND(NOT(ISBLANK(E1352)),COUNTBLANK(E1352:J1352) = 5),"3 Delete",IF(ISBLANK(E1352),"2 Add",IF(SHA1Range(E1352:J1352) = "e3afff1336380fd4a1de430c3b9d10fc4f5427c7","0 Original","1 Modify"))))</f>
        <v>0 Original</v>
      </c>
      <c r="D1352" s="5" t="s">
        <v>2188</v>
      </c>
      <c r="E1352" s="3">
        <v>777</v>
      </c>
      <c r="F1352" s="13">
        <v>42248</v>
      </c>
      <c r="G1352" t="s">
        <v>221</v>
      </c>
      <c r="H1352" s="9">
        <v>72.900000000000006</v>
      </c>
      <c r="I1352" s="5" t="s">
        <v>68</v>
      </c>
      <c r="J1352" s="15">
        <v>42248.719976851855</v>
      </c>
      <c r="K1352" t="str">
        <f t="shared" si="21"/>
        <v>09-2015</v>
      </c>
    </row>
    <row r="1353" spans="3:11" x14ac:dyDescent="0.25">
      <c r="C1353" t="str">
        <f>IF(COUNTBLANK(E1353:J1353) = 6,"",IF(AND(NOT(ISBLANK(E1353)),COUNTBLANK(E1353:J1353) = 5),"3 Delete",IF(ISBLANK(E1353),"2 Add",IF(SHA1Range(E1353:J1353) = "cb1768055fae36ea026103d0f210e7ffadc4105a","0 Original","1 Modify"))))</f>
        <v>0 Original</v>
      </c>
      <c r="D1353" s="5" t="s">
        <v>4079</v>
      </c>
      <c r="E1353" s="3">
        <v>439</v>
      </c>
      <c r="F1353" s="13">
        <v>42248</v>
      </c>
      <c r="G1353" t="s">
        <v>275</v>
      </c>
      <c r="H1353" s="9">
        <v>80.89</v>
      </c>
      <c r="I1353" s="5" t="s">
        <v>68</v>
      </c>
      <c r="J1353" s="15">
        <v>42248.89267361111</v>
      </c>
      <c r="K1353" t="str">
        <f t="shared" si="21"/>
        <v>09-2015</v>
      </c>
    </row>
    <row r="1354" spans="3:11" x14ac:dyDescent="0.25">
      <c r="C1354" t="str">
        <f>IF(COUNTBLANK(E1354:J1354) = 6,"",IF(AND(NOT(ISBLANK(E1354)),COUNTBLANK(E1354:J1354) = 5),"3 Delete",IF(ISBLANK(E1354),"2 Add",IF(SHA1Range(E1354:J1354) = "0af66a608b072ca14f54c717487cf13e020aed42","0 Original","1 Modify"))))</f>
        <v>0 Original</v>
      </c>
      <c r="D1354" s="5" t="s">
        <v>4115</v>
      </c>
      <c r="E1354" s="3">
        <v>342</v>
      </c>
      <c r="F1354" s="13">
        <v>42248</v>
      </c>
      <c r="G1354" t="s">
        <v>221</v>
      </c>
      <c r="H1354" s="9">
        <v>56.92</v>
      </c>
      <c r="I1354" s="5" t="s">
        <v>68</v>
      </c>
      <c r="J1354" s="15">
        <v>42248.916481481479</v>
      </c>
      <c r="K1354" t="str">
        <f t="shared" si="21"/>
        <v>09-2015</v>
      </c>
    </row>
    <row r="1355" spans="3:11" x14ac:dyDescent="0.25">
      <c r="C1355" t="str">
        <f>IF(COUNTBLANK(E1355:J1355) = 6,"",IF(AND(NOT(ISBLANK(E1355)),COUNTBLANK(E1355:J1355) = 5),"3 Delete",IF(ISBLANK(E1355),"2 Add",IF(SHA1Range(E1355:J1355) = "d73691700738990e6a8a13b420f12561624ea7c4","0 Original","1 Modify"))))</f>
        <v>0 Original</v>
      </c>
      <c r="D1355" s="5" t="s">
        <v>4138</v>
      </c>
      <c r="E1355" s="3">
        <v>253</v>
      </c>
      <c r="F1355" s="13">
        <v>42249</v>
      </c>
      <c r="G1355" t="s">
        <v>218</v>
      </c>
      <c r="H1355" s="9">
        <v>52.93</v>
      </c>
      <c r="I1355" s="5" t="s">
        <v>68</v>
      </c>
      <c r="J1355" s="15">
        <v>42249.033634259256</v>
      </c>
      <c r="K1355" t="str">
        <f t="shared" si="21"/>
        <v>09-2015</v>
      </c>
    </row>
    <row r="1356" spans="3:11" x14ac:dyDescent="0.25">
      <c r="C1356" t="str">
        <f>IF(COUNTBLANK(E1356:J1356) = 6,"",IF(AND(NOT(ISBLANK(E1356)),COUNTBLANK(E1356:J1356) = 5),"3 Delete",IF(ISBLANK(E1356),"2 Add",IF(SHA1Range(E1356:J1356) = "dbb65fcd816bb843beb022423f38606e4c7ff2b9","0 Original","1 Modify"))))</f>
        <v>0 Original</v>
      </c>
      <c r="D1356" s="5" t="s">
        <v>2189</v>
      </c>
      <c r="E1356" s="3">
        <v>899</v>
      </c>
      <c r="F1356" s="13">
        <v>42249</v>
      </c>
      <c r="G1356" t="s">
        <v>260</v>
      </c>
      <c r="H1356" s="9">
        <v>20.96</v>
      </c>
      <c r="I1356" s="5" t="s">
        <v>68</v>
      </c>
      <c r="J1356" s="15">
        <v>42249.111643518518</v>
      </c>
      <c r="K1356" t="str">
        <f t="shared" si="21"/>
        <v>09-2015</v>
      </c>
    </row>
    <row r="1357" spans="3:11" x14ac:dyDescent="0.25">
      <c r="C1357" t="str">
        <f>IF(COUNTBLANK(E1357:J1357) = 6,"",IF(AND(NOT(ISBLANK(E1357)),COUNTBLANK(E1357:J1357) = 5),"3 Delete",IF(ISBLANK(E1357),"2 Add",IF(SHA1Range(E1357:J1357) = "b85c74ba39674529d3e50010db81d35f7ecf707a","0 Original","1 Modify"))))</f>
        <v>0 Original</v>
      </c>
      <c r="D1357" s="5" t="s">
        <v>4441</v>
      </c>
      <c r="E1357" s="3">
        <v>19</v>
      </c>
      <c r="F1357" s="13">
        <v>42249</v>
      </c>
      <c r="G1357" t="s">
        <v>140</v>
      </c>
      <c r="H1357" s="9">
        <v>29.96</v>
      </c>
      <c r="I1357" s="5" t="s">
        <v>68</v>
      </c>
      <c r="J1357" s="15">
        <v>42249.294340277775</v>
      </c>
      <c r="K1357" t="str">
        <f t="shared" si="21"/>
        <v>09-2015</v>
      </c>
    </row>
    <row r="1358" spans="3:11" x14ac:dyDescent="0.25">
      <c r="C1358" t="str">
        <f>IF(COUNTBLANK(E1358:J1358) = 6,"",IF(AND(NOT(ISBLANK(E1358)),COUNTBLANK(E1358:J1358) = 5),"3 Delete",IF(ISBLANK(E1358),"2 Add",IF(SHA1Range(E1358:J1358) = "df7d5dbb01a47c1920d1f19c215f59dbed7a678d","0 Original","1 Modify"))))</f>
        <v>0 Original</v>
      </c>
      <c r="D1358" s="5" t="s">
        <v>2190</v>
      </c>
      <c r="E1358" s="3">
        <v>566</v>
      </c>
      <c r="F1358" s="13">
        <v>42250</v>
      </c>
      <c r="G1358" t="s">
        <v>215</v>
      </c>
      <c r="H1358" s="9">
        <v>15.98</v>
      </c>
      <c r="I1358" s="5" t="s">
        <v>68</v>
      </c>
      <c r="J1358" s="15">
        <v>42250.032604166663</v>
      </c>
      <c r="K1358" t="str">
        <f t="shared" si="21"/>
        <v>09-2015</v>
      </c>
    </row>
    <row r="1359" spans="3:11" x14ac:dyDescent="0.25">
      <c r="C1359" t="str">
        <f>IF(COUNTBLANK(E1359:J1359) = 6,"",IF(AND(NOT(ISBLANK(E1359)),COUNTBLANK(E1359:J1359) = 5),"3 Delete",IF(ISBLANK(E1359),"2 Add",IF(SHA1Range(E1359:J1359) = "27f1e4e18a69618f0345554cfb3e28ceaf6b26ab","0 Original","1 Modify"))))</f>
        <v>0 Original</v>
      </c>
      <c r="D1359" s="5" t="s">
        <v>2191</v>
      </c>
      <c r="E1359" s="3">
        <v>1114</v>
      </c>
      <c r="F1359" s="13">
        <v>42250</v>
      </c>
      <c r="G1359" t="s">
        <v>221</v>
      </c>
      <c r="H1359" s="9">
        <v>31.96</v>
      </c>
      <c r="I1359" s="5" t="s">
        <v>68</v>
      </c>
      <c r="J1359" s="15">
        <v>42250.530613425923</v>
      </c>
      <c r="K1359" t="str">
        <f t="shared" si="21"/>
        <v>09-2015</v>
      </c>
    </row>
    <row r="1360" spans="3:11" x14ac:dyDescent="0.25">
      <c r="C1360" t="str">
        <f>IF(COUNTBLANK(E1360:J1360) = 6,"",IF(AND(NOT(ISBLANK(E1360)),COUNTBLANK(E1360:J1360) = 5),"3 Delete",IF(ISBLANK(E1360),"2 Add",IF(SHA1Range(E1360:J1360) = "a2afe5fbc5f0469f18415c20dbd79c5ab45e1a3b","0 Original","1 Modify"))))</f>
        <v>0 Original</v>
      </c>
      <c r="D1360" s="5" t="s">
        <v>4109</v>
      </c>
      <c r="E1360" s="3">
        <v>360</v>
      </c>
      <c r="F1360" s="13">
        <v>42250</v>
      </c>
      <c r="G1360" t="s">
        <v>275</v>
      </c>
      <c r="H1360" s="9">
        <v>45.94</v>
      </c>
      <c r="I1360" s="5" t="s">
        <v>68</v>
      </c>
      <c r="J1360" s="15">
        <v>42250.769155092596</v>
      </c>
      <c r="K1360" t="str">
        <f t="shared" si="21"/>
        <v>09-2015</v>
      </c>
    </row>
    <row r="1361" spans="3:11" x14ac:dyDescent="0.25">
      <c r="C1361" t="str">
        <f>IF(COUNTBLANK(E1361:J1361) = 6,"",IF(AND(NOT(ISBLANK(E1361)),COUNTBLANK(E1361:J1361) = 5),"3 Delete",IF(ISBLANK(E1361),"2 Add",IF(SHA1Range(E1361:J1361) = "a00df9a06458ce42728db49d1e531702b2293dc8","0 Original","1 Modify"))))</f>
        <v>0 Original</v>
      </c>
      <c r="D1361" s="5" t="s">
        <v>2192</v>
      </c>
      <c r="E1361" s="3">
        <v>964</v>
      </c>
      <c r="F1361" s="13">
        <v>42251</v>
      </c>
      <c r="G1361" t="s">
        <v>245</v>
      </c>
      <c r="H1361" s="9">
        <v>38.94</v>
      </c>
      <c r="I1361" s="5" t="s">
        <v>68</v>
      </c>
      <c r="J1361" s="15">
        <v>42251.725624999999</v>
      </c>
      <c r="K1361" t="str">
        <f t="shared" si="21"/>
        <v>09-2015</v>
      </c>
    </row>
    <row r="1362" spans="3:11" x14ac:dyDescent="0.25">
      <c r="C1362" t="str">
        <f>IF(COUNTBLANK(E1362:J1362) = 6,"",IF(AND(NOT(ISBLANK(E1362)),COUNTBLANK(E1362:J1362) = 5),"3 Delete",IF(ISBLANK(E1362),"2 Add",IF(SHA1Range(E1362:J1362) = "38103e970cd4554971daacfc3d7313df17306b43","0 Original","1 Modify"))))</f>
        <v>0 Original</v>
      </c>
      <c r="D1362" s="5" t="s">
        <v>2193</v>
      </c>
      <c r="E1362" s="3">
        <v>1177</v>
      </c>
      <c r="F1362" s="13">
        <v>42251</v>
      </c>
      <c r="G1362" t="s">
        <v>326</v>
      </c>
      <c r="H1362" s="9">
        <v>37.96</v>
      </c>
      <c r="I1362" s="5" t="s">
        <v>68</v>
      </c>
      <c r="J1362" s="15">
        <v>42251.726678240739</v>
      </c>
      <c r="K1362" t="str">
        <f t="shared" si="21"/>
        <v>09-2015</v>
      </c>
    </row>
    <row r="1363" spans="3:11" x14ac:dyDescent="0.25">
      <c r="C1363" t="str">
        <f>IF(COUNTBLANK(E1363:J1363) = 6,"",IF(AND(NOT(ISBLANK(E1363)),COUNTBLANK(E1363:J1363) = 5),"3 Delete",IF(ISBLANK(E1363),"2 Add",IF(SHA1Range(E1363:J1363) = "d98119a06f5fffb541c92c9b6340d6004da9851c","0 Original","1 Modify"))))</f>
        <v>0 Original</v>
      </c>
      <c r="D1363" s="5" t="s">
        <v>2194</v>
      </c>
      <c r="E1363" s="3">
        <v>1067</v>
      </c>
      <c r="F1363" s="13">
        <v>42251</v>
      </c>
      <c r="G1363" t="s">
        <v>242</v>
      </c>
      <c r="H1363" s="9">
        <v>28.96</v>
      </c>
      <c r="I1363" s="5" t="s">
        <v>68</v>
      </c>
      <c r="J1363" s="15">
        <v>42251.733275462961</v>
      </c>
      <c r="K1363" t="str">
        <f t="shared" si="21"/>
        <v>09-2015</v>
      </c>
    </row>
    <row r="1364" spans="3:11" x14ac:dyDescent="0.25">
      <c r="C1364" t="str">
        <f>IF(COUNTBLANK(E1364:J1364) = 6,"",IF(AND(NOT(ISBLANK(E1364)),COUNTBLANK(E1364:J1364) = 5),"3 Delete",IF(ISBLANK(E1364),"2 Add",IF(SHA1Range(E1364:J1364) = "c7bd3d41a378a9839adf4605360366137313c054","0 Original","1 Modify"))))</f>
        <v>0 Original</v>
      </c>
      <c r="D1364" s="5" t="s">
        <v>4068</v>
      </c>
      <c r="E1364" s="3">
        <v>465</v>
      </c>
      <c r="F1364" s="13">
        <v>42251</v>
      </c>
      <c r="G1364" t="s">
        <v>251</v>
      </c>
      <c r="H1364" s="9">
        <v>47.95</v>
      </c>
      <c r="I1364" s="5" t="s">
        <v>68</v>
      </c>
      <c r="J1364" s="15">
        <v>42251.774143518516</v>
      </c>
      <c r="K1364" t="str">
        <f t="shared" si="21"/>
        <v>09-2015</v>
      </c>
    </row>
    <row r="1365" spans="3:11" x14ac:dyDescent="0.25">
      <c r="C1365" t="str">
        <f>IF(COUNTBLANK(E1365:J1365) = 6,"",IF(AND(NOT(ISBLANK(E1365)),COUNTBLANK(E1365:J1365) = 5),"3 Delete",IF(ISBLANK(E1365),"2 Add",IF(SHA1Range(E1365:J1365) = "b43eae0bbd539e7fcf92e43c638a9c049182ecbd","0 Original","1 Modify"))))</f>
        <v>0 Original</v>
      </c>
      <c r="D1365" s="5" t="s">
        <v>2195</v>
      </c>
      <c r="E1365" s="3">
        <v>740</v>
      </c>
      <c r="F1365" s="13">
        <v>42253</v>
      </c>
      <c r="G1365" t="s">
        <v>326</v>
      </c>
      <c r="H1365" s="9">
        <v>23.96</v>
      </c>
      <c r="I1365" s="5" t="s">
        <v>68</v>
      </c>
      <c r="J1365" s="15">
        <v>42253.038726851853</v>
      </c>
      <c r="K1365" t="str">
        <f t="shared" si="21"/>
        <v>09-2015</v>
      </c>
    </row>
    <row r="1366" spans="3:11" x14ac:dyDescent="0.25">
      <c r="C1366" t="str">
        <f>IF(COUNTBLANK(E1366:J1366) = 6,"",IF(AND(NOT(ISBLANK(E1366)),COUNTBLANK(E1366:J1366) = 5),"3 Delete",IF(ISBLANK(E1366),"2 Add",IF(SHA1Range(E1366:J1366) = "8bd614484c2f30384413d8e7eda6da240720ab0a","0 Original","1 Modify"))))</f>
        <v>0 Original</v>
      </c>
      <c r="D1366" s="5" t="s">
        <v>4085</v>
      </c>
      <c r="E1366" s="3">
        <v>431</v>
      </c>
      <c r="F1366" s="13">
        <v>42254</v>
      </c>
      <c r="G1366" t="s">
        <v>212</v>
      </c>
      <c r="H1366" s="9">
        <v>15.98</v>
      </c>
      <c r="I1366" s="5" t="s">
        <v>68</v>
      </c>
      <c r="J1366" s="15">
        <v>42254.647604166668</v>
      </c>
      <c r="K1366" t="str">
        <f t="shared" si="21"/>
        <v>09-2015</v>
      </c>
    </row>
    <row r="1367" spans="3:11" x14ac:dyDescent="0.25">
      <c r="C1367" t="str">
        <f>IF(COUNTBLANK(E1367:J1367) = 6,"",IF(AND(NOT(ISBLANK(E1367)),COUNTBLANK(E1367:J1367) = 5),"3 Delete",IF(ISBLANK(E1367),"2 Add",IF(SHA1Range(E1367:J1367) = "fb4731e9bbbfc1bfc715149dfc3e39d5319e7a51","0 Original","1 Modify"))))</f>
        <v>0 Original</v>
      </c>
      <c r="D1367" s="5" t="s">
        <v>4121</v>
      </c>
      <c r="E1367" s="3">
        <v>329</v>
      </c>
      <c r="F1367" s="13">
        <v>42254</v>
      </c>
      <c r="G1367" t="s">
        <v>188</v>
      </c>
      <c r="H1367" s="9">
        <v>7.99</v>
      </c>
      <c r="I1367" s="5" t="s">
        <v>68</v>
      </c>
      <c r="J1367" s="15">
        <v>42254.702685185184</v>
      </c>
      <c r="K1367" t="str">
        <f t="shared" si="21"/>
        <v>09-2015</v>
      </c>
    </row>
    <row r="1368" spans="3:11" x14ac:dyDescent="0.25">
      <c r="C1368" t="str">
        <f>IF(COUNTBLANK(E1368:J1368) = 6,"",IF(AND(NOT(ISBLANK(E1368)),COUNTBLANK(E1368:J1368) = 5),"3 Delete",IF(ISBLANK(E1368),"2 Add",IF(SHA1Range(E1368:J1368) = "63828c5851df6831b2e3bfad40f4c7f78de2d692","0 Original","1 Modify"))))</f>
        <v>0 Original</v>
      </c>
      <c r="D1368" s="5" t="s">
        <v>2196</v>
      </c>
      <c r="E1368" s="3">
        <v>1154</v>
      </c>
      <c r="F1368" s="13">
        <v>42255</v>
      </c>
      <c r="G1368" t="s">
        <v>326</v>
      </c>
      <c r="H1368" s="9">
        <v>5.99</v>
      </c>
      <c r="I1368" s="5" t="s">
        <v>68</v>
      </c>
      <c r="J1368" s="15">
        <v>42255.070648148147</v>
      </c>
      <c r="K1368" t="str">
        <f t="shared" si="21"/>
        <v>09-2015</v>
      </c>
    </row>
    <row r="1369" spans="3:11" x14ac:dyDescent="0.25">
      <c r="C1369" t="str">
        <f>IF(COUNTBLANK(E1369:J1369) = 6,"",IF(AND(NOT(ISBLANK(E1369)),COUNTBLANK(E1369:J1369) = 5),"3 Delete",IF(ISBLANK(E1369),"2 Add",IF(SHA1Range(E1369:J1369) = "f0590b43e77ee71b9a17d0004acebea8c9ee8e2d","0 Original","1 Modify"))))</f>
        <v>0 Original</v>
      </c>
      <c r="D1369" s="5" t="s">
        <v>4096</v>
      </c>
      <c r="E1369" s="3">
        <v>393</v>
      </c>
      <c r="F1369" s="13">
        <v>42255</v>
      </c>
      <c r="G1369" t="s">
        <v>224</v>
      </c>
      <c r="H1369" s="9">
        <v>66.92</v>
      </c>
      <c r="I1369" s="5" t="s">
        <v>68</v>
      </c>
      <c r="J1369" s="15">
        <v>42255.204560185186</v>
      </c>
      <c r="K1369" t="str">
        <f t="shared" si="21"/>
        <v>09-2015</v>
      </c>
    </row>
    <row r="1370" spans="3:11" x14ac:dyDescent="0.25">
      <c r="C1370" t="str">
        <f>IF(COUNTBLANK(E1370:J1370) = 6,"",IF(AND(NOT(ISBLANK(E1370)),COUNTBLANK(E1370:J1370) = 5),"3 Delete",IF(ISBLANK(E1370),"2 Add",IF(SHA1Range(E1370:J1370) = "4446de72c57c1b92829e1a7eecfa3cd98c0f927c","0 Original","1 Modify"))))</f>
        <v>0 Original</v>
      </c>
      <c r="D1370" s="5" t="s">
        <v>4442</v>
      </c>
      <c r="E1370" s="3">
        <v>204</v>
      </c>
      <c r="F1370" s="13">
        <v>42256</v>
      </c>
      <c r="G1370" t="s">
        <v>73</v>
      </c>
      <c r="H1370" s="9">
        <v>74.92</v>
      </c>
      <c r="I1370" s="5" t="s">
        <v>68</v>
      </c>
      <c r="J1370" s="15">
        <v>42256.266365740739</v>
      </c>
      <c r="K1370" t="str">
        <f t="shared" si="21"/>
        <v>09-2015</v>
      </c>
    </row>
    <row r="1371" spans="3:11" x14ac:dyDescent="0.25">
      <c r="C1371" t="str">
        <f>IF(COUNTBLANK(E1371:J1371) = 6,"",IF(AND(NOT(ISBLANK(E1371)),COUNTBLANK(E1371:J1371) = 5),"3 Delete",IF(ISBLANK(E1371),"2 Add",IF(SHA1Range(E1371:J1371) = "3d2a7ddc83b9f8347c6ec50a2c4a348f1579ed1b","0 Original","1 Modify"))))</f>
        <v>0 Original</v>
      </c>
      <c r="D1371" s="5" t="s">
        <v>2197</v>
      </c>
      <c r="E1371" s="3">
        <v>995</v>
      </c>
      <c r="F1371" s="13">
        <v>42257</v>
      </c>
      <c r="G1371" t="s">
        <v>272</v>
      </c>
      <c r="H1371" s="9">
        <v>31.96</v>
      </c>
      <c r="I1371" s="5" t="s">
        <v>68</v>
      </c>
      <c r="J1371" s="15">
        <v>42257.436562499999</v>
      </c>
      <c r="K1371" t="str">
        <f t="shared" si="21"/>
        <v>09-2015</v>
      </c>
    </row>
    <row r="1372" spans="3:11" x14ac:dyDescent="0.25">
      <c r="C1372" t="str">
        <f>IF(COUNTBLANK(E1372:J1372) = 6,"",IF(AND(NOT(ISBLANK(E1372)),COUNTBLANK(E1372:J1372) = 5),"3 Delete",IF(ISBLANK(E1372),"2 Add",IF(SHA1Range(E1372:J1372) = "d704717220e7e42504e0ec9916a1697a97c96b1a","0 Original","1 Modify"))))</f>
        <v>0 Original</v>
      </c>
      <c r="D1372" s="5" t="s">
        <v>2198</v>
      </c>
      <c r="E1372" s="3">
        <v>653</v>
      </c>
      <c r="F1372" s="13">
        <v>42257</v>
      </c>
      <c r="G1372" t="s">
        <v>146</v>
      </c>
      <c r="H1372" s="9">
        <v>30.96</v>
      </c>
      <c r="I1372" s="5" t="s">
        <v>68</v>
      </c>
      <c r="J1372" s="15">
        <v>42257.564606481479</v>
      </c>
      <c r="K1372" t="str">
        <f t="shared" si="21"/>
        <v>09-2015</v>
      </c>
    </row>
    <row r="1373" spans="3:11" x14ac:dyDescent="0.25">
      <c r="C1373" t="str">
        <f>IF(COUNTBLANK(E1373:J1373) = 6,"",IF(AND(NOT(ISBLANK(E1373)),COUNTBLANK(E1373:J1373) = 5),"3 Delete",IF(ISBLANK(E1373),"2 Add",IF(SHA1Range(E1373:J1373) = "8d2b12965e59438ea9caef9691a297cfcf4b5d6c","0 Original","1 Modify"))))</f>
        <v>0 Original</v>
      </c>
      <c r="D1373" s="5" t="s">
        <v>4099</v>
      </c>
      <c r="E1373" s="3">
        <v>384</v>
      </c>
      <c r="F1373" s="13">
        <v>42258</v>
      </c>
      <c r="G1373" t="s">
        <v>164</v>
      </c>
      <c r="H1373" s="9">
        <v>18.97</v>
      </c>
      <c r="I1373" s="5" t="s">
        <v>68</v>
      </c>
      <c r="J1373" s="15">
        <v>42258.129849537036</v>
      </c>
      <c r="K1373" t="str">
        <f t="shared" si="21"/>
        <v>09-2015</v>
      </c>
    </row>
    <row r="1374" spans="3:11" x14ac:dyDescent="0.25">
      <c r="C1374" t="str">
        <f>IF(COUNTBLANK(E1374:J1374) = 6,"",IF(AND(NOT(ISBLANK(E1374)),COUNTBLANK(E1374:J1374) = 5),"3 Delete",IF(ISBLANK(E1374),"2 Add",IF(SHA1Range(E1374:J1374) = "035717a11a579cc244b5317245aa52b431be87c9","0 Original","1 Modify"))))</f>
        <v>0 Original</v>
      </c>
      <c r="D1374" s="5" t="s">
        <v>4443</v>
      </c>
      <c r="E1374" s="3">
        <v>16</v>
      </c>
      <c r="F1374" s="13">
        <v>42258</v>
      </c>
      <c r="G1374" t="s">
        <v>254</v>
      </c>
      <c r="H1374" s="9">
        <v>13.98</v>
      </c>
      <c r="I1374" s="5" t="s">
        <v>68</v>
      </c>
      <c r="J1374" s="15">
        <v>42258.572881944441</v>
      </c>
      <c r="K1374" t="str">
        <f t="shared" si="21"/>
        <v>09-2015</v>
      </c>
    </row>
    <row r="1375" spans="3:11" x14ac:dyDescent="0.25">
      <c r="C1375" t="str">
        <f>IF(COUNTBLANK(E1375:J1375) = 6,"",IF(AND(NOT(ISBLANK(E1375)),COUNTBLANK(E1375:J1375) = 5),"3 Delete",IF(ISBLANK(E1375),"2 Add",IF(SHA1Range(E1375:J1375) = "ac14f29fee8e9e969decad381dc26641ef8b410c","0 Original","1 Modify"))))</f>
        <v>0 Original</v>
      </c>
      <c r="D1375" s="5" t="s">
        <v>2199</v>
      </c>
      <c r="E1375" s="3">
        <v>1009</v>
      </c>
      <c r="F1375" s="13">
        <v>42259</v>
      </c>
      <c r="G1375" t="s">
        <v>134</v>
      </c>
      <c r="H1375" s="9">
        <v>7.99</v>
      </c>
      <c r="I1375" s="5" t="s">
        <v>68</v>
      </c>
      <c r="J1375" s="15">
        <v>42259.205520833333</v>
      </c>
      <c r="K1375" t="str">
        <f t="shared" si="21"/>
        <v>09-2015</v>
      </c>
    </row>
    <row r="1376" spans="3:11" x14ac:dyDescent="0.25">
      <c r="C1376" t="str">
        <f>IF(COUNTBLANK(E1376:J1376) = 6,"",IF(AND(NOT(ISBLANK(E1376)),COUNTBLANK(E1376:J1376) = 5),"3 Delete",IF(ISBLANK(E1376),"2 Add",IF(SHA1Range(E1376:J1376) = "329cf0a4e6f837253ec8c438b28d6b6ee97a9cc0","0 Original","1 Modify"))))</f>
        <v>0 Original</v>
      </c>
      <c r="D1376" s="5" t="s">
        <v>4444</v>
      </c>
      <c r="E1376" s="3">
        <v>264</v>
      </c>
      <c r="F1376" s="13">
        <v>42261</v>
      </c>
      <c r="G1376" t="s">
        <v>239</v>
      </c>
      <c r="H1376" s="9">
        <v>74.91</v>
      </c>
      <c r="I1376" s="5" t="s">
        <v>68</v>
      </c>
      <c r="J1376" s="15">
        <v>42261.550381944442</v>
      </c>
      <c r="K1376" t="str">
        <f t="shared" si="21"/>
        <v>09-2015</v>
      </c>
    </row>
    <row r="1377" spans="3:11" x14ac:dyDescent="0.25">
      <c r="C1377" t="str">
        <f>IF(COUNTBLANK(E1377:J1377) = 6,"",IF(AND(NOT(ISBLANK(E1377)),COUNTBLANK(E1377:J1377) = 5),"3 Delete",IF(ISBLANK(E1377),"2 Add",IF(SHA1Range(E1377:J1377) = "908cb594223654d64d0933a885aa44b11c38faad","0 Original","1 Modify"))))</f>
        <v>0 Original</v>
      </c>
      <c r="D1377" s="5" t="s">
        <v>2200</v>
      </c>
      <c r="E1377" s="3">
        <v>850</v>
      </c>
      <c r="F1377" s="13">
        <v>42262</v>
      </c>
      <c r="G1377" t="s">
        <v>326</v>
      </c>
      <c r="H1377" s="9">
        <v>48.93</v>
      </c>
      <c r="I1377" s="5" t="s">
        <v>68</v>
      </c>
      <c r="J1377" s="15">
        <v>42262.404826388891</v>
      </c>
      <c r="K1377" t="str">
        <f t="shared" si="21"/>
        <v>09-2015</v>
      </c>
    </row>
    <row r="1378" spans="3:11" x14ac:dyDescent="0.25">
      <c r="C1378" t="str">
        <f>IF(COUNTBLANK(E1378:J1378) = 6,"",IF(AND(NOT(ISBLANK(E1378)),COUNTBLANK(E1378:J1378) = 5),"3 Delete",IF(ISBLANK(E1378),"2 Add",IF(SHA1Range(E1378:J1378) = "6683dfbf0bc5cfb6ac1c031396bc28c2aaf9576c","0 Original","1 Modify"))))</f>
        <v>0 Original</v>
      </c>
      <c r="D1378" s="5" t="s">
        <v>2201</v>
      </c>
      <c r="E1378" s="3">
        <v>531</v>
      </c>
      <c r="F1378" s="13">
        <v>42262</v>
      </c>
      <c r="G1378" t="s">
        <v>341</v>
      </c>
      <c r="H1378" s="9">
        <v>81.89</v>
      </c>
      <c r="I1378" s="5" t="s">
        <v>68</v>
      </c>
      <c r="J1378" s="15">
        <v>42262.47284722222</v>
      </c>
      <c r="K1378" t="str">
        <f t="shared" si="21"/>
        <v>09-2015</v>
      </c>
    </row>
    <row r="1379" spans="3:11" x14ac:dyDescent="0.25">
      <c r="C1379" t="str">
        <f>IF(COUNTBLANK(E1379:J1379) = 6,"",IF(AND(NOT(ISBLANK(E1379)),COUNTBLANK(E1379:J1379) = 5),"3 Delete",IF(ISBLANK(E1379),"2 Add",IF(SHA1Range(E1379:J1379) = "92a16ae19da01ebe5cf4665211da9fe759329eb6","0 Original","1 Modify"))))</f>
        <v>0 Original</v>
      </c>
      <c r="D1379" s="5" t="s">
        <v>4087</v>
      </c>
      <c r="E1379" s="3">
        <v>427</v>
      </c>
      <c r="F1379" s="13">
        <v>42263</v>
      </c>
      <c r="G1379" t="s">
        <v>317</v>
      </c>
      <c r="H1379" s="9">
        <v>61.92</v>
      </c>
      <c r="I1379" s="5" t="s">
        <v>68</v>
      </c>
      <c r="J1379" s="15">
        <v>42263.503159722219</v>
      </c>
      <c r="K1379" t="str">
        <f t="shared" si="21"/>
        <v>09-2015</v>
      </c>
    </row>
    <row r="1380" spans="3:11" x14ac:dyDescent="0.25">
      <c r="C1380" t="str">
        <f>IF(COUNTBLANK(E1380:J1380) = 6,"",IF(AND(NOT(ISBLANK(E1380)),COUNTBLANK(E1380:J1380) = 5),"3 Delete",IF(ISBLANK(E1380),"2 Add",IF(SHA1Range(E1380:J1380) = "a091e30f20696f8d31c6d444a77578518191ef05","0 Original","1 Modify"))))</f>
        <v>0 Original</v>
      </c>
      <c r="D1380" s="5" t="s">
        <v>2202</v>
      </c>
      <c r="E1380" s="3">
        <v>921</v>
      </c>
      <c r="F1380" s="13">
        <v>42264</v>
      </c>
      <c r="G1380" t="s">
        <v>134</v>
      </c>
      <c r="H1380" s="9">
        <v>24.96</v>
      </c>
      <c r="I1380" s="5" t="s">
        <v>68</v>
      </c>
      <c r="J1380" s="15">
        <v>42264.503379629627</v>
      </c>
      <c r="K1380" t="str">
        <f t="shared" si="21"/>
        <v>09-2015</v>
      </c>
    </row>
    <row r="1381" spans="3:11" x14ac:dyDescent="0.25">
      <c r="C1381" t="str">
        <f>IF(COUNTBLANK(E1381:J1381) = 6,"",IF(AND(NOT(ISBLANK(E1381)),COUNTBLANK(E1381:J1381) = 5),"3 Delete",IF(ISBLANK(E1381),"2 Add",IF(SHA1Range(E1381:J1381) = "b9d7168fb5793784db69ab49af711686d1d58ac0","0 Original","1 Modify"))))</f>
        <v>0 Original</v>
      </c>
      <c r="D1381" s="5" t="s">
        <v>4445</v>
      </c>
      <c r="E1381" s="3">
        <v>12</v>
      </c>
      <c r="F1381" s="13">
        <v>42264</v>
      </c>
      <c r="G1381" t="s">
        <v>203</v>
      </c>
      <c r="H1381" s="9">
        <v>29.96</v>
      </c>
      <c r="I1381" s="5" t="s">
        <v>68</v>
      </c>
      <c r="J1381" s="15">
        <v>42264.887766203705</v>
      </c>
      <c r="K1381" t="str">
        <f t="shared" si="21"/>
        <v>09-2015</v>
      </c>
    </row>
    <row r="1382" spans="3:11" x14ac:dyDescent="0.25">
      <c r="C1382" t="str">
        <f>IF(COUNTBLANK(E1382:J1382) = 6,"",IF(AND(NOT(ISBLANK(E1382)),COUNTBLANK(E1382:J1382) = 5),"3 Delete",IF(ISBLANK(E1382),"2 Add",IF(SHA1Range(E1382:J1382) = "9cdf2baf13017ee82db5b37914f153e60e32f567","0 Original","1 Modify"))))</f>
        <v>0 Original</v>
      </c>
      <c r="D1382" s="5" t="s">
        <v>2203</v>
      </c>
      <c r="E1382" s="3">
        <v>1038</v>
      </c>
      <c r="F1382" s="13">
        <v>42264</v>
      </c>
      <c r="G1382" t="s">
        <v>260</v>
      </c>
      <c r="H1382" s="9">
        <v>53.94</v>
      </c>
      <c r="I1382" s="5" t="s">
        <v>68</v>
      </c>
      <c r="J1382" s="15">
        <v>42264.905960648146</v>
      </c>
      <c r="K1382" t="str">
        <f t="shared" si="21"/>
        <v>09-2015</v>
      </c>
    </row>
    <row r="1383" spans="3:11" x14ac:dyDescent="0.25">
      <c r="C1383" t="str">
        <f>IF(COUNTBLANK(E1383:J1383) = 6,"",IF(AND(NOT(ISBLANK(E1383)),COUNTBLANK(E1383:J1383) = 5),"3 Delete",IF(ISBLANK(E1383),"2 Add",IF(SHA1Range(E1383:J1383) = "75853493f9cb5139af9705d1ba1f37bdcb6de508","0 Original","1 Modify"))))</f>
        <v>0 Original</v>
      </c>
      <c r="D1383" s="5" t="s">
        <v>4117</v>
      </c>
      <c r="E1383" s="3">
        <v>340</v>
      </c>
      <c r="F1383" s="13">
        <v>42265</v>
      </c>
      <c r="G1383" t="s">
        <v>275</v>
      </c>
      <c r="H1383" s="9">
        <v>16.97</v>
      </c>
      <c r="I1383" s="5" t="s">
        <v>68</v>
      </c>
      <c r="J1383" s="15">
        <v>42265.17690972222</v>
      </c>
      <c r="K1383" t="str">
        <f t="shared" si="21"/>
        <v>09-2015</v>
      </c>
    </row>
    <row r="1384" spans="3:11" x14ac:dyDescent="0.25">
      <c r="C1384" t="str">
        <f>IF(COUNTBLANK(E1384:J1384) = 6,"",IF(AND(NOT(ISBLANK(E1384)),COUNTBLANK(E1384:J1384) = 5),"3 Delete",IF(ISBLANK(E1384),"2 Add",IF(SHA1Range(E1384:J1384) = "75c2f46463dd885e91d4794929fc7766a043079e","0 Original","1 Modify"))))</f>
        <v>0 Original</v>
      </c>
      <c r="D1384" s="5" t="s">
        <v>4137</v>
      </c>
      <c r="E1384" s="3">
        <v>150</v>
      </c>
      <c r="F1384" s="13">
        <v>42265</v>
      </c>
      <c r="G1384" t="s">
        <v>293</v>
      </c>
      <c r="H1384" s="9">
        <v>54.92</v>
      </c>
      <c r="I1384" s="5" t="s">
        <v>68</v>
      </c>
      <c r="J1384" s="15">
        <v>42265.711006944446</v>
      </c>
      <c r="K1384" t="str">
        <f t="shared" si="21"/>
        <v>09-2015</v>
      </c>
    </row>
    <row r="1385" spans="3:11" x14ac:dyDescent="0.25">
      <c r="C1385" t="str">
        <f>IF(COUNTBLANK(E1385:J1385) = 6,"",IF(AND(NOT(ISBLANK(E1385)),COUNTBLANK(E1385:J1385) = 5),"3 Delete",IF(ISBLANK(E1385),"2 Add",IF(SHA1Range(E1385:J1385) = "6b2182bd3085794a294cc438c552b58bbb88e9e1","0 Original","1 Modify"))))</f>
        <v>0 Original</v>
      </c>
      <c r="D1385" s="5" t="s">
        <v>2204</v>
      </c>
      <c r="E1385" s="3">
        <v>1147</v>
      </c>
      <c r="F1385" s="13">
        <v>42266</v>
      </c>
      <c r="G1385" t="s">
        <v>242</v>
      </c>
      <c r="H1385" s="9">
        <v>72.92</v>
      </c>
      <c r="I1385" s="5" t="s">
        <v>68</v>
      </c>
      <c r="J1385" s="15">
        <v>42266.963217592594</v>
      </c>
      <c r="K1385" t="str">
        <f t="shared" si="21"/>
        <v>09-2015</v>
      </c>
    </row>
    <row r="1386" spans="3:11" x14ac:dyDescent="0.25">
      <c r="C1386" t="str">
        <f>IF(COUNTBLANK(E1386:J1386) = 6,"",IF(AND(NOT(ISBLANK(E1386)),COUNTBLANK(E1386:J1386) = 5),"3 Delete",IF(ISBLANK(E1386),"2 Add",IF(SHA1Range(E1386:J1386) = "5813b79f1658843e08f7f776f988f850e1ffe4a4","0 Original","1 Modify"))))</f>
        <v>0 Original</v>
      </c>
      <c r="D1386" s="5" t="s">
        <v>4446</v>
      </c>
      <c r="E1386" s="3">
        <v>91</v>
      </c>
      <c r="F1386" s="13">
        <v>42267</v>
      </c>
      <c r="G1386" t="s">
        <v>197</v>
      </c>
      <c r="H1386" s="9">
        <v>33.96</v>
      </c>
      <c r="I1386" s="5" t="s">
        <v>68</v>
      </c>
      <c r="J1386" s="15">
        <v>42267.387025462966</v>
      </c>
      <c r="K1386" t="str">
        <f t="shared" si="21"/>
        <v>09-2015</v>
      </c>
    </row>
    <row r="1387" spans="3:11" x14ac:dyDescent="0.25">
      <c r="C1387" t="str">
        <f>IF(COUNTBLANK(E1387:J1387) = 6,"",IF(AND(NOT(ISBLANK(E1387)),COUNTBLANK(E1387:J1387) = 5),"3 Delete",IF(ISBLANK(E1387),"2 Add",IF(SHA1Range(E1387:J1387) = "19932a26e805dc0eaa3ff57d657d89d253e44f22","0 Original","1 Modify"))))</f>
        <v>0 Original</v>
      </c>
      <c r="D1387" s="5" t="s">
        <v>4447</v>
      </c>
      <c r="E1387" s="3">
        <v>202</v>
      </c>
      <c r="F1387" s="13">
        <v>42267</v>
      </c>
      <c r="G1387" t="s">
        <v>284</v>
      </c>
      <c r="H1387" s="9">
        <v>33.96</v>
      </c>
      <c r="I1387" s="5" t="s">
        <v>68</v>
      </c>
      <c r="J1387" s="15">
        <v>42267.979710648149</v>
      </c>
      <c r="K1387" t="str">
        <f t="shared" si="21"/>
        <v>09-2015</v>
      </c>
    </row>
    <row r="1388" spans="3:11" x14ac:dyDescent="0.25">
      <c r="C1388" t="str">
        <f>IF(COUNTBLANK(E1388:J1388) = 6,"",IF(AND(NOT(ISBLANK(E1388)),COUNTBLANK(E1388:J1388) = 5),"3 Delete",IF(ISBLANK(E1388),"2 Add",IF(SHA1Range(E1388:J1388) = "a3b935c41072da3c1ddf9549a0330153610b3bd8","0 Original","1 Modify"))))</f>
        <v>0 Original</v>
      </c>
      <c r="D1388" s="5" t="s">
        <v>2205</v>
      </c>
      <c r="E1388" s="3">
        <v>541</v>
      </c>
      <c r="F1388" s="13">
        <v>42268</v>
      </c>
      <c r="G1388" t="s">
        <v>137</v>
      </c>
      <c r="H1388" s="9">
        <v>56.93</v>
      </c>
      <c r="I1388" s="5" t="s">
        <v>68</v>
      </c>
      <c r="J1388" s="15">
        <v>42268.232627314814</v>
      </c>
      <c r="K1388" t="str">
        <f t="shared" si="21"/>
        <v>09-2015</v>
      </c>
    </row>
    <row r="1389" spans="3:11" x14ac:dyDescent="0.25">
      <c r="C1389" t="str">
        <f>IF(COUNTBLANK(E1389:J1389) = 6,"",IF(AND(NOT(ISBLANK(E1389)),COUNTBLANK(E1389:J1389) = 5),"3 Delete",IF(ISBLANK(E1389),"2 Add",IF(SHA1Range(E1389:J1389) = "6c1fb0bfef3b86368010dcbb14c40a4d57d9981c","0 Original","1 Modify"))))</f>
        <v>0 Original</v>
      </c>
      <c r="D1389" s="5" t="s">
        <v>4091</v>
      </c>
      <c r="E1389" s="3">
        <v>422</v>
      </c>
      <c r="F1389" s="13">
        <v>42268</v>
      </c>
      <c r="G1389" t="s">
        <v>251</v>
      </c>
      <c r="H1389" s="9">
        <v>28.96</v>
      </c>
      <c r="I1389" s="5" t="s">
        <v>68</v>
      </c>
      <c r="J1389" s="15">
        <v>42268.894409722219</v>
      </c>
      <c r="K1389" t="str">
        <f t="shared" si="21"/>
        <v>09-2015</v>
      </c>
    </row>
    <row r="1390" spans="3:11" x14ac:dyDescent="0.25">
      <c r="C1390" t="str">
        <f>IF(COUNTBLANK(E1390:J1390) = 6,"",IF(AND(NOT(ISBLANK(E1390)),COUNTBLANK(E1390:J1390) = 5),"3 Delete",IF(ISBLANK(E1390),"2 Add",IF(SHA1Range(E1390:J1390) = "3a6c41f36d973d79337edc52db9fab0c5f910108","0 Original","1 Modify"))))</f>
        <v>0 Original</v>
      </c>
      <c r="D1390" s="5" t="s">
        <v>2206</v>
      </c>
      <c r="E1390" s="3">
        <v>714</v>
      </c>
      <c r="F1390" s="13">
        <v>42268</v>
      </c>
      <c r="G1390" t="s">
        <v>260</v>
      </c>
      <c r="H1390" s="9">
        <v>77.92</v>
      </c>
      <c r="I1390" s="5" t="s">
        <v>68</v>
      </c>
      <c r="J1390" s="15">
        <v>42268.982476851852</v>
      </c>
      <c r="K1390" t="str">
        <f t="shared" si="21"/>
        <v>09-2015</v>
      </c>
    </row>
    <row r="1391" spans="3:11" x14ac:dyDescent="0.25">
      <c r="C1391" t="str">
        <f>IF(COUNTBLANK(E1391:J1391) = 6,"",IF(AND(NOT(ISBLANK(E1391)),COUNTBLANK(E1391:J1391) = 5),"3 Delete",IF(ISBLANK(E1391),"2 Add",IF(SHA1Range(E1391:J1391) = "c8e8c6aeeb36892c1bc95efdaa6e4dc37baaf182","0 Original","1 Modify"))))</f>
        <v>0 Original</v>
      </c>
      <c r="D1391" s="5" t="s">
        <v>4059</v>
      </c>
      <c r="E1391" s="3">
        <v>488</v>
      </c>
      <c r="F1391" s="13">
        <v>42270</v>
      </c>
      <c r="G1391" t="s">
        <v>212</v>
      </c>
      <c r="H1391" s="9">
        <v>33.950000000000003</v>
      </c>
      <c r="I1391" s="5" t="s">
        <v>68</v>
      </c>
      <c r="J1391" s="15">
        <v>42270.047152777777</v>
      </c>
      <c r="K1391" t="str">
        <f t="shared" si="21"/>
        <v>09-2015</v>
      </c>
    </row>
    <row r="1392" spans="3:11" x14ac:dyDescent="0.25">
      <c r="C1392" t="str">
        <f>IF(COUNTBLANK(E1392:J1392) = 6,"",IF(AND(NOT(ISBLANK(E1392)),COUNTBLANK(E1392:J1392) = 5),"3 Delete",IF(ISBLANK(E1392),"2 Add",IF(SHA1Range(E1392:J1392) = "04929a43df8979ac88d026f19d720a3a896aa4c6","0 Original","1 Modify"))))</f>
        <v>0 Original</v>
      </c>
      <c r="D1392" s="5" t="s">
        <v>4136</v>
      </c>
      <c r="E1392" s="3">
        <v>126</v>
      </c>
      <c r="F1392" s="13">
        <v>42270</v>
      </c>
      <c r="G1392" t="s">
        <v>311</v>
      </c>
      <c r="H1392" s="9">
        <v>37.950000000000003</v>
      </c>
      <c r="I1392" s="5" t="s">
        <v>68</v>
      </c>
      <c r="J1392" s="15">
        <v>42270.679502314815</v>
      </c>
      <c r="K1392" t="str">
        <f t="shared" si="21"/>
        <v>09-2015</v>
      </c>
    </row>
    <row r="1393" spans="3:11" x14ac:dyDescent="0.25">
      <c r="C1393" t="str">
        <f>IF(COUNTBLANK(E1393:J1393) = 6,"",IF(AND(NOT(ISBLANK(E1393)),COUNTBLANK(E1393:J1393) = 5),"3 Delete",IF(ISBLANK(E1393),"2 Add",IF(SHA1Range(E1393:J1393) = "6ec07f8c6d84277de1dbc9ef6777645a0d2e0295","0 Original","1 Modify"))))</f>
        <v>0 Original</v>
      </c>
      <c r="D1393" s="5" t="s">
        <v>2207</v>
      </c>
      <c r="E1393" s="3">
        <v>558</v>
      </c>
      <c r="F1393" s="13">
        <v>42270</v>
      </c>
      <c r="G1393" t="s">
        <v>305</v>
      </c>
      <c r="H1393" s="9">
        <v>78.900000000000006</v>
      </c>
      <c r="I1393" s="5" t="s">
        <v>68</v>
      </c>
      <c r="J1393" s="15">
        <v>42270.746898148151</v>
      </c>
      <c r="K1393" t="str">
        <f t="shared" si="21"/>
        <v>09-2015</v>
      </c>
    </row>
    <row r="1394" spans="3:11" x14ac:dyDescent="0.25">
      <c r="C1394" t="str">
        <f>IF(COUNTBLANK(E1394:J1394) = 6,"",IF(AND(NOT(ISBLANK(E1394)),COUNTBLANK(E1394:J1394) = 5),"3 Delete",IF(ISBLANK(E1394),"2 Add",IF(SHA1Range(E1394:J1394) = "9ebd2805b52011fc56b7b743b30f62f468ec38c9","0 Original","1 Modify"))))</f>
        <v>0 Original</v>
      </c>
      <c r="D1394" s="5" t="s">
        <v>2208</v>
      </c>
      <c r="E1394" s="3">
        <v>834</v>
      </c>
      <c r="F1394" s="13">
        <v>42271</v>
      </c>
      <c r="G1394" t="s">
        <v>260</v>
      </c>
      <c r="H1394" s="9">
        <v>29.97</v>
      </c>
      <c r="I1394" s="5" t="s">
        <v>68</v>
      </c>
      <c r="J1394" s="15">
        <v>42271.369652777779</v>
      </c>
      <c r="K1394" t="str">
        <f t="shared" si="21"/>
        <v>09-2015</v>
      </c>
    </row>
    <row r="1395" spans="3:11" x14ac:dyDescent="0.25">
      <c r="C1395" t="str">
        <f>IF(COUNTBLANK(E1395:J1395) = 6,"",IF(AND(NOT(ISBLANK(E1395)),COUNTBLANK(E1395:J1395) = 5),"3 Delete",IF(ISBLANK(E1395),"2 Add",IF(SHA1Range(E1395:J1395) = "cafc4090008e284e7e15407d340bec0c6463d245","0 Original","1 Modify"))))</f>
        <v>0 Original</v>
      </c>
      <c r="D1395" s="5" t="s">
        <v>2209</v>
      </c>
      <c r="E1395" s="3">
        <v>506</v>
      </c>
      <c r="F1395" s="13">
        <v>42271</v>
      </c>
      <c r="G1395" t="s">
        <v>89</v>
      </c>
      <c r="H1395" s="9">
        <v>52.92</v>
      </c>
      <c r="I1395" s="5" t="s">
        <v>68</v>
      </c>
      <c r="J1395" s="15">
        <v>42271.564837962964</v>
      </c>
      <c r="K1395" t="str">
        <f t="shared" si="21"/>
        <v>09-2015</v>
      </c>
    </row>
    <row r="1396" spans="3:11" x14ac:dyDescent="0.25">
      <c r="C1396" t="str">
        <f>IF(COUNTBLANK(E1396:J1396) = 6,"",IF(AND(NOT(ISBLANK(E1396)),COUNTBLANK(E1396:J1396) = 5),"3 Delete",IF(ISBLANK(E1396),"2 Add",IF(SHA1Range(E1396:J1396) = "65a1dd50fe9e5e98134ebf2f3ff095934a4e5e0b","0 Original","1 Modify"))))</f>
        <v>0 Original</v>
      </c>
      <c r="D1396" s="5" t="s">
        <v>2210</v>
      </c>
      <c r="E1396" s="3">
        <v>728</v>
      </c>
      <c r="F1396" s="13">
        <v>42273</v>
      </c>
      <c r="G1396" t="s">
        <v>272</v>
      </c>
      <c r="H1396" s="9">
        <v>19.97</v>
      </c>
      <c r="I1396" s="5" t="s">
        <v>68</v>
      </c>
      <c r="J1396" s="15">
        <v>42273.071145833332</v>
      </c>
      <c r="K1396" t="str">
        <f t="shared" si="21"/>
        <v>09-2015</v>
      </c>
    </row>
    <row r="1397" spans="3:11" x14ac:dyDescent="0.25">
      <c r="C1397" t="str">
        <f>IF(COUNTBLANK(E1397:J1397) = 6,"",IF(AND(NOT(ISBLANK(E1397)),COUNTBLANK(E1397:J1397) = 5),"3 Delete",IF(ISBLANK(E1397),"2 Add",IF(SHA1Range(E1397:J1397) = "6aa760fb8410b221d6557cbda7f2f49eb2659e04","0 Original","1 Modify"))))</f>
        <v>0 Original</v>
      </c>
      <c r="D1397" s="5" t="s">
        <v>4060</v>
      </c>
      <c r="E1397" s="3">
        <v>485</v>
      </c>
      <c r="F1397" s="13">
        <v>42274</v>
      </c>
      <c r="G1397" t="s">
        <v>251</v>
      </c>
      <c r="H1397" s="9">
        <v>9.99</v>
      </c>
      <c r="I1397" s="5" t="s">
        <v>68</v>
      </c>
      <c r="J1397" s="15">
        <v>42274.15960648148</v>
      </c>
      <c r="K1397" t="str">
        <f t="shared" si="21"/>
        <v>09-2015</v>
      </c>
    </row>
    <row r="1398" spans="3:11" x14ac:dyDescent="0.25">
      <c r="C1398" t="str">
        <f>IF(COUNTBLANK(E1398:J1398) = 6,"",IF(AND(NOT(ISBLANK(E1398)),COUNTBLANK(E1398:J1398) = 5),"3 Delete",IF(ISBLANK(E1398),"2 Add",IF(SHA1Range(E1398:J1398) = "130ec7b76ad915596ac9a84b7c2f10a6069e5dd1","0 Original","1 Modify"))))</f>
        <v>0 Original</v>
      </c>
      <c r="D1398" s="5" t="s">
        <v>2211</v>
      </c>
      <c r="E1398" s="3">
        <v>792</v>
      </c>
      <c r="F1398" s="13">
        <v>42274</v>
      </c>
      <c r="G1398" t="s">
        <v>134</v>
      </c>
      <c r="H1398" s="9">
        <v>58.92</v>
      </c>
      <c r="I1398" s="5" t="s">
        <v>68</v>
      </c>
      <c r="J1398" s="15">
        <v>42274.337268518517</v>
      </c>
      <c r="K1398" t="str">
        <f t="shared" si="21"/>
        <v>09-2015</v>
      </c>
    </row>
    <row r="1399" spans="3:11" x14ac:dyDescent="0.25">
      <c r="C1399" t="str">
        <f>IF(COUNTBLANK(E1399:J1399) = 6,"",IF(AND(NOT(ISBLANK(E1399)),COUNTBLANK(E1399:J1399) = 5),"3 Delete",IF(ISBLANK(E1399),"2 Add",IF(SHA1Range(E1399:J1399) = "f038ec5ef0d6deb3db876880ec924e5acfe0642a","0 Original","1 Modify"))))</f>
        <v>0 Original</v>
      </c>
      <c r="D1399" s="5" t="s">
        <v>2212</v>
      </c>
      <c r="E1399" s="3">
        <v>940</v>
      </c>
      <c r="F1399" s="13">
        <v>42274</v>
      </c>
      <c r="G1399" t="s">
        <v>302</v>
      </c>
      <c r="H1399" s="9">
        <v>45.94</v>
      </c>
      <c r="I1399" s="5" t="s">
        <v>68</v>
      </c>
      <c r="J1399" s="15">
        <v>42274.824513888889</v>
      </c>
      <c r="K1399" t="str">
        <f t="shared" si="21"/>
        <v>09-2015</v>
      </c>
    </row>
    <row r="1400" spans="3:11" x14ac:dyDescent="0.25">
      <c r="C1400" t="str">
        <f>IF(COUNTBLANK(E1400:J1400) = 6,"",IF(AND(NOT(ISBLANK(E1400)),COUNTBLANK(E1400:J1400) = 5),"3 Delete",IF(ISBLANK(E1400),"2 Add",IF(SHA1Range(E1400:J1400) = "35fa4178cc50dede3319b73f5ca75f95d316f23c","0 Original","1 Modify"))))</f>
        <v>0 Original</v>
      </c>
      <c r="D1400" s="5" t="s">
        <v>2213</v>
      </c>
      <c r="E1400" s="3">
        <v>534</v>
      </c>
      <c r="F1400" s="13">
        <v>42274</v>
      </c>
      <c r="G1400" t="s">
        <v>125</v>
      </c>
      <c r="H1400" s="9">
        <v>28.96</v>
      </c>
      <c r="I1400" s="5" t="s">
        <v>68</v>
      </c>
      <c r="J1400" s="15">
        <v>42274.947650462964</v>
      </c>
      <c r="K1400" t="str">
        <f t="shared" si="21"/>
        <v>09-2015</v>
      </c>
    </row>
    <row r="1401" spans="3:11" x14ac:dyDescent="0.25">
      <c r="C1401" t="str">
        <f>IF(COUNTBLANK(E1401:J1401) = 6,"",IF(AND(NOT(ISBLANK(E1401)),COUNTBLANK(E1401:J1401) = 5),"3 Delete",IF(ISBLANK(E1401),"2 Add",IF(SHA1Range(E1401:J1401) = "eb30f6941151bcb9dad209376710969bd8c8ad72","0 Original","1 Modify"))))</f>
        <v>0 Original</v>
      </c>
      <c r="D1401" s="5" t="s">
        <v>2214</v>
      </c>
      <c r="E1401" s="3">
        <v>536</v>
      </c>
      <c r="F1401" s="13">
        <v>42276</v>
      </c>
      <c r="G1401" t="s">
        <v>119</v>
      </c>
      <c r="H1401" s="9">
        <v>82.9</v>
      </c>
      <c r="I1401" s="5" t="s">
        <v>68</v>
      </c>
      <c r="J1401" s="15">
        <v>42276.486608796295</v>
      </c>
      <c r="K1401" t="str">
        <f t="shared" si="21"/>
        <v>09-2015</v>
      </c>
    </row>
    <row r="1402" spans="3:11" x14ac:dyDescent="0.25">
      <c r="C1402" t="str">
        <f>IF(COUNTBLANK(E1402:J1402) = 6,"",IF(AND(NOT(ISBLANK(E1402)),COUNTBLANK(E1402:J1402) = 5),"3 Delete",IF(ISBLANK(E1402),"2 Add",IF(SHA1Range(E1402:J1402) = "59494b0c9683c006d4ce9aad41aea7aa16d1b6af","0 Original","1 Modify"))))</f>
        <v>0 Original</v>
      </c>
      <c r="D1402" s="5" t="s">
        <v>2215</v>
      </c>
      <c r="E1402" s="3">
        <v>1102</v>
      </c>
      <c r="F1402" s="13">
        <v>42276</v>
      </c>
      <c r="G1402" t="s">
        <v>242</v>
      </c>
      <c r="H1402" s="9">
        <v>41.94</v>
      </c>
      <c r="I1402" s="5" t="s">
        <v>68</v>
      </c>
      <c r="J1402" s="15">
        <v>42276.610115740739</v>
      </c>
      <c r="K1402" t="str">
        <f t="shared" si="21"/>
        <v>09-2015</v>
      </c>
    </row>
    <row r="1403" spans="3:11" x14ac:dyDescent="0.25">
      <c r="C1403" t="str">
        <f>IF(COUNTBLANK(E1403:J1403) = 6,"",IF(AND(NOT(ISBLANK(E1403)),COUNTBLANK(E1403:J1403) = 5),"3 Delete",IF(ISBLANK(E1403),"2 Add",IF(SHA1Range(E1403:J1403) = "0c71e584fbc635a48e45bd8c73ac55e379d31a83","0 Original","1 Modify"))))</f>
        <v>0 Original</v>
      </c>
      <c r="D1403" s="5" t="s">
        <v>2216</v>
      </c>
      <c r="E1403" s="3">
        <v>845</v>
      </c>
      <c r="F1403" s="13">
        <v>42276</v>
      </c>
      <c r="G1403" t="s">
        <v>170</v>
      </c>
      <c r="H1403" s="9">
        <v>16.97</v>
      </c>
      <c r="I1403" s="5" t="s">
        <v>68</v>
      </c>
      <c r="J1403" s="15">
        <v>42276.622141203705</v>
      </c>
      <c r="K1403" t="str">
        <f t="shared" si="21"/>
        <v>09-2015</v>
      </c>
    </row>
    <row r="1404" spans="3:11" x14ac:dyDescent="0.25">
      <c r="C1404" t="str">
        <f>IF(COUNTBLANK(E1404:J1404) = 6,"",IF(AND(NOT(ISBLANK(E1404)),COUNTBLANK(E1404:J1404) = 5),"3 Delete",IF(ISBLANK(E1404),"2 Add",IF(SHA1Range(E1404:J1404) = "5ee7a2ad2e578f5836c11a8975f3fe2edfbcc0e2","0 Original","1 Modify"))))</f>
        <v>0 Original</v>
      </c>
      <c r="D1404" s="5" t="s">
        <v>2217</v>
      </c>
      <c r="E1404" s="3">
        <v>824</v>
      </c>
      <c r="F1404" s="13">
        <v>42276</v>
      </c>
      <c r="G1404" t="s">
        <v>242</v>
      </c>
      <c r="H1404" s="9">
        <v>14.98</v>
      </c>
      <c r="I1404" s="5" t="s">
        <v>68</v>
      </c>
      <c r="J1404" s="15">
        <v>42276.937303240738</v>
      </c>
      <c r="K1404" t="str">
        <f t="shared" si="21"/>
        <v>09-2015</v>
      </c>
    </row>
    <row r="1405" spans="3:11" x14ac:dyDescent="0.25">
      <c r="C1405" t="str">
        <f>IF(COUNTBLANK(E1405:J1405) = 6,"",IF(AND(NOT(ISBLANK(E1405)),COUNTBLANK(E1405:J1405) = 5),"3 Delete",IF(ISBLANK(E1405),"2 Add",IF(SHA1Range(E1405:J1405) = "b3fbe741787a680b8d5d0d5df258d59879c38f6c","0 Original","1 Modify"))))</f>
        <v>0 Original</v>
      </c>
      <c r="D1405" s="5" t="s">
        <v>2218</v>
      </c>
      <c r="E1405" s="3">
        <v>802</v>
      </c>
      <c r="F1405" s="13">
        <v>42277</v>
      </c>
      <c r="G1405" t="s">
        <v>272</v>
      </c>
      <c r="H1405" s="9">
        <v>14.98</v>
      </c>
      <c r="I1405" s="5" t="s">
        <v>68</v>
      </c>
      <c r="J1405" s="15">
        <v>42277.042581018519</v>
      </c>
      <c r="K1405" t="str">
        <f t="shared" si="21"/>
        <v>09-2015</v>
      </c>
    </row>
    <row r="1406" spans="3:11" x14ac:dyDescent="0.25">
      <c r="C1406" t="str">
        <f>IF(COUNTBLANK(E1406:J1406) = 6,"",IF(AND(NOT(ISBLANK(E1406)),COUNTBLANK(E1406:J1406) = 5),"3 Delete",IF(ISBLANK(E1406),"2 Add",IF(SHA1Range(E1406:J1406) = "3b0e03323fb6a19941140a9ec6ac8be9e42d3390","0 Original","1 Modify"))))</f>
        <v>0 Original</v>
      </c>
      <c r="D1406" s="5" t="s">
        <v>4448</v>
      </c>
      <c r="E1406" s="3">
        <v>18</v>
      </c>
      <c r="F1406" s="13">
        <v>42278</v>
      </c>
      <c r="G1406" t="s">
        <v>260</v>
      </c>
      <c r="H1406" s="9">
        <v>9.99</v>
      </c>
      <c r="I1406" s="5" t="s">
        <v>68</v>
      </c>
      <c r="J1406" s="15">
        <v>42278.102233796293</v>
      </c>
      <c r="K1406" t="str">
        <f t="shared" si="21"/>
        <v>10-2015</v>
      </c>
    </row>
    <row r="1407" spans="3:11" x14ac:dyDescent="0.25">
      <c r="C1407" t="str">
        <f>IF(COUNTBLANK(E1407:J1407) = 6,"",IF(AND(NOT(ISBLANK(E1407)),COUNTBLANK(E1407:J1407) = 5),"3 Delete",IF(ISBLANK(E1407),"2 Add",IF(SHA1Range(E1407:J1407) = "fcc82dac2d6ea439a9ec527b856965e50d85bc72","0 Original","1 Modify"))))</f>
        <v>0 Original</v>
      </c>
      <c r="D1407" s="5" t="s">
        <v>2219</v>
      </c>
      <c r="E1407" s="3">
        <v>512</v>
      </c>
      <c r="F1407" s="13">
        <v>42278</v>
      </c>
      <c r="G1407" t="s">
        <v>317</v>
      </c>
      <c r="H1407" s="9">
        <v>13.98</v>
      </c>
      <c r="I1407" s="5" t="s">
        <v>68</v>
      </c>
      <c r="J1407" s="15">
        <v>42278.593275462961</v>
      </c>
      <c r="K1407" t="str">
        <f t="shared" si="21"/>
        <v>10-2015</v>
      </c>
    </row>
    <row r="1408" spans="3:11" x14ac:dyDescent="0.25">
      <c r="C1408" t="str">
        <f>IF(COUNTBLANK(E1408:J1408) = 6,"",IF(AND(NOT(ISBLANK(E1408)),COUNTBLANK(E1408:J1408) = 5),"3 Delete",IF(ISBLANK(E1408),"2 Add",IF(SHA1Range(E1408:J1408) = "d15173ea2adfa2ae6bf72186b4aeb741dec1f832","0 Original","1 Modify"))))</f>
        <v>0 Original</v>
      </c>
      <c r="D1408" s="5" t="s">
        <v>4135</v>
      </c>
      <c r="E1408" s="3">
        <v>227</v>
      </c>
      <c r="F1408" s="13">
        <v>42279</v>
      </c>
      <c r="G1408" t="s">
        <v>245</v>
      </c>
      <c r="H1408" s="9">
        <v>11.98</v>
      </c>
      <c r="I1408" s="5" t="s">
        <v>68</v>
      </c>
      <c r="J1408" s="15">
        <v>42279.238032407404</v>
      </c>
      <c r="K1408" t="str">
        <f t="shared" si="21"/>
        <v>10-2015</v>
      </c>
    </row>
    <row r="1409" spans="3:11" x14ac:dyDescent="0.25">
      <c r="C1409" t="str">
        <f>IF(COUNTBLANK(E1409:J1409) = 6,"",IF(AND(NOT(ISBLANK(E1409)),COUNTBLANK(E1409:J1409) = 5),"3 Delete",IF(ISBLANK(E1409),"2 Add",IF(SHA1Range(E1409:J1409) = "f0ed277b1d43c3e320ea3a524db7616623c8c812","0 Original","1 Modify"))))</f>
        <v>0 Original</v>
      </c>
      <c r="D1409" s="5" t="s">
        <v>4449</v>
      </c>
      <c r="E1409" s="3">
        <v>48</v>
      </c>
      <c r="F1409" s="13">
        <v>42280</v>
      </c>
      <c r="G1409" t="s">
        <v>197</v>
      </c>
      <c r="H1409" s="9">
        <v>15.97</v>
      </c>
      <c r="I1409" s="5" t="s">
        <v>68</v>
      </c>
      <c r="J1409" s="15">
        <v>42280.067395833335</v>
      </c>
      <c r="K1409" t="str">
        <f t="shared" si="21"/>
        <v>10-2015</v>
      </c>
    </row>
    <row r="1410" spans="3:11" x14ac:dyDescent="0.25">
      <c r="C1410" t="str">
        <f>IF(COUNTBLANK(E1410:J1410) = 6,"",IF(AND(NOT(ISBLANK(E1410)),COUNTBLANK(E1410:J1410) = 5),"3 Delete",IF(ISBLANK(E1410),"2 Add",IF(SHA1Range(E1410:J1410) = "415570a9e2d82f02c21c14feb9566fdae2e11f5a","0 Original","1 Modify"))))</f>
        <v>0 Original</v>
      </c>
      <c r="D1410" s="5" t="s">
        <v>4450</v>
      </c>
      <c r="E1410" s="3">
        <v>99</v>
      </c>
      <c r="F1410" s="13">
        <v>42280</v>
      </c>
      <c r="G1410" t="s">
        <v>272</v>
      </c>
      <c r="H1410" s="9">
        <v>30.96</v>
      </c>
      <c r="I1410" s="5" t="s">
        <v>68</v>
      </c>
      <c r="J1410" s="15">
        <v>42280.409282407411</v>
      </c>
      <c r="K1410" t="str">
        <f t="shared" si="21"/>
        <v>10-2015</v>
      </c>
    </row>
    <row r="1411" spans="3:11" x14ac:dyDescent="0.25">
      <c r="C1411" t="str">
        <f>IF(COUNTBLANK(E1411:J1411) = 6,"",IF(AND(NOT(ISBLANK(E1411)),COUNTBLANK(E1411:J1411) = 5),"3 Delete",IF(ISBLANK(E1411),"2 Add",IF(SHA1Range(E1411:J1411) = "66e7f5fc768b59ad91eda65938aec52f3754fe58","0 Original","1 Modify"))))</f>
        <v>0 Original</v>
      </c>
      <c r="D1411" s="5" t="s">
        <v>4451</v>
      </c>
      <c r="E1411" s="3">
        <v>62</v>
      </c>
      <c r="F1411" s="13">
        <v>42280</v>
      </c>
      <c r="G1411" t="s">
        <v>104</v>
      </c>
      <c r="H1411" s="9">
        <v>25.97</v>
      </c>
      <c r="I1411" s="5" t="s">
        <v>68</v>
      </c>
      <c r="J1411" s="15">
        <v>42280.439293981479</v>
      </c>
      <c r="K1411" t="str">
        <f t="shared" ref="K1411:K1474" si="22">TEXT(F1411,"mm-yyyy")</f>
        <v>10-2015</v>
      </c>
    </row>
    <row r="1412" spans="3:11" x14ac:dyDescent="0.25">
      <c r="C1412" t="str">
        <f>IF(COUNTBLANK(E1412:J1412) = 6,"",IF(AND(NOT(ISBLANK(E1412)),COUNTBLANK(E1412:J1412) = 5),"3 Delete",IF(ISBLANK(E1412),"2 Add",IF(SHA1Range(E1412:J1412) = "c4723f09432fdfdd12f1513de784ca9298eb3885","0 Original","1 Modify"))))</f>
        <v>0 Original</v>
      </c>
      <c r="D1412" s="5" t="s">
        <v>4134</v>
      </c>
      <c r="E1412" s="3">
        <v>93</v>
      </c>
      <c r="F1412" s="13">
        <v>42280</v>
      </c>
      <c r="G1412" t="s">
        <v>65</v>
      </c>
      <c r="H1412" s="9">
        <v>33.96</v>
      </c>
      <c r="I1412" s="5" t="s">
        <v>68</v>
      </c>
      <c r="J1412" s="15">
        <v>42280.88480324074</v>
      </c>
      <c r="K1412" t="str">
        <f t="shared" si="22"/>
        <v>10-2015</v>
      </c>
    </row>
    <row r="1413" spans="3:11" x14ac:dyDescent="0.25">
      <c r="C1413" t="str">
        <f>IF(COUNTBLANK(E1413:J1413) = 6,"",IF(AND(NOT(ISBLANK(E1413)),COUNTBLANK(E1413:J1413) = 5),"3 Delete",IF(ISBLANK(E1413),"2 Add",IF(SHA1Range(E1413:J1413) = "6df76c1f5907c47cb04986c3c4dd0f3f3db7732e","0 Original","1 Modify"))))</f>
        <v>0 Original</v>
      </c>
      <c r="D1413" s="5" t="s">
        <v>4108</v>
      </c>
      <c r="E1413" s="3">
        <v>361</v>
      </c>
      <c r="F1413" s="13">
        <v>42280</v>
      </c>
      <c r="G1413" t="s">
        <v>182</v>
      </c>
      <c r="H1413" s="9">
        <v>53.94</v>
      </c>
      <c r="I1413" s="5" t="s">
        <v>68</v>
      </c>
      <c r="J1413" s="15">
        <v>42280.896921296298</v>
      </c>
      <c r="K1413" t="str">
        <f t="shared" si="22"/>
        <v>10-2015</v>
      </c>
    </row>
    <row r="1414" spans="3:11" x14ac:dyDescent="0.25">
      <c r="C1414" t="str">
        <f>IF(COUNTBLANK(E1414:J1414) = 6,"",IF(AND(NOT(ISBLANK(E1414)),COUNTBLANK(E1414:J1414) = 5),"3 Delete",IF(ISBLANK(E1414),"2 Add",IF(SHA1Range(E1414:J1414) = "14be5996f2154c0853fe41bee4f380393b7ac751","0 Original","1 Modify"))))</f>
        <v>0 Original</v>
      </c>
      <c r="D1414" s="5" t="s">
        <v>2220</v>
      </c>
      <c r="E1414" s="3">
        <v>651</v>
      </c>
      <c r="F1414" s="13">
        <v>42281</v>
      </c>
      <c r="G1414" t="s">
        <v>83</v>
      </c>
      <c r="H1414" s="9">
        <v>5.99</v>
      </c>
      <c r="I1414" s="5" t="s">
        <v>68</v>
      </c>
      <c r="J1414" s="15">
        <v>42281.570914351854</v>
      </c>
      <c r="K1414" t="str">
        <f t="shared" si="22"/>
        <v>10-2015</v>
      </c>
    </row>
    <row r="1415" spans="3:11" x14ac:dyDescent="0.25">
      <c r="C1415" t="str">
        <f>IF(COUNTBLANK(E1415:J1415) = 6,"",IF(AND(NOT(ISBLANK(E1415)),COUNTBLANK(E1415:J1415) = 5),"3 Delete",IF(ISBLANK(E1415),"2 Add",IF(SHA1Range(E1415:J1415) = "a0e08105c94dccd75cf2879847315bac82dae927","0 Original","1 Modify"))))</f>
        <v>0 Original</v>
      </c>
      <c r="D1415" s="5" t="s">
        <v>4133</v>
      </c>
      <c r="E1415" s="3">
        <v>168</v>
      </c>
      <c r="F1415" s="13">
        <v>42281</v>
      </c>
      <c r="G1415" t="s">
        <v>206</v>
      </c>
      <c r="H1415" s="9">
        <v>43.94</v>
      </c>
      <c r="I1415" s="5" t="s">
        <v>68</v>
      </c>
      <c r="J1415" s="15">
        <v>42281.90929398148</v>
      </c>
      <c r="K1415" t="str">
        <f t="shared" si="22"/>
        <v>10-2015</v>
      </c>
    </row>
    <row r="1416" spans="3:11" x14ac:dyDescent="0.25">
      <c r="C1416" t="str">
        <f>IF(COUNTBLANK(E1416:J1416) = 6,"",IF(AND(NOT(ISBLANK(E1416)),COUNTBLANK(E1416:J1416) = 5),"3 Delete",IF(ISBLANK(E1416),"2 Add",IF(SHA1Range(E1416:J1416) = "b3859b76fbc0ad68cfdfe62f5c3f878c3177bdf7","0 Original","1 Modify"))))</f>
        <v>0 Original</v>
      </c>
      <c r="D1416" s="5" t="s">
        <v>2221</v>
      </c>
      <c r="E1416" s="3">
        <v>825</v>
      </c>
      <c r="F1416" s="13">
        <v>42282</v>
      </c>
      <c r="G1416" t="s">
        <v>245</v>
      </c>
      <c r="H1416" s="9">
        <v>23.97</v>
      </c>
      <c r="I1416" s="5" t="s">
        <v>68</v>
      </c>
      <c r="J1416" s="15">
        <v>42282.438634259262</v>
      </c>
      <c r="K1416" t="str">
        <f t="shared" si="22"/>
        <v>10-2015</v>
      </c>
    </row>
    <row r="1417" spans="3:11" x14ac:dyDescent="0.25">
      <c r="C1417" t="str">
        <f>IF(COUNTBLANK(E1417:J1417) = 6,"",IF(AND(NOT(ISBLANK(E1417)),COUNTBLANK(E1417:J1417) = 5),"3 Delete",IF(ISBLANK(E1417),"2 Add",IF(SHA1Range(E1417:J1417) = "88b633375c0f65a309e7ad33020b6e542a204cb9","0 Original","1 Modify"))))</f>
        <v>0 Original</v>
      </c>
      <c r="D1417" s="5" t="s">
        <v>4132</v>
      </c>
      <c r="E1417" s="3">
        <v>277</v>
      </c>
      <c r="F1417" s="13">
        <v>42284</v>
      </c>
      <c r="G1417" t="s">
        <v>80</v>
      </c>
      <c r="H1417" s="9">
        <v>13.98</v>
      </c>
      <c r="I1417" s="5" t="s">
        <v>68</v>
      </c>
      <c r="J1417" s="15">
        <v>42284.065358796295</v>
      </c>
      <c r="K1417" t="str">
        <f t="shared" si="22"/>
        <v>10-2015</v>
      </c>
    </row>
    <row r="1418" spans="3:11" x14ac:dyDescent="0.25">
      <c r="C1418" t="str">
        <f>IF(COUNTBLANK(E1418:J1418) = 6,"",IF(AND(NOT(ISBLANK(E1418)),COUNTBLANK(E1418:J1418) = 5),"3 Delete",IF(ISBLANK(E1418),"2 Add",IF(SHA1Range(E1418:J1418) = "5f7975c07940bd8fb2df3042f59975d3807f89c9","0 Original","1 Modify"))))</f>
        <v>0 Original</v>
      </c>
      <c r="D1418" s="5" t="s">
        <v>2222</v>
      </c>
      <c r="E1418" s="3">
        <v>645</v>
      </c>
      <c r="F1418" s="13">
        <v>42285</v>
      </c>
      <c r="G1418" t="s">
        <v>329</v>
      </c>
      <c r="H1418" s="9">
        <v>38.950000000000003</v>
      </c>
      <c r="I1418" s="5" t="s">
        <v>68</v>
      </c>
      <c r="J1418" s="15">
        <v>42285.417199074072</v>
      </c>
      <c r="K1418" t="str">
        <f t="shared" si="22"/>
        <v>10-2015</v>
      </c>
    </row>
    <row r="1419" spans="3:11" x14ac:dyDescent="0.25">
      <c r="C1419" t="str">
        <f>IF(COUNTBLANK(E1419:J1419) = 6,"",IF(AND(NOT(ISBLANK(E1419)),COUNTBLANK(E1419:J1419) = 5),"3 Delete",IF(ISBLANK(E1419),"2 Add",IF(SHA1Range(E1419:J1419) = "33306e64cf9d51f80bc8d7e7e5eb3ea66a6fe01f","0 Original","1 Modify"))))</f>
        <v>0 Original</v>
      </c>
      <c r="D1419" s="5" t="s">
        <v>4072</v>
      </c>
      <c r="E1419" s="3">
        <v>456</v>
      </c>
      <c r="F1419" s="13">
        <v>42285</v>
      </c>
      <c r="G1419" t="s">
        <v>212</v>
      </c>
      <c r="H1419" s="9">
        <v>5.99</v>
      </c>
      <c r="I1419" s="5" t="s">
        <v>68</v>
      </c>
      <c r="J1419" s="15">
        <v>42285.55228009259</v>
      </c>
      <c r="K1419" t="str">
        <f t="shared" si="22"/>
        <v>10-2015</v>
      </c>
    </row>
    <row r="1420" spans="3:11" x14ac:dyDescent="0.25">
      <c r="C1420" t="str">
        <f>IF(COUNTBLANK(E1420:J1420) = 6,"",IF(AND(NOT(ISBLANK(E1420)),COUNTBLANK(E1420:J1420) = 5),"3 Delete",IF(ISBLANK(E1420),"2 Add",IF(SHA1Range(E1420:J1420) = "ca7cb23e4362bea4dbd71698ae8d75c8f6a9c6fe","0 Original","1 Modify"))))</f>
        <v>0 Original</v>
      </c>
      <c r="D1420" s="5" t="s">
        <v>2223</v>
      </c>
      <c r="E1420" s="3">
        <v>878</v>
      </c>
      <c r="F1420" s="13">
        <v>42285</v>
      </c>
      <c r="G1420" t="s">
        <v>272</v>
      </c>
      <c r="H1420" s="9">
        <v>19.97</v>
      </c>
      <c r="I1420" s="5" t="s">
        <v>68</v>
      </c>
      <c r="J1420" s="15">
        <v>42285.792939814812</v>
      </c>
      <c r="K1420" t="str">
        <f t="shared" si="22"/>
        <v>10-2015</v>
      </c>
    </row>
    <row r="1421" spans="3:11" x14ac:dyDescent="0.25">
      <c r="C1421" t="str">
        <f>IF(COUNTBLANK(E1421:J1421) = 6,"",IF(AND(NOT(ISBLANK(E1421)),COUNTBLANK(E1421:J1421) = 5),"3 Delete",IF(ISBLANK(E1421),"2 Add",IF(SHA1Range(E1421:J1421) = "88b69d810d342958ffa790412a12da6c8e45f0ba","0 Original","1 Modify"))))</f>
        <v>0 Original</v>
      </c>
      <c r="D1421" s="5" t="s">
        <v>2224</v>
      </c>
      <c r="E1421" s="3">
        <v>1159</v>
      </c>
      <c r="F1421" s="13">
        <v>42285</v>
      </c>
      <c r="G1421" t="s">
        <v>98</v>
      </c>
      <c r="H1421" s="9">
        <v>22.96</v>
      </c>
      <c r="I1421" s="5" t="s">
        <v>68</v>
      </c>
      <c r="J1421" s="15">
        <v>42285.83090277778</v>
      </c>
      <c r="K1421" t="str">
        <f t="shared" si="22"/>
        <v>10-2015</v>
      </c>
    </row>
    <row r="1422" spans="3:11" x14ac:dyDescent="0.25">
      <c r="C1422" t="str">
        <f>IF(COUNTBLANK(E1422:J1422) = 6,"",IF(AND(NOT(ISBLANK(E1422)),COUNTBLANK(E1422:J1422) = 5),"3 Delete",IF(ISBLANK(E1422),"2 Add",IF(SHA1Range(E1422:J1422) = "218340b81dbf64a5a8479bef8b88ce3814d454cb","0 Original","1 Modify"))))</f>
        <v>0 Original</v>
      </c>
      <c r="D1422" s="5" t="s">
        <v>4452</v>
      </c>
      <c r="E1422" s="3">
        <v>143</v>
      </c>
      <c r="F1422" s="13">
        <v>42287</v>
      </c>
      <c r="G1422" t="s">
        <v>287</v>
      </c>
      <c r="H1422" s="9">
        <v>51.92</v>
      </c>
      <c r="I1422" s="5" t="s">
        <v>68</v>
      </c>
      <c r="J1422" s="15">
        <v>42287.042129629626</v>
      </c>
      <c r="K1422" t="str">
        <f t="shared" si="22"/>
        <v>10-2015</v>
      </c>
    </row>
    <row r="1423" spans="3:11" x14ac:dyDescent="0.25">
      <c r="C1423" t="str">
        <f>IF(COUNTBLANK(E1423:J1423) = 6,"",IF(AND(NOT(ISBLANK(E1423)),COUNTBLANK(E1423:J1423) = 5),"3 Delete",IF(ISBLANK(E1423),"2 Add",IF(SHA1Range(E1423:J1423) = "5774810111ce2907b602145c5b61775ff8f2889b","0 Original","1 Modify"))))</f>
        <v>0 Original</v>
      </c>
      <c r="D1423" s="5" t="s">
        <v>4062</v>
      </c>
      <c r="E1423" s="3">
        <v>479</v>
      </c>
      <c r="F1423" s="13">
        <v>42287</v>
      </c>
      <c r="G1423" t="s">
        <v>73</v>
      </c>
      <c r="H1423" s="9">
        <v>9.99</v>
      </c>
      <c r="I1423" s="5" t="s">
        <v>68</v>
      </c>
      <c r="J1423" s="15">
        <v>42287.781458333331</v>
      </c>
      <c r="K1423" t="str">
        <f t="shared" si="22"/>
        <v>10-2015</v>
      </c>
    </row>
    <row r="1424" spans="3:11" x14ac:dyDescent="0.25">
      <c r="C1424" t="str">
        <f>IF(COUNTBLANK(E1424:J1424) = 6,"",IF(AND(NOT(ISBLANK(E1424)),COUNTBLANK(E1424:J1424) = 5),"3 Delete",IF(ISBLANK(E1424),"2 Add",IF(SHA1Range(E1424:J1424) = "277471220f2927a893b70804f455ee0851c2cb81","0 Original","1 Modify"))))</f>
        <v>0 Original</v>
      </c>
      <c r="D1424" s="5" t="s">
        <v>2225</v>
      </c>
      <c r="E1424" s="3">
        <v>1107</v>
      </c>
      <c r="F1424" s="13">
        <v>42288</v>
      </c>
      <c r="G1424" t="s">
        <v>242</v>
      </c>
      <c r="H1424" s="9">
        <v>25.97</v>
      </c>
      <c r="I1424" s="5" t="s">
        <v>68</v>
      </c>
      <c r="J1424" s="15">
        <v>42288.450243055559</v>
      </c>
      <c r="K1424" t="str">
        <f t="shared" si="22"/>
        <v>10-2015</v>
      </c>
    </row>
    <row r="1425" spans="3:11" x14ac:dyDescent="0.25">
      <c r="C1425" t="str">
        <f>IF(COUNTBLANK(E1425:J1425) = 6,"",IF(AND(NOT(ISBLANK(E1425)),COUNTBLANK(E1425:J1425) = 5),"3 Delete",IF(ISBLANK(E1425),"2 Add",IF(SHA1Range(E1425:J1425) = "51d2f845040eeb883fe5f050faa311867ba52a0a","0 Original","1 Modify"))))</f>
        <v>0 Original</v>
      </c>
      <c r="D1425" s="5" t="s">
        <v>2226</v>
      </c>
      <c r="E1425" s="3">
        <v>649</v>
      </c>
      <c r="F1425" s="13">
        <v>42289</v>
      </c>
      <c r="G1425" t="s">
        <v>263</v>
      </c>
      <c r="H1425" s="9">
        <v>11.98</v>
      </c>
      <c r="I1425" s="5" t="s">
        <v>68</v>
      </c>
      <c r="J1425" s="15">
        <v>42289.075312499997</v>
      </c>
      <c r="K1425" t="str">
        <f t="shared" si="22"/>
        <v>10-2015</v>
      </c>
    </row>
    <row r="1426" spans="3:11" x14ac:dyDescent="0.25">
      <c r="C1426" t="str">
        <f>IF(COUNTBLANK(E1426:J1426) = 6,"",IF(AND(NOT(ISBLANK(E1426)),COUNTBLANK(E1426:J1426) = 5),"3 Delete",IF(ISBLANK(E1426),"2 Add",IF(SHA1Range(E1426:J1426) = "df37584abe374b48a4aec700b3e4adcdbc1d70e9","0 Original","1 Modify"))))</f>
        <v>0 Original</v>
      </c>
      <c r="D1426" s="5" t="s">
        <v>2227</v>
      </c>
      <c r="E1426" s="3">
        <v>828</v>
      </c>
      <c r="F1426" s="13">
        <v>42289</v>
      </c>
      <c r="G1426" t="s">
        <v>326</v>
      </c>
      <c r="H1426" s="9">
        <v>14.98</v>
      </c>
      <c r="I1426" s="5" t="s">
        <v>68</v>
      </c>
      <c r="J1426" s="15">
        <v>42289.504965277774</v>
      </c>
      <c r="K1426" t="str">
        <f t="shared" si="22"/>
        <v>10-2015</v>
      </c>
    </row>
    <row r="1427" spans="3:11" x14ac:dyDescent="0.25">
      <c r="C1427" t="str">
        <f>IF(COUNTBLANK(E1427:J1427) = 6,"",IF(AND(NOT(ISBLANK(E1427)),COUNTBLANK(E1427:J1427) = 5),"3 Delete",IF(ISBLANK(E1427),"2 Add",IF(SHA1Range(E1427:J1427) = "fdda8419354ce55fd85b282acdb5004011a1e966","0 Original","1 Modify"))))</f>
        <v>0 Original</v>
      </c>
      <c r="D1427" s="5" t="s">
        <v>2228</v>
      </c>
      <c r="E1427" s="3">
        <v>848</v>
      </c>
      <c r="F1427" s="13">
        <v>42290</v>
      </c>
      <c r="G1427" t="s">
        <v>302</v>
      </c>
      <c r="H1427" s="9">
        <v>49.93</v>
      </c>
      <c r="I1427" s="5" t="s">
        <v>68</v>
      </c>
      <c r="J1427" s="15">
        <v>42290.086273148147</v>
      </c>
      <c r="K1427" t="str">
        <f t="shared" si="22"/>
        <v>10-2015</v>
      </c>
    </row>
    <row r="1428" spans="3:11" x14ac:dyDescent="0.25">
      <c r="C1428" t="str">
        <f>IF(COUNTBLANK(E1428:J1428) = 6,"",IF(AND(NOT(ISBLANK(E1428)),COUNTBLANK(E1428:J1428) = 5),"3 Delete",IF(ISBLANK(E1428),"2 Add",IF(SHA1Range(E1428:J1428) = "7749b491176ecac4ab6455826d8592bb6b1af83b","0 Original","1 Modify"))))</f>
        <v>0 Original</v>
      </c>
      <c r="D1428" s="5" t="s">
        <v>4131</v>
      </c>
      <c r="E1428" s="3">
        <v>35</v>
      </c>
      <c r="F1428" s="13">
        <v>42291</v>
      </c>
      <c r="G1428" t="s">
        <v>233</v>
      </c>
      <c r="H1428" s="9">
        <v>84.89</v>
      </c>
      <c r="I1428" s="5" t="s">
        <v>68</v>
      </c>
      <c r="J1428" s="15">
        <v>42291.818020833336</v>
      </c>
      <c r="K1428" t="str">
        <f t="shared" si="22"/>
        <v>10-2015</v>
      </c>
    </row>
    <row r="1429" spans="3:11" x14ac:dyDescent="0.25">
      <c r="C1429" t="str">
        <f>IF(COUNTBLANK(E1429:J1429) = 6,"",IF(AND(NOT(ISBLANK(E1429)),COUNTBLANK(E1429:J1429) = 5),"3 Delete",IF(ISBLANK(E1429),"2 Add",IF(SHA1Range(E1429:J1429) = "24bfd6022b441c370e9b8af5684d9d37de6f8c19","0 Original","1 Modify"))))</f>
        <v>0 Original</v>
      </c>
      <c r="D1429" s="5" t="s">
        <v>2229</v>
      </c>
      <c r="E1429" s="3">
        <v>734</v>
      </c>
      <c r="F1429" s="13">
        <v>42293</v>
      </c>
      <c r="G1429" t="s">
        <v>242</v>
      </c>
      <c r="H1429" s="9">
        <v>20.97</v>
      </c>
      <c r="I1429" s="5" t="s">
        <v>68</v>
      </c>
      <c r="J1429" s="15">
        <v>42293.562997685185</v>
      </c>
      <c r="K1429" t="str">
        <f t="shared" si="22"/>
        <v>10-2015</v>
      </c>
    </row>
    <row r="1430" spans="3:11" x14ac:dyDescent="0.25">
      <c r="C1430" t="str">
        <f>IF(COUNTBLANK(E1430:J1430) = 6,"",IF(AND(NOT(ISBLANK(E1430)),COUNTBLANK(E1430:J1430) = 5),"3 Delete",IF(ISBLANK(E1430),"2 Add",IF(SHA1Range(E1430:J1430) = "99853babb9d7f3a08a0b2e8ff5727f21b6e5fbfc","0 Original","1 Modify"))))</f>
        <v>0 Original</v>
      </c>
      <c r="D1430" s="5" t="s">
        <v>4453</v>
      </c>
      <c r="E1430" s="3">
        <v>210</v>
      </c>
      <c r="F1430" s="13">
        <v>42293</v>
      </c>
      <c r="G1430" t="s">
        <v>308</v>
      </c>
      <c r="H1430" s="9">
        <v>44.94</v>
      </c>
      <c r="I1430" s="5" t="s">
        <v>68</v>
      </c>
      <c r="J1430" s="15">
        <v>42293.944085648145</v>
      </c>
      <c r="K1430" t="str">
        <f t="shared" si="22"/>
        <v>10-2015</v>
      </c>
    </row>
    <row r="1431" spans="3:11" x14ac:dyDescent="0.25">
      <c r="C1431" t="str">
        <f>IF(COUNTBLANK(E1431:J1431) = 6,"",IF(AND(NOT(ISBLANK(E1431)),COUNTBLANK(E1431:J1431) = 5),"3 Delete",IF(ISBLANK(E1431),"2 Add",IF(SHA1Range(E1431:J1431) = "ec8fd1e53dc85f9c12aadc99ac55f8de657f0a7a","0 Original","1 Modify"))))</f>
        <v>0 Original</v>
      </c>
      <c r="D1431" s="5" t="s">
        <v>2230</v>
      </c>
      <c r="E1431" s="3">
        <v>1018</v>
      </c>
      <c r="F1431" s="13">
        <v>42295</v>
      </c>
      <c r="G1431" t="s">
        <v>134</v>
      </c>
      <c r="H1431" s="9">
        <v>26.95</v>
      </c>
      <c r="I1431" s="5" t="s">
        <v>68</v>
      </c>
      <c r="J1431" s="15">
        <v>42295.428263888891</v>
      </c>
      <c r="K1431" t="str">
        <f t="shared" si="22"/>
        <v>10-2015</v>
      </c>
    </row>
    <row r="1432" spans="3:11" x14ac:dyDescent="0.25">
      <c r="C1432" t="str">
        <f>IF(COUNTBLANK(E1432:J1432) = 6,"",IF(AND(NOT(ISBLANK(E1432)),COUNTBLANK(E1432:J1432) = 5),"3 Delete",IF(ISBLANK(E1432),"2 Add",IF(SHA1Range(E1432:J1432) = "eb4affed567781006209cdb9c5bdf79831461898","0 Original","1 Modify"))))</f>
        <v>0 Original</v>
      </c>
      <c r="D1432" s="5" t="s">
        <v>4081</v>
      </c>
      <c r="E1432" s="3">
        <v>436</v>
      </c>
      <c r="F1432" s="13">
        <v>42295</v>
      </c>
      <c r="G1432" t="s">
        <v>278</v>
      </c>
      <c r="H1432" s="9">
        <v>40.94</v>
      </c>
      <c r="I1432" s="5" t="s">
        <v>68</v>
      </c>
      <c r="J1432" s="15">
        <v>42295.435555555552</v>
      </c>
      <c r="K1432" t="str">
        <f t="shared" si="22"/>
        <v>10-2015</v>
      </c>
    </row>
    <row r="1433" spans="3:11" x14ac:dyDescent="0.25">
      <c r="C1433" t="str">
        <f>IF(COUNTBLANK(E1433:J1433) = 6,"",IF(AND(NOT(ISBLANK(E1433)),COUNTBLANK(E1433:J1433) = 5),"3 Delete",IF(ISBLANK(E1433),"2 Add",IF(SHA1Range(E1433:J1433) = "4a94ed498732709c38bf842e56ac92cc12981e93","0 Original","1 Modify"))))</f>
        <v>0 Original</v>
      </c>
      <c r="D1433" s="5" t="s">
        <v>2231</v>
      </c>
      <c r="E1433" s="3">
        <v>1069</v>
      </c>
      <c r="F1433" s="13">
        <v>42295</v>
      </c>
      <c r="G1433" t="s">
        <v>98</v>
      </c>
      <c r="H1433" s="9">
        <v>41.94</v>
      </c>
      <c r="I1433" s="5" t="s">
        <v>68</v>
      </c>
      <c r="J1433" s="15">
        <v>42295.443437499998</v>
      </c>
      <c r="K1433" t="str">
        <f t="shared" si="22"/>
        <v>10-2015</v>
      </c>
    </row>
    <row r="1434" spans="3:11" x14ac:dyDescent="0.25">
      <c r="C1434" t="str">
        <f>IF(COUNTBLANK(E1434:J1434) = 6,"",IF(AND(NOT(ISBLANK(E1434)),COUNTBLANK(E1434:J1434) = 5),"3 Delete",IF(ISBLANK(E1434),"2 Add",IF(SHA1Range(E1434:J1434) = "92c3bb7b44083d6ccbee55570c225932484e68a2","0 Original","1 Modify"))))</f>
        <v>0 Original</v>
      </c>
      <c r="D1434" s="5" t="s">
        <v>2232</v>
      </c>
      <c r="E1434" s="3">
        <v>741</v>
      </c>
      <c r="F1434" s="13">
        <v>42296</v>
      </c>
      <c r="G1434" t="s">
        <v>272</v>
      </c>
      <c r="H1434" s="9">
        <v>17.98</v>
      </c>
      <c r="I1434" s="5" t="s">
        <v>68</v>
      </c>
      <c r="J1434" s="15">
        <v>42296.76121527778</v>
      </c>
      <c r="K1434" t="str">
        <f t="shared" si="22"/>
        <v>10-2015</v>
      </c>
    </row>
    <row r="1435" spans="3:11" x14ac:dyDescent="0.25">
      <c r="C1435" t="str">
        <f>IF(COUNTBLANK(E1435:J1435) = 6,"",IF(AND(NOT(ISBLANK(E1435)),COUNTBLANK(E1435:J1435) = 5),"3 Delete",IF(ISBLANK(E1435),"2 Add",IF(SHA1Range(E1435:J1435) = "a62ac92c92ca152f0aca115e3ce9e23efe43ce6f","0 Original","1 Modify"))))</f>
        <v>0 Original</v>
      </c>
      <c r="D1435" s="5" t="s">
        <v>4454</v>
      </c>
      <c r="E1435" s="3">
        <v>163</v>
      </c>
      <c r="F1435" s="13">
        <v>42297</v>
      </c>
      <c r="G1435" t="s">
        <v>152</v>
      </c>
      <c r="H1435" s="9">
        <v>34.96</v>
      </c>
      <c r="I1435" s="5" t="s">
        <v>68</v>
      </c>
      <c r="J1435" s="15">
        <v>42297.771574074075</v>
      </c>
      <c r="K1435" t="str">
        <f t="shared" si="22"/>
        <v>10-2015</v>
      </c>
    </row>
    <row r="1436" spans="3:11" x14ac:dyDescent="0.25">
      <c r="C1436" t="str">
        <f>IF(COUNTBLANK(E1436:J1436) = 6,"",IF(AND(NOT(ISBLANK(E1436)),COUNTBLANK(E1436:J1436) = 5),"3 Delete",IF(ISBLANK(E1436),"2 Add",IF(SHA1Range(E1436:J1436) = "a4577fa28d76ebac4cd1c9a060fccd87fe8f3b4b","0 Original","1 Modify"))))</f>
        <v>0 Original</v>
      </c>
      <c r="D1436" s="5" t="s">
        <v>4069</v>
      </c>
      <c r="E1436" s="3">
        <v>462</v>
      </c>
      <c r="F1436" s="13">
        <v>42298</v>
      </c>
      <c r="G1436" t="s">
        <v>338</v>
      </c>
      <c r="H1436" s="9">
        <v>28.96</v>
      </c>
      <c r="I1436" s="5" t="s">
        <v>68</v>
      </c>
      <c r="J1436" s="15">
        <v>42298.450509259259</v>
      </c>
      <c r="K1436" t="str">
        <f t="shared" si="22"/>
        <v>10-2015</v>
      </c>
    </row>
    <row r="1437" spans="3:11" x14ac:dyDescent="0.25">
      <c r="C1437" t="str">
        <f>IF(COUNTBLANK(E1437:J1437) = 6,"",IF(AND(NOT(ISBLANK(E1437)),COUNTBLANK(E1437:J1437) = 5),"3 Delete",IF(ISBLANK(E1437),"2 Add",IF(SHA1Range(E1437:J1437) = "9f0af849b7e66858574e1c3a0900498e3b1d71da","0 Original","1 Modify"))))</f>
        <v>0 Original</v>
      </c>
      <c r="D1437" s="5" t="s">
        <v>2233</v>
      </c>
      <c r="E1437" s="3">
        <v>599</v>
      </c>
      <c r="F1437" s="13">
        <v>42299</v>
      </c>
      <c r="G1437" t="s">
        <v>302</v>
      </c>
      <c r="H1437" s="9">
        <v>103.88</v>
      </c>
      <c r="I1437" s="5" t="s">
        <v>68</v>
      </c>
      <c r="J1437" s="15">
        <v>42299.045081018521</v>
      </c>
      <c r="K1437" t="str">
        <f t="shared" si="22"/>
        <v>10-2015</v>
      </c>
    </row>
    <row r="1438" spans="3:11" x14ac:dyDescent="0.25">
      <c r="C1438" t="str">
        <f>IF(COUNTBLANK(E1438:J1438) = 6,"",IF(AND(NOT(ISBLANK(E1438)),COUNTBLANK(E1438:J1438) = 5),"3 Delete",IF(ISBLANK(E1438),"2 Add",IF(SHA1Range(E1438:J1438) = "ab786ca598eaa6eb78ef9190d8c712a15a44d54b","0 Original","1 Modify"))))</f>
        <v>0 Original</v>
      </c>
      <c r="D1438" s="5" t="s">
        <v>4103</v>
      </c>
      <c r="E1438" s="3">
        <v>371</v>
      </c>
      <c r="F1438" s="13">
        <v>42301</v>
      </c>
      <c r="G1438" t="s">
        <v>233</v>
      </c>
      <c r="H1438" s="9">
        <v>13.98</v>
      </c>
      <c r="I1438" s="5" t="s">
        <v>68</v>
      </c>
      <c r="J1438" s="15">
        <v>42301.007418981484</v>
      </c>
      <c r="K1438" t="str">
        <f t="shared" si="22"/>
        <v>10-2015</v>
      </c>
    </row>
    <row r="1439" spans="3:11" x14ac:dyDescent="0.25">
      <c r="C1439" t="str">
        <f>IF(COUNTBLANK(E1439:J1439) = 6,"",IF(AND(NOT(ISBLANK(E1439)),COUNTBLANK(E1439:J1439) = 5),"3 Delete",IF(ISBLANK(E1439),"2 Add",IF(SHA1Range(E1439:J1439) = "9f757c46f15fc059e60be7dca9fc5166acee3ae2","0 Original","1 Modify"))))</f>
        <v>0 Original</v>
      </c>
      <c r="D1439" s="5" t="s">
        <v>2234</v>
      </c>
      <c r="E1439" s="3">
        <v>1187</v>
      </c>
      <c r="F1439" s="13">
        <v>42301</v>
      </c>
      <c r="G1439" t="s">
        <v>170</v>
      </c>
      <c r="H1439" s="9">
        <v>34.950000000000003</v>
      </c>
      <c r="I1439" s="5" t="s">
        <v>68</v>
      </c>
      <c r="J1439" s="15">
        <v>42301.577141203707</v>
      </c>
      <c r="K1439" t="str">
        <f t="shared" si="22"/>
        <v>10-2015</v>
      </c>
    </row>
    <row r="1440" spans="3:11" x14ac:dyDescent="0.25">
      <c r="C1440" t="str">
        <f>IF(COUNTBLANK(E1440:J1440) = 6,"",IF(AND(NOT(ISBLANK(E1440)),COUNTBLANK(E1440:J1440) = 5),"3 Delete",IF(ISBLANK(E1440),"2 Add",IF(SHA1Range(E1440:J1440) = "b256ccf146c0e2304f7ccfecbb3befb0efd0bb08","0 Original","1 Modify"))))</f>
        <v>0 Original</v>
      </c>
      <c r="D1440" s="5" t="s">
        <v>2235</v>
      </c>
      <c r="E1440" s="3">
        <v>840</v>
      </c>
      <c r="F1440" s="13">
        <v>42301</v>
      </c>
      <c r="G1440" t="s">
        <v>245</v>
      </c>
      <c r="H1440" s="9">
        <v>14.98</v>
      </c>
      <c r="I1440" s="5" t="s">
        <v>68</v>
      </c>
      <c r="J1440" s="15">
        <v>42301.633402777778</v>
      </c>
      <c r="K1440" t="str">
        <f t="shared" si="22"/>
        <v>10-2015</v>
      </c>
    </row>
    <row r="1441" spans="3:11" x14ac:dyDescent="0.25">
      <c r="C1441" t="str">
        <f>IF(COUNTBLANK(E1441:J1441) = 6,"",IF(AND(NOT(ISBLANK(E1441)),COUNTBLANK(E1441:J1441) = 5),"3 Delete",IF(ISBLANK(E1441),"2 Add",IF(SHA1Range(E1441:J1441) = "f902286b2fc94dde5e9bfb9497ee16d725e68556","0 Original","1 Modify"))))</f>
        <v>0 Original</v>
      </c>
      <c r="D1441" s="5" t="s">
        <v>2236</v>
      </c>
      <c r="E1441" s="3">
        <v>960</v>
      </c>
      <c r="F1441" s="13">
        <v>42301</v>
      </c>
      <c r="G1441" t="s">
        <v>98</v>
      </c>
      <c r="H1441" s="9">
        <v>14.98</v>
      </c>
      <c r="I1441" s="5" t="s">
        <v>68</v>
      </c>
      <c r="J1441" s="15">
        <v>42301.949189814812</v>
      </c>
      <c r="K1441" t="str">
        <f t="shared" si="22"/>
        <v>10-2015</v>
      </c>
    </row>
    <row r="1442" spans="3:11" x14ac:dyDescent="0.25">
      <c r="C1442" t="str">
        <f>IF(COUNTBLANK(E1442:J1442) = 6,"",IF(AND(NOT(ISBLANK(E1442)),COUNTBLANK(E1442:J1442) = 5),"3 Delete",IF(ISBLANK(E1442),"2 Add",IF(SHA1Range(E1442:J1442) = "594bd6274e974cd415a5402757675cdeb40e9e94","0 Original","1 Modify"))))</f>
        <v>0 Original</v>
      </c>
      <c r="D1442" s="5" t="s">
        <v>2237</v>
      </c>
      <c r="E1442" s="3">
        <v>1097</v>
      </c>
      <c r="F1442" s="13">
        <v>42301</v>
      </c>
      <c r="G1442" t="s">
        <v>272</v>
      </c>
      <c r="H1442" s="9">
        <v>11.98</v>
      </c>
      <c r="I1442" s="5" t="s">
        <v>68</v>
      </c>
      <c r="J1442" s="15">
        <v>42301.987233796295</v>
      </c>
      <c r="K1442" t="str">
        <f t="shared" si="22"/>
        <v>10-2015</v>
      </c>
    </row>
    <row r="1443" spans="3:11" x14ac:dyDescent="0.25">
      <c r="C1443" t="str">
        <f>IF(COUNTBLANK(E1443:J1443) = 6,"",IF(AND(NOT(ISBLANK(E1443)),COUNTBLANK(E1443:J1443) = 5),"3 Delete",IF(ISBLANK(E1443),"2 Add",IF(SHA1Range(E1443:J1443) = "1bbc0b71d1a7f4b96f28f059b8ce9b9c1be46dfa","0 Original","1 Modify"))))</f>
        <v>0 Original</v>
      </c>
      <c r="D1443" s="5" t="s">
        <v>4095</v>
      </c>
      <c r="E1443" s="3">
        <v>398</v>
      </c>
      <c r="F1443" s="13">
        <v>42303</v>
      </c>
      <c r="G1443" t="s">
        <v>164</v>
      </c>
      <c r="H1443" s="9">
        <v>66.91</v>
      </c>
      <c r="I1443" s="5" t="s">
        <v>68</v>
      </c>
      <c r="J1443" s="15">
        <v>42303.334039351852</v>
      </c>
      <c r="K1443" t="str">
        <f t="shared" si="22"/>
        <v>10-2015</v>
      </c>
    </row>
    <row r="1444" spans="3:11" x14ac:dyDescent="0.25">
      <c r="C1444" t="str">
        <f>IF(COUNTBLANK(E1444:J1444) = 6,"",IF(AND(NOT(ISBLANK(E1444)),COUNTBLANK(E1444:J1444) = 5),"3 Delete",IF(ISBLANK(E1444),"2 Add",IF(SHA1Range(E1444:J1444) = "757ef1966a4501d979960cabe594006bde584320","0 Original","1 Modify"))))</f>
        <v>0 Original</v>
      </c>
      <c r="D1444" s="5" t="s">
        <v>2238</v>
      </c>
      <c r="E1444" s="3">
        <v>904</v>
      </c>
      <c r="F1444" s="13">
        <v>42304</v>
      </c>
      <c r="G1444" t="s">
        <v>221</v>
      </c>
      <c r="H1444" s="9">
        <v>25.96</v>
      </c>
      <c r="I1444" s="5" t="s">
        <v>68</v>
      </c>
      <c r="J1444" s="15">
        <v>42304.088877314818</v>
      </c>
      <c r="K1444" t="str">
        <f t="shared" si="22"/>
        <v>10-2015</v>
      </c>
    </row>
    <row r="1445" spans="3:11" x14ac:dyDescent="0.25">
      <c r="C1445" t="str">
        <f>IF(COUNTBLANK(E1445:J1445) = 6,"",IF(AND(NOT(ISBLANK(E1445)),COUNTBLANK(E1445:J1445) = 5),"3 Delete",IF(ISBLANK(E1445),"2 Add",IF(SHA1Range(E1445:J1445) = "22fe3a98711881d499f3ae659e199421acfbda97","0 Original","1 Modify"))))</f>
        <v>0 Original</v>
      </c>
      <c r="D1445" s="5" t="s">
        <v>2239</v>
      </c>
      <c r="E1445" s="3">
        <v>631</v>
      </c>
      <c r="F1445" s="13">
        <v>42304</v>
      </c>
      <c r="G1445" t="s">
        <v>329</v>
      </c>
      <c r="H1445" s="9">
        <v>22.97</v>
      </c>
      <c r="I1445" s="5" t="s">
        <v>68</v>
      </c>
      <c r="J1445" s="15">
        <v>42304.637928240743</v>
      </c>
      <c r="K1445" t="str">
        <f t="shared" si="22"/>
        <v>10-2015</v>
      </c>
    </row>
    <row r="1446" spans="3:11" x14ac:dyDescent="0.25">
      <c r="C1446" t="str">
        <f>IF(COUNTBLANK(E1446:J1446) = 6,"",IF(AND(NOT(ISBLANK(E1446)),COUNTBLANK(E1446:J1446) = 5),"3 Delete",IF(ISBLANK(E1446),"2 Add",IF(SHA1Range(E1446:J1446) = "ef7e38120933007fc8df1e1a076664dd0c14e7ad","0 Original","1 Modify"))))</f>
        <v>0 Original</v>
      </c>
      <c r="D1446" s="5" t="s">
        <v>2240</v>
      </c>
      <c r="E1446" s="3">
        <v>1053</v>
      </c>
      <c r="F1446" s="13">
        <v>42305</v>
      </c>
      <c r="G1446" t="s">
        <v>242</v>
      </c>
      <c r="H1446" s="9">
        <v>22.97</v>
      </c>
      <c r="I1446" s="5" t="s">
        <v>68</v>
      </c>
      <c r="J1446" s="15">
        <v>42305.530162037037</v>
      </c>
      <c r="K1446" t="str">
        <f t="shared" si="22"/>
        <v>10-2015</v>
      </c>
    </row>
    <row r="1447" spans="3:11" x14ac:dyDescent="0.25">
      <c r="C1447" t="str">
        <f>IF(COUNTBLANK(E1447:J1447) = 6,"",IF(AND(NOT(ISBLANK(E1447)),COUNTBLANK(E1447:J1447) = 5),"3 Delete",IF(ISBLANK(E1447),"2 Add",IF(SHA1Range(E1447:J1447) = "8b2e5f953f2bff0b350b55ae9441beabbbf2d04d","0 Original","1 Modify"))))</f>
        <v>0 Original</v>
      </c>
      <c r="D1447" s="5" t="s">
        <v>2241</v>
      </c>
      <c r="E1447" s="3">
        <v>717</v>
      </c>
      <c r="F1447" s="13">
        <v>42305</v>
      </c>
      <c r="G1447" t="s">
        <v>260</v>
      </c>
      <c r="H1447" s="9">
        <v>24.96</v>
      </c>
      <c r="I1447" s="5" t="s">
        <v>68</v>
      </c>
      <c r="J1447" s="15">
        <v>42305.784166666665</v>
      </c>
      <c r="K1447" t="str">
        <f t="shared" si="22"/>
        <v>10-2015</v>
      </c>
    </row>
    <row r="1448" spans="3:11" x14ac:dyDescent="0.25">
      <c r="C1448" t="str">
        <f>IF(COUNTBLANK(E1448:J1448) = 6,"",IF(AND(NOT(ISBLANK(E1448)),COUNTBLANK(E1448:J1448) = 5),"3 Delete",IF(ISBLANK(E1448),"2 Add",IF(SHA1Range(E1448:J1448) = "008729c8ae477885b2c1e1d3d14443e74ab59a33","0 Original","1 Modify"))))</f>
        <v>0 Original</v>
      </c>
      <c r="D1448" s="5" t="s">
        <v>2242</v>
      </c>
      <c r="E1448" s="3">
        <v>571</v>
      </c>
      <c r="F1448" s="13">
        <v>42305</v>
      </c>
      <c r="G1448" t="s">
        <v>89</v>
      </c>
      <c r="H1448" s="9">
        <v>13.98</v>
      </c>
      <c r="I1448" s="5" t="s">
        <v>68</v>
      </c>
      <c r="J1448" s="15">
        <v>42305.796215277776</v>
      </c>
      <c r="K1448" t="str">
        <f t="shared" si="22"/>
        <v>10-2015</v>
      </c>
    </row>
    <row r="1449" spans="3:11" x14ac:dyDescent="0.25">
      <c r="C1449" t="str">
        <f>IF(COUNTBLANK(E1449:J1449) = 6,"",IF(AND(NOT(ISBLANK(E1449)),COUNTBLANK(E1449:J1449) = 5),"3 Delete",IF(ISBLANK(E1449),"2 Add",IF(SHA1Range(E1449:J1449) = "9f70ada587f04bfbdb1180ab20ac1d13a8dab996","0 Original","1 Modify"))))</f>
        <v>0 Original</v>
      </c>
      <c r="D1449" s="5" t="s">
        <v>2243</v>
      </c>
      <c r="E1449" s="3">
        <v>516</v>
      </c>
      <c r="F1449" s="13">
        <v>42307</v>
      </c>
      <c r="G1449" t="s">
        <v>275</v>
      </c>
      <c r="H1449" s="9">
        <v>32.96</v>
      </c>
      <c r="I1449" s="5" t="s">
        <v>68</v>
      </c>
      <c r="J1449" s="15">
        <v>42307.702245370368</v>
      </c>
      <c r="K1449" t="str">
        <f t="shared" si="22"/>
        <v>10-2015</v>
      </c>
    </row>
    <row r="1450" spans="3:11" x14ac:dyDescent="0.25">
      <c r="C1450" t="str">
        <f>IF(COUNTBLANK(E1450:J1450) = 6,"",IF(AND(NOT(ISBLANK(E1450)),COUNTBLANK(E1450:J1450) = 5),"3 Delete",IF(ISBLANK(E1450),"2 Add",IF(SHA1Range(E1450:J1450) = "cafd74af209fd3016eee94dc33f2e4dec4ab4fbb","0 Original","1 Modify"))))</f>
        <v>0 Original</v>
      </c>
      <c r="D1450" s="5" t="s">
        <v>2244</v>
      </c>
      <c r="E1450" s="3">
        <v>1192</v>
      </c>
      <c r="F1450" s="13">
        <v>42307</v>
      </c>
      <c r="G1450" t="s">
        <v>245</v>
      </c>
      <c r="H1450" s="9">
        <v>31.96</v>
      </c>
      <c r="I1450" s="5" t="s">
        <v>68</v>
      </c>
      <c r="J1450" s="15">
        <v>42307.76866898148</v>
      </c>
      <c r="K1450" t="str">
        <f t="shared" si="22"/>
        <v>10-2015</v>
      </c>
    </row>
    <row r="1451" spans="3:11" x14ac:dyDescent="0.25">
      <c r="C1451" t="str">
        <f>IF(COUNTBLANK(E1451:J1451) = 6,"",IF(AND(NOT(ISBLANK(E1451)),COUNTBLANK(E1451:J1451) = 5),"3 Delete",IF(ISBLANK(E1451),"2 Add",IF(SHA1Range(E1451:J1451) = "17fd13c8e0eb9f5c17ad08c7173ac09121fc3e14","0 Original","1 Modify"))))</f>
        <v>0 Original</v>
      </c>
      <c r="D1451" s="5" t="s">
        <v>2245</v>
      </c>
      <c r="E1451" s="3">
        <v>1032</v>
      </c>
      <c r="F1451" s="13">
        <v>42308</v>
      </c>
      <c r="G1451" t="s">
        <v>242</v>
      </c>
      <c r="H1451" s="9">
        <v>12.98</v>
      </c>
      <c r="I1451" s="5" t="s">
        <v>68</v>
      </c>
      <c r="J1451" s="15">
        <v>42308.052800925929</v>
      </c>
      <c r="K1451" t="str">
        <f t="shared" si="22"/>
        <v>10-2015</v>
      </c>
    </row>
    <row r="1452" spans="3:11" x14ac:dyDescent="0.25">
      <c r="C1452" t="str">
        <f>IF(COUNTBLANK(E1452:J1452) = 6,"",IF(AND(NOT(ISBLANK(E1452)),COUNTBLANK(E1452:J1452) = 5),"3 Delete",IF(ISBLANK(E1452),"2 Add",IF(SHA1Range(E1452:J1452) = "e2132c460c74f419b5298b25058589b85b6cddee","0 Original","1 Modify"))))</f>
        <v>0 Original</v>
      </c>
      <c r="D1452" s="5" t="s">
        <v>4455</v>
      </c>
      <c r="E1452" s="3">
        <v>73</v>
      </c>
      <c r="F1452" s="13">
        <v>42308</v>
      </c>
      <c r="G1452" t="s">
        <v>167</v>
      </c>
      <c r="H1452" s="9">
        <v>46.94</v>
      </c>
      <c r="I1452" s="5" t="s">
        <v>68</v>
      </c>
      <c r="J1452" s="15">
        <v>42308.524155092593</v>
      </c>
      <c r="K1452" t="str">
        <f t="shared" si="22"/>
        <v>10-2015</v>
      </c>
    </row>
    <row r="1453" spans="3:11" x14ac:dyDescent="0.25">
      <c r="C1453" t="str">
        <f>IF(COUNTBLANK(E1453:J1453) = 6,"",IF(AND(NOT(ISBLANK(E1453)),COUNTBLANK(E1453:J1453) = 5),"3 Delete",IF(ISBLANK(E1453),"2 Add",IF(SHA1Range(E1453:J1453) = "48275fe191fc489242f479c8e652a1a56f14712a","0 Original","1 Modify"))))</f>
        <v>0 Original</v>
      </c>
      <c r="D1453" s="5" t="s">
        <v>4456</v>
      </c>
      <c r="E1453" s="3">
        <v>8</v>
      </c>
      <c r="F1453" s="13">
        <v>42308</v>
      </c>
      <c r="G1453" t="s">
        <v>128</v>
      </c>
      <c r="H1453" s="9">
        <v>62.91</v>
      </c>
      <c r="I1453" s="5" t="s">
        <v>68</v>
      </c>
      <c r="J1453" s="15">
        <v>42308.94332175926</v>
      </c>
      <c r="K1453" t="str">
        <f t="shared" si="22"/>
        <v>10-2015</v>
      </c>
    </row>
    <row r="1454" spans="3:11" x14ac:dyDescent="0.25">
      <c r="C1454" t="str">
        <f>IF(COUNTBLANK(E1454:J1454) = 6,"",IF(AND(NOT(ISBLANK(E1454)),COUNTBLANK(E1454:J1454) = 5),"3 Delete",IF(ISBLANK(E1454),"2 Add",IF(SHA1Range(E1454:J1454) = "bd466bae810acd1088cd00fcf80df0a36d8bae1d","0 Original","1 Modify"))))</f>
        <v>0 Original</v>
      </c>
      <c r="D1454" s="5" t="s">
        <v>4076</v>
      </c>
      <c r="E1454" s="3">
        <v>446</v>
      </c>
      <c r="F1454" s="13">
        <v>42309</v>
      </c>
      <c r="G1454" t="s">
        <v>215</v>
      </c>
      <c r="H1454" s="9">
        <v>86.88</v>
      </c>
      <c r="I1454" s="5" t="s">
        <v>68</v>
      </c>
      <c r="J1454" s="15">
        <v>42309.786817129629</v>
      </c>
      <c r="K1454" t="str">
        <f t="shared" si="22"/>
        <v>11-2015</v>
      </c>
    </row>
    <row r="1455" spans="3:11" x14ac:dyDescent="0.25">
      <c r="C1455" t="str">
        <f>IF(COUNTBLANK(E1455:J1455) = 6,"",IF(AND(NOT(ISBLANK(E1455)),COUNTBLANK(E1455:J1455) = 5),"3 Delete",IF(ISBLANK(E1455),"2 Add",IF(SHA1Range(E1455:J1455) = "b4da75c414b1bc2d2b887b95d66ba8b8f2a4ce3a","0 Original","1 Modify"))))</f>
        <v>0 Original</v>
      </c>
      <c r="D1455" s="5" t="s">
        <v>2246</v>
      </c>
      <c r="E1455" s="3">
        <v>1039</v>
      </c>
      <c r="F1455" s="13">
        <v>42309</v>
      </c>
      <c r="G1455" t="s">
        <v>272</v>
      </c>
      <c r="H1455" s="9">
        <v>29.95</v>
      </c>
      <c r="I1455" s="5" t="s">
        <v>68</v>
      </c>
      <c r="J1455" s="15">
        <v>42309.800266203703</v>
      </c>
      <c r="K1455" t="str">
        <f t="shared" si="22"/>
        <v>11-2015</v>
      </c>
    </row>
    <row r="1456" spans="3:11" x14ac:dyDescent="0.25">
      <c r="C1456" t="str">
        <f>IF(COUNTBLANK(E1456:J1456) = 6,"",IF(AND(NOT(ISBLANK(E1456)),COUNTBLANK(E1456:J1456) = 5),"3 Delete",IF(ISBLANK(E1456),"2 Add",IF(SHA1Range(E1456:J1456) = "873670120a1170bb6bbe81ba00b605b8f39bb626","0 Original","1 Modify"))))</f>
        <v>0 Original</v>
      </c>
      <c r="D1456" s="5" t="s">
        <v>4457</v>
      </c>
      <c r="E1456" s="3">
        <v>45</v>
      </c>
      <c r="F1456" s="13">
        <v>42310</v>
      </c>
      <c r="G1456" t="s">
        <v>149</v>
      </c>
      <c r="H1456" s="9">
        <v>16.97</v>
      </c>
      <c r="I1456" s="5" t="s">
        <v>68</v>
      </c>
      <c r="J1456" s="15">
        <v>42310.004618055558</v>
      </c>
      <c r="K1456" t="str">
        <f t="shared" si="22"/>
        <v>11-2015</v>
      </c>
    </row>
    <row r="1457" spans="3:11" x14ac:dyDescent="0.25">
      <c r="C1457" t="str">
        <f>IF(COUNTBLANK(E1457:J1457) = 6,"",IF(AND(NOT(ISBLANK(E1457)),COUNTBLANK(E1457:J1457) = 5),"3 Delete",IF(ISBLANK(E1457),"2 Add",IF(SHA1Range(E1457:J1457) = "ee51882cb2ccd0ac19a5a4c0f3b375aae6a374db","0 Original","1 Modify"))))</f>
        <v>0 Original</v>
      </c>
      <c r="D1457" s="5" t="s">
        <v>2247</v>
      </c>
      <c r="E1457" s="3">
        <v>1176</v>
      </c>
      <c r="F1457" s="13">
        <v>42310</v>
      </c>
      <c r="G1457" t="s">
        <v>245</v>
      </c>
      <c r="H1457" s="9">
        <v>22.97</v>
      </c>
      <c r="I1457" s="5" t="s">
        <v>68</v>
      </c>
      <c r="J1457" s="15">
        <v>42310.290995370371</v>
      </c>
      <c r="K1457" t="str">
        <f t="shared" si="22"/>
        <v>11-2015</v>
      </c>
    </row>
    <row r="1458" spans="3:11" x14ac:dyDescent="0.25">
      <c r="C1458" t="str">
        <f>IF(COUNTBLANK(E1458:J1458) = 6,"",IF(AND(NOT(ISBLANK(E1458)),COUNTBLANK(E1458:J1458) = 5),"3 Delete",IF(ISBLANK(E1458),"2 Add",IF(SHA1Range(E1458:J1458) = "b5373cf9f8521b1b04a592572fc331f00db07e5f","0 Original","1 Modify"))))</f>
        <v>0 Original</v>
      </c>
      <c r="D1458" s="5" t="s">
        <v>2248</v>
      </c>
      <c r="E1458" s="3">
        <v>732</v>
      </c>
      <c r="F1458" s="13">
        <v>42310</v>
      </c>
      <c r="G1458" t="s">
        <v>170</v>
      </c>
      <c r="H1458" s="9">
        <v>22.97</v>
      </c>
      <c r="I1458" s="5" t="s">
        <v>68</v>
      </c>
      <c r="J1458" s="15">
        <v>42310.436851851853</v>
      </c>
      <c r="K1458" t="str">
        <f t="shared" si="22"/>
        <v>11-2015</v>
      </c>
    </row>
    <row r="1459" spans="3:11" x14ac:dyDescent="0.25">
      <c r="C1459" t="str">
        <f>IF(COUNTBLANK(E1459:J1459) = 6,"",IF(AND(NOT(ISBLANK(E1459)),COUNTBLANK(E1459:J1459) = 5),"3 Delete",IF(ISBLANK(E1459),"2 Add",IF(SHA1Range(E1459:J1459) = "33fcbbca7d26971bfa454b3f1a9da55840299bc2","0 Original","1 Modify"))))</f>
        <v>0 Original</v>
      </c>
      <c r="D1459" s="5" t="s">
        <v>2249</v>
      </c>
      <c r="E1459" s="3">
        <v>724</v>
      </c>
      <c r="F1459" s="13">
        <v>42310</v>
      </c>
      <c r="G1459" t="s">
        <v>326</v>
      </c>
      <c r="H1459" s="9">
        <v>23.97</v>
      </c>
      <c r="I1459" s="5" t="s">
        <v>68</v>
      </c>
      <c r="J1459" s="15">
        <v>42310.450740740744</v>
      </c>
      <c r="K1459" t="str">
        <f t="shared" si="22"/>
        <v>11-2015</v>
      </c>
    </row>
    <row r="1460" spans="3:11" x14ac:dyDescent="0.25">
      <c r="C1460" t="str">
        <f>IF(COUNTBLANK(E1460:J1460) = 6,"",IF(AND(NOT(ISBLANK(E1460)),COUNTBLANK(E1460:J1460) = 5),"3 Delete",IF(ISBLANK(E1460),"2 Add",IF(SHA1Range(E1460:J1460) = "b4fd634e33092c261b6a8078312c110f7f7c4550","0 Original","1 Modify"))))</f>
        <v>0 Original</v>
      </c>
      <c r="D1460" s="5" t="s">
        <v>4458</v>
      </c>
      <c r="E1460" s="3">
        <v>110</v>
      </c>
      <c r="F1460" s="13">
        <v>42310</v>
      </c>
      <c r="G1460" t="s">
        <v>347</v>
      </c>
      <c r="H1460" s="9">
        <v>28.96</v>
      </c>
      <c r="I1460" s="5" t="s">
        <v>68</v>
      </c>
      <c r="J1460" s="15">
        <v>42310.975856481484</v>
      </c>
      <c r="K1460" t="str">
        <f t="shared" si="22"/>
        <v>11-2015</v>
      </c>
    </row>
    <row r="1461" spans="3:11" x14ac:dyDescent="0.25">
      <c r="C1461" t="str">
        <f>IF(COUNTBLANK(E1461:J1461) = 6,"",IF(AND(NOT(ISBLANK(E1461)),COUNTBLANK(E1461:J1461) = 5),"3 Delete",IF(ISBLANK(E1461),"2 Add",IF(SHA1Range(E1461:J1461) = "77e2d6aa6e021db530c299d62f22b8ee0bdbd4b8","0 Original","1 Modify"))))</f>
        <v>0 Original</v>
      </c>
      <c r="D1461" s="5" t="s">
        <v>2250</v>
      </c>
      <c r="E1461" s="3">
        <v>937</v>
      </c>
      <c r="F1461" s="13">
        <v>42311</v>
      </c>
      <c r="G1461" t="s">
        <v>245</v>
      </c>
      <c r="H1461" s="9">
        <v>9.99</v>
      </c>
      <c r="I1461" s="5" t="s">
        <v>68</v>
      </c>
      <c r="J1461" s="15">
        <v>42311.710474537038</v>
      </c>
      <c r="K1461" t="str">
        <f t="shared" si="22"/>
        <v>11-2015</v>
      </c>
    </row>
    <row r="1462" spans="3:11" x14ac:dyDescent="0.25">
      <c r="C1462" t="str">
        <f>IF(COUNTBLANK(E1462:J1462) = 6,"",IF(AND(NOT(ISBLANK(E1462)),COUNTBLANK(E1462:J1462) = 5),"3 Delete",IF(ISBLANK(E1462),"2 Add",IF(SHA1Range(E1462:J1462) = "9550268b01293f1a7b4fe426a315e27f0217d95c","0 Original","1 Modify"))))</f>
        <v>0 Original</v>
      </c>
      <c r="D1462" s="5" t="s">
        <v>2251</v>
      </c>
      <c r="E1462" s="3">
        <v>750</v>
      </c>
      <c r="F1462" s="13">
        <v>42311</v>
      </c>
      <c r="G1462" t="s">
        <v>260</v>
      </c>
      <c r="H1462" s="9">
        <v>19.98</v>
      </c>
      <c r="I1462" s="5" t="s">
        <v>68</v>
      </c>
      <c r="J1462" s="15">
        <v>42311.792268518519</v>
      </c>
      <c r="K1462" t="str">
        <f t="shared" si="22"/>
        <v>11-2015</v>
      </c>
    </row>
    <row r="1463" spans="3:11" x14ac:dyDescent="0.25">
      <c r="C1463" t="str">
        <f>IF(COUNTBLANK(E1463:J1463) = 6,"",IF(AND(NOT(ISBLANK(E1463)),COUNTBLANK(E1463:J1463) = 5),"3 Delete",IF(ISBLANK(E1463),"2 Add",IF(SHA1Range(E1463:J1463) = "84024edb5c99de8d39129216e525c1b229d46451","0 Original","1 Modify"))))</f>
        <v>0 Original</v>
      </c>
      <c r="D1463" s="5" t="s">
        <v>2252</v>
      </c>
      <c r="E1463" s="3">
        <v>871</v>
      </c>
      <c r="F1463" s="13">
        <v>42313</v>
      </c>
      <c r="G1463" t="s">
        <v>245</v>
      </c>
      <c r="H1463" s="9">
        <v>17.97</v>
      </c>
      <c r="I1463" s="5" t="s">
        <v>68</v>
      </c>
      <c r="J1463" s="15">
        <v>42313.0153587963</v>
      </c>
      <c r="K1463" t="str">
        <f t="shared" si="22"/>
        <v>11-2015</v>
      </c>
    </row>
    <row r="1464" spans="3:11" x14ac:dyDescent="0.25">
      <c r="C1464" t="str">
        <f>IF(COUNTBLANK(E1464:J1464) = 6,"",IF(AND(NOT(ISBLANK(E1464)),COUNTBLANK(E1464:J1464) = 5),"3 Delete",IF(ISBLANK(E1464),"2 Add",IF(SHA1Range(E1464:J1464) = "61a31ae6848039915d06885d3de2b53032f68071","0 Original","1 Modify"))))</f>
        <v>0 Original</v>
      </c>
      <c r="D1464" s="5" t="s">
        <v>2253</v>
      </c>
      <c r="E1464" s="3">
        <v>861</v>
      </c>
      <c r="F1464" s="13">
        <v>42314</v>
      </c>
      <c r="G1464" t="s">
        <v>302</v>
      </c>
      <c r="H1464" s="9">
        <v>42.93</v>
      </c>
      <c r="I1464" s="5" t="s">
        <v>68</v>
      </c>
      <c r="J1464" s="15">
        <v>42314.168275462966</v>
      </c>
      <c r="K1464" t="str">
        <f t="shared" si="22"/>
        <v>11-2015</v>
      </c>
    </row>
    <row r="1465" spans="3:11" x14ac:dyDescent="0.25">
      <c r="C1465" t="str">
        <f>IF(COUNTBLANK(E1465:J1465) = 6,"",IF(AND(NOT(ISBLANK(E1465)),COUNTBLANK(E1465:J1465) = 5),"3 Delete",IF(ISBLANK(E1465),"2 Add",IF(SHA1Range(E1465:J1465) = "23039271a7386e424875336cc2a5a1255cd7b0a9","0 Original","1 Modify"))))</f>
        <v>0 Original</v>
      </c>
      <c r="D1465" s="5" t="s">
        <v>4120</v>
      </c>
      <c r="E1465" s="3">
        <v>334</v>
      </c>
      <c r="F1465" s="13">
        <v>42314</v>
      </c>
      <c r="G1465" t="s">
        <v>248</v>
      </c>
      <c r="H1465" s="9">
        <v>14.98</v>
      </c>
      <c r="I1465" s="5" t="s">
        <v>68</v>
      </c>
      <c r="J1465" s="15">
        <v>42314.542245370372</v>
      </c>
      <c r="K1465" t="str">
        <f t="shared" si="22"/>
        <v>11-2015</v>
      </c>
    </row>
    <row r="1466" spans="3:11" x14ac:dyDescent="0.25">
      <c r="C1466" t="str">
        <f>IF(COUNTBLANK(E1466:J1466) = 6,"",IF(AND(NOT(ISBLANK(E1466)),COUNTBLANK(E1466:J1466) = 5),"3 Delete",IF(ISBLANK(E1466),"2 Add",IF(SHA1Range(E1466:J1466) = "f3ce7f1d56370226308fbb435733f5bb686b2304","0 Original","1 Modify"))))</f>
        <v>0 Original</v>
      </c>
      <c r="D1466" s="5" t="s">
        <v>2254</v>
      </c>
      <c r="E1466" s="3">
        <v>961</v>
      </c>
      <c r="F1466" s="13">
        <v>42315</v>
      </c>
      <c r="G1466" t="s">
        <v>326</v>
      </c>
      <c r="H1466" s="9">
        <v>13.98</v>
      </c>
      <c r="I1466" s="5" t="s">
        <v>68</v>
      </c>
      <c r="J1466" s="15">
        <v>42315.585775462961</v>
      </c>
      <c r="K1466" t="str">
        <f t="shared" si="22"/>
        <v>11-2015</v>
      </c>
    </row>
    <row r="1467" spans="3:11" x14ac:dyDescent="0.25">
      <c r="C1467" t="str">
        <f>IF(COUNTBLANK(E1467:J1467) = 6,"",IF(AND(NOT(ISBLANK(E1467)),COUNTBLANK(E1467:J1467) = 5),"3 Delete",IF(ISBLANK(E1467),"2 Add",IF(SHA1Range(E1467:J1467) = "2f8c333193a9853505c0f5cf75e13227d55c4297","0 Original","1 Modify"))))</f>
        <v>0 Original</v>
      </c>
      <c r="D1467" s="5" t="s">
        <v>2255</v>
      </c>
      <c r="E1467" s="3">
        <v>1062</v>
      </c>
      <c r="F1467" s="13">
        <v>42316</v>
      </c>
      <c r="G1467" t="s">
        <v>98</v>
      </c>
      <c r="H1467" s="9">
        <v>35.96</v>
      </c>
      <c r="I1467" s="5" t="s">
        <v>68</v>
      </c>
      <c r="J1467" s="15">
        <v>42316.138865740744</v>
      </c>
      <c r="K1467" t="str">
        <f t="shared" si="22"/>
        <v>11-2015</v>
      </c>
    </row>
    <row r="1468" spans="3:11" x14ac:dyDescent="0.25">
      <c r="C1468" t="str">
        <f>IF(COUNTBLANK(E1468:J1468) = 6,"",IF(AND(NOT(ISBLANK(E1468)),COUNTBLANK(E1468:J1468) = 5),"3 Delete",IF(ISBLANK(E1468),"2 Add",IF(SHA1Range(E1468:J1468) = "9665a85bdb57cb1ef421959e8b18889d12f094de","0 Original","1 Modify"))))</f>
        <v>0 Original</v>
      </c>
      <c r="D1468" s="5" t="s">
        <v>2256</v>
      </c>
      <c r="E1468" s="3">
        <v>535</v>
      </c>
      <c r="F1468" s="13">
        <v>42317</v>
      </c>
      <c r="G1468" t="s">
        <v>152</v>
      </c>
      <c r="H1468" s="9">
        <v>32.96</v>
      </c>
      <c r="I1468" s="5" t="s">
        <v>68</v>
      </c>
      <c r="J1468" s="15">
        <v>42317.040891203702</v>
      </c>
      <c r="K1468" t="str">
        <f t="shared" si="22"/>
        <v>11-2015</v>
      </c>
    </row>
    <row r="1469" spans="3:11" x14ac:dyDescent="0.25">
      <c r="C1469" t="str">
        <f>IF(COUNTBLANK(E1469:J1469) = 6,"",IF(AND(NOT(ISBLANK(E1469)),COUNTBLANK(E1469:J1469) = 5),"3 Delete",IF(ISBLANK(E1469),"2 Add",IF(SHA1Range(E1469:J1469) = "faaafa84196d3580146a0c87abeab62ad89fee91","0 Original","1 Modify"))))</f>
        <v>0 Original</v>
      </c>
      <c r="D1469" s="5" t="s">
        <v>2257</v>
      </c>
      <c r="E1469" s="3">
        <v>1174</v>
      </c>
      <c r="F1469" s="13">
        <v>42317</v>
      </c>
      <c r="G1469" t="s">
        <v>326</v>
      </c>
      <c r="H1469" s="9">
        <v>9.99</v>
      </c>
      <c r="I1469" s="5" t="s">
        <v>68</v>
      </c>
      <c r="J1469" s="15">
        <v>42317.709374999999</v>
      </c>
      <c r="K1469" t="str">
        <f t="shared" si="22"/>
        <v>11-2015</v>
      </c>
    </row>
    <row r="1470" spans="3:11" x14ac:dyDescent="0.25">
      <c r="C1470" t="str">
        <f>IF(COUNTBLANK(E1470:J1470) = 6,"",IF(AND(NOT(ISBLANK(E1470)),COUNTBLANK(E1470:J1470) = 5),"3 Delete",IF(ISBLANK(E1470),"2 Add",IF(SHA1Range(E1470:J1470) = "81399957c2fb2ac91fc996909f2fe8aeb4e6490a","0 Original","1 Modify"))))</f>
        <v>0 Original</v>
      </c>
      <c r="D1470" s="5" t="s">
        <v>2258</v>
      </c>
      <c r="E1470" s="3">
        <v>838</v>
      </c>
      <c r="F1470" s="13">
        <v>42317</v>
      </c>
      <c r="G1470" t="s">
        <v>302</v>
      </c>
      <c r="H1470" s="9">
        <v>42.95</v>
      </c>
      <c r="I1470" s="5" t="s">
        <v>68</v>
      </c>
      <c r="J1470" s="15">
        <v>42317.823229166665</v>
      </c>
      <c r="K1470" t="str">
        <f t="shared" si="22"/>
        <v>11-2015</v>
      </c>
    </row>
    <row r="1471" spans="3:11" x14ac:dyDescent="0.25">
      <c r="C1471" t="str">
        <f>IF(COUNTBLANK(E1471:J1471) = 6,"",IF(AND(NOT(ISBLANK(E1471)),COUNTBLANK(E1471:J1471) = 5),"3 Delete",IF(ISBLANK(E1471),"2 Add",IF(SHA1Range(E1471:J1471) = "db899907a287b9491598b23d97308bc23ffb8135","0 Original","1 Modify"))))</f>
        <v>0 Original</v>
      </c>
      <c r="D1471" s="5" t="s">
        <v>4063</v>
      </c>
      <c r="E1471" s="3">
        <v>472</v>
      </c>
      <c r="F1471" s="13">
        <v>42318</v>
      </c>
      <c r="G1471" t="s">
        <v>149</v>
      </c>
      <c r="H1471" s="9">
        <v>6.99</v>
      </c>
      <c r="I1471" s="5" t="s">
        <v>68</v>
      </c>
      <c r="J1471" s="15">
        <v>42318.193703703706</v>
      </c>
      <c r="K1471" t="str">
        <f t="shared" si="22"/>
        <v>11-2015</v>
      </c>
    </row>
    <row r="1472" spans="3:11" x14ac:dyDescent="0.25">
      <c r="C1472" t="str">
        <f>IF(COUNTBLANK(E1472:J1472) = 6,"",IF(AND(NOT(ISBLANK(E1472)),COUNTBLANK(E1472:J1472) = 5),"3 Delete",IF(ISBLANK(E1472),"2 Add",IF(SHA1Range(E1472:J1472) = "040c6abd3704a8b6cbd42d47f7c35599902fd07c","0 Original","1 Modify"))))</f>
        <v>0 Original</v>
      </c>
      <c r="D1472" s="5" t="s">
        <v>4093</v>
      </c>
      <c r="E1472" s="3">
        <v>409</v>
      </c>
      <c r="F1472" s="13">
        <v>42318</v>
      </c>
      <c r="G1472" t="s">
        <v>164</v>
      </c>
      <c r="H1472" s="9">
        <v>77.91</v>
      </c>
      <c r="I1472" s="5" t="s">
        <v>68</v>
      </c>
      <c r="J1472" s="15">
        <v>42318.622499999998</v>
      </c>
      <c r="K1472" t="str">
        <f t="shared" si="22"/>
        <v>11-2015</v>
      </c>
    </row>
    <row r="1473" spans="3:11" x14ac:dyDescent="0.25">
      <c r="C1473" t="str">
        <f>IF(COUNTBLANK(E1473:J1473) = 6,"",IF(AND(NOT(ISBLANK(E1473)),COUNTBLANK(E1473:J1473) = 5),"3 Delete",IF(ISBLANK(E1473),"2 Add",IF(SHA1Range(E1473:J1473) = "3c10816eab91bf1b5c211f24f27b2c2307d564b0","0 Original","1 Modify"))))</f>
        <v>0 Original</v>
      </c>
      <c r="D1473" s="5" t="s">
        <v>2259</v>
      </c>
      <c r="E1473" s="3">
        <v>1010</v>
      </c>
      <c r="F1473" s="13">
        <v>42318</v>
      </c>
      <c r="G1473" t="s">
        <v>134</v>
      </c>
      <c r="H1473" s="9">
        <v>42.94</v>
      </c>
      <c r="I1473" s="5" t="s">
        <v>68</v>
      </c>
      <c r="J1473" s="15">
        <v>42318.87431712963</v>
      </c>
      <c r="K1473" t="str">
        <f t="shared" si="22"/>
        <v>11-2015</v>
      </c>
    </row>
    <row r="1474" spans="3:11" x14ac:dyDescent="0.25">
      <c r="C1474" t="str">
        <f>IF(COUNTBLANK(E1474:J1474) = 6,"",IF(AND(NOT(ISBLANK(E1474)),COUNTBLANK(E1474:J1474) = 5),"3 Delete",IF(ISBLANK(E1474),"2 Add",IF(SHA1Range(E1474:J1474) = "a0fe2ebdf60bbd385f3fc8eab53dbe7ca0979bc9","0 Original","1 Modify"))))</f>
        <v>0 Original</v>
      </c>
      <c r="D1474" s="5" t="s">
        <v>4122</v>
      </c>
      <c r="E1474" s="3">
        <v>325</v>
      </c>
      <c r="F1474" s="13">
        <v>42319</v>
      </c>
      <c r="G1474" t="s">
        <v>320</v>
      </c>
      <c r="H1474" s="9">
        <v>20.97</v>
      </c>
      <c r="I1474" s="5" t="s">
        <v>68</v>
      </c>
      <c r="J1474" s="15">
        <v>42319.077800925923</v>
      </c>
      <c r="K1474" t="str">
        <f t="shared" si="22"/>
        <v>11-2015</v>
      </c>
    </row>
    <row r="1475" spans="3:11" x14ac:dyDescent="0.25">
      <c r="C1475" t="str">
        <f>IF(COUNTBLANK(E1475:J1475) = 6,"",IF(AND(NOT(ISBLANK(E1475)),COUNTBLANK(E1475:J1475) = 5),"3 Delete",IF(ISBLANK(E1475),"2 Add",IF(SHA1Range(E1475:J1475) = "b2694a22554ff81eb7949b16e56d831b3afddda9","0 Original","1 Modify"))))</f>
        <v>0 Original</v>
      </c>
      <c r="D1475" s="5" t="s">
        <v>2260</v>
      </c>
      <c r="E1475" s="3">
        <v>932</v>
      </c>
      <c r="F1475" s="13">
        <v>42319</v>
      </c>
      <c r="G1475" t="s">
        <v>326</v>
      </c>
      <c r="H1475" s="9">
        <v>6.99</v>
      </c>
      <c r="I1475" s="5" t="s">
        <v>68</v>
      </c>
      <c r="J1475" s="15">
        <v>42319.532719907409</v>
      </c>
      <c r="K1475" t="str">
        <f t="shared" ref="K1475:K1501" si="23">TEXT(F1475,"mm-yyyy")</f>
        <v>11-2015</v>
      </c>
    </row>
    <row r="1476" spans="3:11" x14ac:dyDescent="0.25">
      <c r="C1476" t="str">
        <f>IF(COUNTBLANK(E1476:J1476) = 6,"",IF(AND(NOT(ISBLANK(E1476)),COUNTBLANK(E1476:J1476) = 5),"3 Delete",IF(ISBLANK(E1476),"2 Add",IF(SHA1Range(E1476:J1476) = "7743b59bae5569fe23ea3e85b221689555af932f","0 Original","1 Modify"))))</f>
        <v>0 Original</v>
      </c>
      <c r="D1476" s="5" t="s">
        <v>4083</v>
      </c>
      <c r="E1476" s="3">
        <v>434</v>
      </c>
      <c r="F1476" s="13">
        <v>42320</v>
      </c>
      <c r="G1476" t="s">
        <v>224</v>
      </c>
      <c r="H1476" s="9">
        <v>12.98</v>
      </c>
      <c r="I1476" s="5" t="s">
        <v>68</v>
      </c>
      <c r="J1476" s="15">
        <v>42320.013206018521</v>
      </c>
      <c r="K1476" t="str">
        <f t="shared" si="23"/>
        <v>11-2015</v>
      </c>
    </row>
    <row r="1477" spans="3:11" x14ac:dyDescent="0.25">
      <c r="C1477" t="str">
        <f>IF(COUNTBLANK(E1477:J1477) = 6,"",IF(AND(NOT(ISBLANK(E1477)),COUNTBLANK(E1477:J1477) = 5),"3 Delete",IF(ISBLANK(E1477),"2 Add",IF(SHA1Range(E1477:J1477) = "1cda4744b4ee12cf170aad57a339377ce21b847c","0 Original","1 Modify"))))</f>
        <v>0 Original</v>
      </c>
      <c r="D1477" s="5" t="s">
        <v>4459</v>
      </c>
      <c r="E1477" s="3">
        <v>41</v>
      </c>
      <c r="F1477" s="13">
        <v>42321</v>
      </c>
      <c r="G1477" t="s">
        <v>134</v>
      </c>
      <c r="H1477" s="9">
        <v>15.98</v>
      </c>
      <c r="I1477" s="5" t="s">
        <v>68</v>
      </c>
      <c r="J1477" s="15">
        <v>42321.303240740737</v>
      </c>
      <c r="K1477" t="str">
        <f t="shared" si="23"/>
        <v>11-2015</v>
      </c>
    </row>
    <row r="1478" spans="3:11" x14ac:dyDescent="0.25">
      <c r="C1478" t="str">
        <f>IF(COUNTBLANK(E1478:J1478) = 6,"",IF(AND(NOT(ISBLANK(E1478)),COUNTBLANK(E1478:J1478) = 5),"3 Delete",IF(ISBLANK(E1478),"2 Add",IF(SHA1Range(E1478:J1478) = "89bd968862896d004b0d77f3e985de0406f85e9b","0 Original","1 Modify"))))</f>
        <v>0 Original</v>
      </c>
      <c r="D1478" s="5" t="s">
        <v>2261</v>
      </c>
      <c r="E1478" s="3">
        <v>679</v>
      </c>
      <c r="F1478" s="13">
        <v>42321</v>
      </c>
      <c r="G1478" t="s">
        <v>218</v>
      </c>
      <c r="H1478" s="9">
        <v>58.92</v>
      </c>
      <c r="I1478" s="5" t="s">
        <v>68</v>
      </c>
      <c r="J1478" s="15">
        <v>42321.358784722222</v>
      </c>
      <c r="K1478" t="str">
        <f t="shared" si="23"/>
        <v>11-2015</v>
      </c>
    </row>
    <row r="1479" spans="3:11" x14ac:dyDescent="0.25">
      <c r="C1479" t="str">
        <f>IF(COUNTBLANK(E1479:J1479) = 6,"",IF(AND(NOT(ISBLANK(E1479)),COUNTBLANK(E1479:J1479) = 5),"3 Delete",IF(ISBLANK(E1479),"2 Add",IF(SHA1Range(E1479:J1479) = "36732bf7467367ca95516f57e20577be335e7df6","0 Original","1 Modify"))))</f>
        <v>0 Original</v>
      </c>
      <c r="D1479" s="5" t="s">
        <v>2262</v>
      </c>
      <c r="E1479" s="3">
        <v>858</v>
      </c>
      <c r="F1479" s="13">
        <v>42321</v>
      </c>
      <c r="G1479" t="s">
        <v>221</v>
      </c>
      <c r="H1479" s="9">
        <v>39.94</v>
      </c>
      <c r="I1479" s="5" t="s">
        <v>68</v>
      </c>
      <c r="J1479" s="15">
        <v>42321.862071759257</v>
      </c>
      <c r="K1479" t="str">
        <f t="shared" si="23"/>
        <v>11-2015</v>
      </c>
    </row>
    <row r="1480" spans="3:11" x14ac:dyDescent="0.25">
      <c r="C1480" t="str">
        <f>IF(COUNTBLANK(E1480:J1480) = 6,"",IF(AND(NOT(ISBLANK(E1480)),COUNTBLANK(E1480:J1480) = 5),"3 Delete",IF(ISBLANK(E1480),"2 Add",IF(SHA1Range(E1480:J1480) = "7db5de97d0165d66e78a8848a2b13a03c191ae8e","0 Original","1 Modify"))))</f>
        <v>0 Original</v>
      </c>
      <c r="D1480" s="5" t="s">
        <v>2263</v>
      </c>
      <c r="E1480" s="3">
        <v>889</v>
      </c>
      <c r="F1480" s="13">
        <v>42322</v>
      </c>
      <c r="G1480" t="s">
        <v>170</v>
      </c>
      <c r="H1480" s="9">
        <v>32.96</v>
      </c>
      <c r="I1480" s="5" t="s">
        <v>68</v>
      </c>
      <c r="J1480" s="15">
        <v>42322.357175925928</v>
      </c>
      <c r="K1480" t="str">
        <f t="shared" si="23"/>
        <v>11-2015</v>
      </c>
    </row>
    <row r="1481" spans="3:11" x14ac:dyDescent="0.25">
      <c r="C1481" t="str">
        <f>IF(COUNTBLANK(E1481:J1481) = 6,"",IF(AND(NOT(ISBLANK(E1481)),COUNTBLANK(E1481:J1481) = 5),"3 Delete",IF(ISBLANK(E1481),"2 Add",IF(SHA1Range(E1481:J1481) = "acfb197b24909944e57bd5867b00bb792fd6e5e6","0 Original","1 Modify"))))</f>
        <v>0 Original</v>
      </c>
      <c r="D1481" s="5" t="s">
        <v>2264</v>
      </c>
      <c r="E1481" s="3">
        <v>1024</v>
      </c>
      <c r="F1481" s="13">
        <v>42322</v>
      </c>
      <c r="G1481" t="s">
        <v>134</v>
      </c>
      <c r="H1481" s="9">
        <v>29.97</v>
      </c>
      <c r="I1481" s="5" t="s">
        <v>68</v>
      </c>
      <c r="J1481" s="15">
        <v>42322.939016203702</v>
      </c>
      <c r="K1481" t="str">
        <f t="shared" si="23"/>
        <v>11-2015</v>
      </c>
    </row>
    <row r="1482" spans="3:11" x14ac:dyDescent="0.25">
      <c r="C1482" t="str">
        <f>IF(COUNTBLANK(E1482:J1482) = 6,"",IF(AND(NOT(ISBLANK(E1482)),COUNTBLANK(E1482:J1482) = 5),"3 Delete",IF(ISBLANK(E1482),"2 Add",IF(SHA1Range(E1482:J1482) = "301797571f69af2e9861315bb7836f2f0794908c","0 Original","1 Modify"))))</f>
        <v>0 Original</v>
      </c>
      <c r="D1482" s="5" t="s">
        <v>4130</v>
      </c>
      <c r="E1482" s="3">
        <v>106</v>
      </c>
      <c r="F1482" s="13">
        <v>42322</v>
      </c>
      <c r="G1482" t="s">
        <v>224</v>
      </c>
      <c r="H1482" s="9">
        <v>30.95</v>
      </c>
      <c r="I1482" s="5" t="s">
        <v>68</v>
      </c>
      <c r="J1482" s="15">
        <v>42322.998715277776</v>
      </c>
      <c r="K1482" t="str">
        <f t="shared" si="23"/>
        <v>11-2015</v>
      </c>
    </row>
    <row r="1483" spans="3:11" x14ac:dyDescent="0.25">
      <c r="C1483" t="str">
        <f>IF(COUNTBLANK(E1483:J1483) = 6,"",IF(AND(NOT(ISBLANK(E1483)),COUNTBLANK(E1483:J1483) = 5),"3 Delete",IF(ISBLANK(E1483),"2 Add",IF(SHA1Range(E1483:J1483) = "d1d2a6092c2019875bf27a2c14de3a8768fbe98a","0 Original","1 Modify"))))</f>
        <v>0 Original</v>
      </c>
      <c r="D1483" s="5" t="s">
        <v>4460</v>
      </c>
      <c r="E1483" s="3">
        <v>1</v>
      </c>
      <c r="F1483" s="13">
        <v>42323</v>
      </c>
      <c r="G1483" t="s">
        <v>275</v>
      </c>
      <c r="H1483" s="9">
        <v>9.99</v>
      </c>
      <c r="I1483" s="5" t="s">
        <v>68</v>
      </c>
      <c r="J1483" s="15">
        <v>42323.412372685183</v>
      </c>
      <c r="K1483" t="str">
        <f t="shared" si="23"/>
        <v>11-2015</v>
      </c>
    </row>
    <row r="1484" spans="3:11" x14ac:dyDescent="0.25">
      <c r="C1484" t="str">
        <f>IF(COUNTBLANK(E1484:J1484) = 6,"",IF(AND(NOT(ISBLANK(E1484)),COUNTBLANK(E1484:J1484) = 5),"3 Delete",IF(ISBLANK(E1484),"2 Add",IF(SHA1Range(E1484:J1484) = "d218bd12ad398f5ad0f41fe02cabac74159914e3","0 Original","1 Modify"))))</f>
        <v>0 Original</v>
      </c>
      <c r="D1484" s="5" t="s">
        <v>2265</v>
      </c>
      <c r="E1484" s="3">
        <v>619</v>
      </c>
      <c r="F1484" s="13">
        <v>42324</v>
      </c>
      <c r="G1484" t="s">
        <v>128</v>
      </c>
      <c r="H1484" s="9">
        <v>29.96</v>
      </c>
      <c r="I1484" s="5" t="s">
        <v>68</v>
      </c>
      <c r="J1484" s="15">
        <v>42324.337476851855</v>
      </c>
      <c r="K1484" t="str">
        <f t="shared" si="23"/>
        <v>11-2015</v>
      </c>
    </row>
    <row r="1485" spans="3:11" x14ac:dyDescent="0.25">
      <c r="C1485" t="str">
        <f>IF(COUNTBLANK(E1485:J1485) = 6,"",IF(AND(NOT(ISBLANK(E1485)),COUNTBLANK(E1485:J1485) = 5),"3 Delete",IF(ISBLANK(E1485),"2 Add",IF(SHA1Range(E1485:J1485) = "80c4f034de980e69958583015b7c8205cf41cd35","0 Original","1 Modify"))))</f>
        <v>0 Original</v>
      </c>
      <c r="D1485" s="5" t="s">
        <v>2266</v>
      </c>
      <c r="E1485" s="3">
        <v>1123</v>
      </c>
      <c r="F1485" s="13">
        <v>42326</v>
      </c>
      <c r="G1485" t="s">
        <v>326</v>
      </c>
      <c r="H1485" s="9">
        <v>51.94</v>
      </c>
      <c r="I1485" s="5" t="s">
        <v>68</v>
      </c>
      <c r="J1485" s="15">
        <v>42326.180081018516</v>
      </c>
      <c r="K1485" t="str">
        <f t="shared" si="23"/>
        <v>11-2015</v>
      </c>
    </row>
    <row r="1486" spans="3:11" x14ac:dyDescent="0.25">
      <c r="C1486" t="str">
        <f>IF(COUNTBLANK(E1486:J1486) = 6,"",IF(AND(NOT(ISBLANK(E1486)),COUNTBLANK(E1486:J1486) = 5),"3 Delete",IF(ISBLANK(E1486),"2 Add",IF(SHA1Range(E1486:J1486) = "4250bb20fd952e338355a2db4d140d4d45d55e17","0 Original","1 Modify"))))</f>
        <v>0 Original</v>
      </c>
      <c r="D1486" s="5" t="s">
        <v>4461</v>
      </c>
      <c r="E1486" s="3">
        <v>247</v>
      </c>
      <c r="F1486" s="13">
        <v>42326</v>
      </c>
      <c r="G1486" t="s">
        <v>215</v>
      </c>
      <c r="H1486" s="9">
        <v>31.96</v>
      </c>
      <c r="I1486" s="5" t="s">
        <v>68</v>
      </c>
      <c r="J1486" s="15">
        <v>42326.499849537038</v>
      </c>
      <c r="K1486" t="str">
        <f t="shared" si="23"/>
        <v>11-2015</v>
      </c>
    </row>
    <row r="1487" spans="3:11" x14ac:dyDescent="0.25">
      <c r="C1487" t="str">
        <f>IF(COUNTBLANK(E1487:J1487) = 6,"",IF(AND(NOT(ISBLANK(E1487)),COUNTBLANK(E1487:J1487) = 5),"3 Delete",IF(ISBLANK(E1487),"2 Add",IF(SHA1Range(E1487:J1487) = "121f2cabfdabc3886765d58ad9190d44752a4e6a","0 Original","1 Modify"))))</f>
        <v>0 Original</v>
      </c>
      <c r="D1487" s="5" t="s">
        <v>2267</v>
      </c>
      <c r="E1487" s="3">
        <v>593</v>
      </c>
      <c r="F1487" s="13">
        <v>42327</v>
      </c>
      <c r="G1487" t="s">
        <v>164</v>
      </c>
      <c r="H1487" s="9">
        <v>4.99</v>
      </c>
      <c r="I1487" s="5" t="s">
        <v>68</v>
      </c>
      <c r="J1487" s="15">
        <v>42327.164421296293</v>
      </c>
      <c r="K1487" t="str">
        <f t="shared" si="23"/>
        <v>11-2015</v>
      </c>
    </row>
    <row r="1488" spans="3:11" x14ac:dyDescent="0.25">
      <c r="C1488" t="str">
        <f>IF(COUNTBLANK(E1488:J1488) = 6,"",IF(AND(NOT(ISBLANK(E1488)),COUNTBLANK(E1488:J1488) = 5),"3 Delete",IF(ISBLANK(E1488),"2 Add",IF(SHA1Range(E1488:J1488) = "3991bcbc94b7b189e7e4efcad9dc76aea3617dc5","0 Original","1 Modify"))))</f>
        <v>0 Original</v>
      </c>
      <c r="D1488" s="5" t="s">
        <v>4101</v>
      </c>
      <c r="E1488" s="3">
        <v>375</v>
      </c>
      <c r="F1488" s="13">
        <v>42327</v>
      </c>
      <c r="G1488" t="s">
        <v>281</v>
      </c>
      <c r="H1488" s="9">
        <v>77.900000000000006</v>
      </c>
      <c r="I1488" s="5" t="s">
        <v>68</v>
      </c>
      <c r="J1488" s="15">
        <v>42327.823495370372</v>
      </c>
      <c r="K1488" t="str">
        <f t="shared" si="23"/>
        <v>11-2015</v>
      </c>
    </row>
    <row r="1489" spans="3:11" x14ac:dyDescent="0.25">
      <c r="C1489" t="str">
        <f>IF(COUNTBLANK(E1489:J1489) = 6,"",IF(AND(NOT(ISBLANK(E1489)),COUNTBLANK(E1489:J1489) = 5),"3 Delete",IF(ISBLANK(E1489),"2 Add",IF(SHA1Range(E1489:J1489) = "bc350f2733097a4c0911d292a1f9fe07da0b5621","0 Original","1 Modify"))))</f>
        <v>0 Original</v>
      </c>
      <c r="D1489" s="5" t="s">
        <v>4129</v>
      </c>
      <c r="E1489" s="3">
        <v>289</v>
      </c>
      <c r="F1489" s="13">
        <v>42329</v>
      </c>
      <c r="G1489" t="s">
        <v>245</v>
      </c>
      <c r="H1489" s="9">
        <v>31.96</v>
      </c>
      <c r="I1489" s="5" t="s">
        <v>68</v>
      </c>
      <c r="J1489" s="15">
        <v>42329.497974537036</v>
      </c>
      <c r="K1489" t="str">
        <f t="shared" si="23"/>
        <v>11-2015</v>
      </c>
    </row>
    <row r="1490" spans="3:11" x14ac:dyDescent="0.25">
      <c r="C1490" t="str">
        <f>IF(COUNTBLANK(E1490:J1490) = 6,"",IF(AND(NOT(ISBLANK(E1490)),COUNTBLANK(E1490:J1490) = 5),"3 Delete",IF(ISBLANK(E1490),"2 Add",IF(SHA1Range(E1490:J1490) = "bd1867128ab083bc36a24a8f4790abfb4d4f2a95","0 Original","1 Modify"))))</f>
        <v>0 Original</v>
      </c>
      <c r="D1490" s="5" t="s">
        <v>2268</v>
      </c>
      <c r="E1490" s="3">
        <v>807</v>
      </c>
      <c r="F1490" s="13">
        <v>42331</v>
      </c>
      <c r="G1490" t="s">
        <v>326</v>
      </c>
      <c r="H1490" s="9">
        <v>4.99</v>
      </c>
      <c r="I1490" s="5" t="s">
        <v>68</v>
      </c>
      <c r="J1490" s="15">
        <v>42331.12976851852</v>
      </c>
      <c r="K1490" t="str">
        <f t="shared" si="23"/>
        <v>11-2015</v>
      </c>
    </row>
    <row r="1491" spans="3:11" x14ac:dyDescent="0.25">
      <c r="C1491" t="str">
        <f>IF(COUNTBLANK(E1491:J1491) = 6,"",IF(AND(NOT(ISBLANK(E1491)),COUNTBLANK(E1491:J1491) = 5),"3 Delete",IF(ISBLANK(E1491),"2 Add",IF(SHA1Range(E1491:J1491) = "eec73566eddce3ceab520a8f00456d35c4a7cd25","0 Original","1 Modify"))))</f>
        <v>0 Original</v>
      </c>
      <c r="D1491" s="5" t="s">
        <v>2269</v>
      </c>
      <c r="E1491" s="3">
        <v>661</v>
      </c>
      <c r="F1491" s="13">
        <v>42331</v>
      </c>
      <c r="G1491" t="s">
        <v>263</v>
      </c>
      <c r="H1491" s="9">
        <v>42.95</v>
      </c>
      <c r="I1491" s="5" t="s">
        <v>68</v>
      </c>
      <c r="J1491" s="15">
        <v>42331.642523148148</v>
      </c>
      <c r="K1491" t="str">
        <f t="shared" si="23"/>
        <v>11-2015</v>
      </c>
    </row>
    <row r="1492" spans="3:11" x14ac:dyDescent="0.25">
      <c r="C1492" t="str">
        <f>IF(COUNTBLANK(E1492:J1492) = 6,"",IF(AND(NOT(ISBLANK(E1492)),COUNTBLANK(E1492:J1492) = 5),"3 Delete",IF(ISBLANK(E1492),"2 Add",IF(SHA1Range(E1492:J1492) = "cde282af9844c1c632191def70615ea855392419","0 Original","1 Modify"))))</f>
        <v>0 Original</v>
      </c>
      <c r="D1492" s="5" t="s">
        <v>4128</v>
      </c>
      <c r="E1492" s="3">
        <v>116</v>
      </c>
      <c r="F1492" s="13">
        <v>42332</v>
      </c>
      <c r="G1492" t="s">
        <v>209</v>
      </c>
      <c r="H1492" s="9">
        <v>21.97</v>
      </c>
      <c r="I1492" s="5" t="s">
        <v>68</v>
      </c>
      <c r="J1492" s="15">
        <v>42332.366377314815</v>
      </c>
      <c r="K1492" t="str">
        <f t="shared" si="23"/>
        <v>11-2015</v>
      </c>
    </row>
    <row r="1493" spans="3:11" x14ac:dyDescent="0.25">
      <c r="C1493" t="str">
        <f>IF(COUNTBLANK(E1493:J1493) = 6,"",IF(AND(NOT(ISBLANK(E1493)),COUNTBLANK(E1493:J1493) = 5),"3 Delete",IF(ISBLANK(E1493),"2 Add",IF(SHA1Range(E1493:J1493) = "9d5875dc69286deccb7376c50c94d8da89351259","0 Original","1 Modify"))))</f>
        <v>0 Original</v>
      </c>
      <c r="D1493" s="5" t="s">
        <v>2270</v>
      </c>
      <c r="E1493" s="3">
        <v>604</v>
      </c>
      <c r="F1493" s="13">
        <v>42332</v>
      </c>
      <c r="G1493" t="s">
        <v>155</v>
      </c>
      <c r="H1493" s="9">
        <v>6.99</v>
      </c>
      <c r="I1493" s="5" t="s">
        <v>68</v>
      </c>
      <c r="J1493" s="15">
        <v>42332.48978009259</v>
      </c>
      <c r="K1493" t="str">
        <f t="shared" si="23"/>
        <v>11-2015</v>
      </c>
    </row>
    <row r="1494" spans="3:11" x14ac:dyDescent="0.25">
      <c r="C1494" t="str">
        <f>IF(COUNTBLANK(E1494:J1494) = 6,"",IF(AND(NOT(ISBLANK(E1494)),COUNTBLANK(E1494:J1494) = 5),"3 Delete",IF(ISBLANK(E1494),"2 Add",IF(SHA1Range(E1494:J1494) = "0dbd9e83547a020d630cc0c1e95b21d7b8a128c0","0 Original","1 Modify"))))</f>
        <v>0 Original</v>
      </c>
      <c r="D1494" s="5" t="s">
        <v>2271</v>
      </c>
      <c r="E1494" s="3">
        <v>1020</v>
      </c>
      <c r="F1494" s="13">
        <v>42332</v>
      </c>
      <c r="G1494" t="s">
        <v>221</v>
      </c>
      <c r="H1494" s="9">
        <v>17.98</v>
      </c>
      <c r="I1494" s="5" t="s">
        <v>68</v>
      </c>
      <c r="J1494" s="15">
        <v>42332.81827546296</v>
      </c>
      <c r="K1494" t="str">
        <f t="shared" si="23"/>
        <v>11-2015</v>
      </c>
    </row>
    <row r="1495" spans="3:11" x14ac:dyDescent="0.25">
      <c r="C1495" t="str">
        <f>IF(COUNTBLANK(E1495:J1495) = 6,"",IF(AND(NOT(ISBLANK(E1495)),COUNTBLANK(E1495:J1495) = 5),"3 Delete",IF(ISBLANK(E1495),"2 Add",IF(SHA1Range(E1495:J1495) = "88cec8a096947ef5d4888aa849102ed3495bace2","0 Original","1 Modify"))))</f>
        <v>0 Original</v>
      </c>
      <c r="D1495" s="5" t="s">
        <v>2272</v>
      </c>
      <c r="E1495" s="3">
        <v>884</v>
      </c>
      <c r="F1495" s="13">
        <v>42333</v>
      </c>
      <c r="G1495" t="s">
        <v>98</v>
      </c>
      <c r="H1495" s="9">
        <v>51.94</v>
      </c>
      <c r="I1495" s="5" t="s">
        <v>68</v>
      </c>
      <c r="J1495" s="15">
        <v>42333.316099537034</v>
      </c>
      <c r="K1495" t="str">
        <f t="shared" si="23"/>
        <v>11-2015</v>
      </c>
    </row>
    <row r="1496" spans="3:11" x14ac:dyDescent="0.25">
      <c r="C1496" t="str">
        <f>IF(COUNTBLANK(E1496:J1496) = 6,"",IF(AND(NOT(ISBLANK(E1496)),COUNTBLANK(E1496:J1496) = 5),"3 Delete",IF(ISBLANK(E1496),"2 Add",IF(SHA1Range(E1496:J1496) = "0f1bd001d5a96e5b4b2b2960c276bb42f139b807","0 Original","1 Modify"))))</f>
        <v>0 Original</v>
      </c>
      <c r="D1496" s="5" t="s">
        <v>2273</v>
      </c>
      <c r="E1496" s="3">
        <v>941</v>
      </c>
      <c r="F1496" s="13">
        <v>42335</v>
      </c>
      <c r="G1496" t="s">
        <v>170</v>
      </c>
      <c r="H1496" s="9">
        <v>52.94</v>
      </c>
      <c r="I1496" s="5" t="s">
        <v>68</v>
      </c>
      <c r="J1496" s="15">
        <v>42335.489930555559</v>
      </c>
      <c r="K1496" t="str">
        <f t="shared" si="23"/>
        <v>11-2015</v>
      </c>
    </row>
    <row r="1497" spans="3:11" x14ac:dyDescent="0.25">
      <c r="C1497" t="str">
        <f>IF(COUNTBLANK(E1497:J1497) = 6,"",IF(AND(NOT(ISBLANK(E1497)),COUNTBLANK(E1497:J1497) = 5),"3 Delete",IF(ISBLANK(E1497),"2 Add",IF(SHA1Range(E1497:J1497) = "4ab81d5ae0204d43b63d98f420be179979b9de06","0 Original","1 Modify"))))</f>
        <v>0 Original</v>
      </c>
      <c r="D1497" s="5" t="s">
        <v>4127</v>
      </c>
      <c r="E1497" s="3">
        <v>89</v>
      </c>
      <c r="F1497" s="13">
        <v>42337</v>
      </c>
      <c r="G1497" t="s">
        <v>167</v>
      </c>
      <c r="H1497" s="9">
        <v>41.94</v>
      </c>
      <c r="I1497" s="5" t="s">
        <v>68</v>
      </c>
      <c r="J1497" s="15">
        <v>42337.35224537037</v>
      </c>
      <c r="K1497" t="str">
        <f t="shared" si="23"/>
        <v>11-2015</v>
      </c>
    </row>
    <row r="1498" spans="3:11" x14ac:dyDescent="0.25">
      <c r="C1498" t="str">
        <f>IF(COUNTBLANK(E1498:J1498) = 6,"",IF(AND(NOT(ISBLANK(E1498)),COUNTBLANK(E1498:J1498) = 5),"3 Delete",IF(ISBLANK(E1498),"2 Add",IF(SHA1Range(E1498:J1498) = "4b45c31246798f932174158ede2bfa0592a12bab","0 Original","1 Modify"))))</f>
        <v>0 Original</v>
      </c>
      <c r="D1498" s="5" t="s">
        <v>2274</v>
      </c>
      <c r="E1498" s="3">
        <v>793</v>
      </c>
      <c r="F1498" s="13">
        <v>42337</v>
      </c>
      <c r="G1498" t="s">
        <v>260</v>
      </c>
      <c r="H1498" s="9">
        <v>35.96</v>
      </c>
      <c r="I1498" s="5" t="s">
        <v>68</v>
      </c>
      <c r="J1498" s="15">
        <v>42337.803842592592</v>
      </c>
      <c r="K1498" t="str">
        <f t="shared" si="23"/>
        <v>11-2015</v>
      </c>
    </row>
    <row r="1499" spans="3:11" x14ac:dyDescent="0.25">
      <c r="C1499" t="str">
        <f>IF(COUNTBLANK(E1499:J1499) = 6,"",IF(AND(NOT(ISBLANK(E1499)),COUNTBLANK(E1499:J1499) = 5),"3 Delete",IF(ISBLANK(E1499),"2 Add",IF(SHA1Range(E1499:J1499) = "fe9f305dea7e107aabf28c3168a01004a0862f59","0 Original","1 Modify"))))</f>
        <v>0 Original</v>
      </c>
      <c r="D1499" s="5" t="s">
        <v>2275</v>
      </c>
      <c r="E1499" s="3">
        <v>591</v>
      </c>
      <c r="F1499" s="13">
        <v>42338</v>
      </c>
      <c r="G1499" t="s">
        <v>119</v>
      </c>
      <c r="H1499" s="9">
        <v>6.99</v>
      </c>
      <c r="I1499" s="5" t="s">
        <v>68</v>
      </c>
      <c r="J1499" s="15">
        <v>42338.057754629626</v>
      </c>
      <c r="K1499" t="str">
        <f t="shared" si="23"/>
        <v>11-2015</v>
      </c>
    </row>
    <row r="1500" spans="3:11" x14ac:dyDescent="0.25">
      <c r="C1500" t="str">
        <f>IF(COUNTBLANK(E1500:J1500) = 6,"",IF(AND(NOT(ISBLANK(E1500)),COUNTBLANK(E1500:J1500) = 5),"3 Delete",IF(ISBLANK(E1500),"2 Add",IF(SHA1Range(E1500:J1500) = "13e86b70314b568f9911bd13b15de800e54ccd8f","0 Original","1 Modify"))))</f>
        <v>0 Original</v>
      </c>
      <c r="D1500" s="5" t="s">
        <v>2276</v>
      </c>
      <c r="E1500" s="3">
        <v>929</v>
      </c>
      <c r="F1500" s="13">
        <v>42338</v>
      </c>
      <c r="G1500" t="s">
        <v>245</v>
      </c>
      <c r="H1500" s="9">
        <v>49.95</v>
      </c>
      <c r="I1500" s="5" t="s">
        <v>68</v>
      </c>
      <c r="J1500" s="15">
        <v>42338.305671296293</v>
      </c>
      <c r="K1500" t="str">
        <f t="shared" si="23"/>
        <v>11-2015</v>
      </c>
    </row>
    <row r="1501" spans="3:11" x14ac:dyDescent="0.25">
      <c r="C1501" t="str">
        <f>IF(COUNTBLANK(E1501:J1501) = 6,"",IF(AND(NOT(ISBLANK(E1501)),COUNTBLANK(E1501:J1501) = 5),"3 Delete",IF(ISBLANK(E1501),"2 Add",IF(SHA1Range(E1501:J1501) = "b507d9c6157d66aa91f777642ef327fe78c8e214","0 Original","1 Modify"))))</f>
        <v>0 Original</v>
      </c>
      <c r="D1501" s="5" t="s">
        <v>4126</v>
      </c>
      <c r="E1501" s="3">
        <v>285</v>
      </c>
      <c r="F1501" s="13">
        <v>42338</v>
      </c>
      <c r="G1501" t="s">
        <v>65</v>
      </c>
      <c r="H1501" s="9">
        <v>16.98</v>
      </c>
      <c r="I1501" s="5" t="s">
        <v>68</v>
      </c>
      <c r="J1501" s="15">
        <v>42338.680092592593</v>
      </c>
      <c r="K1501" t="str">
        <f t="shared" si="23"/>
        <v>11-2015</v>
      </c>
    </row>
    <row r="1502" spans="3:11" x14ac:dyDescent="0.25">
      <c r="C1502" t="str">
        <f>IF(COUNTBLANK(E1502:J1502) = 6,"",IF(AND(NOT(ISBLANK(E1502)),COUNTBLANK(E1502:J1502) = 5),"3 Delete",IF(ISBLANK(E1502),"2 Add",IF(SHA1Range(E1502:J1502) = "b858cb282617fb0956d960215c8e84d1ccf909c6","0 Original","1 Modify"))))</f>
        <v/>
      </c>
    </row>
  </sheetData>
  <sortState ref="C2:J1091">
    <sortCondition ref="I1"/>
  </sortState>
  <conditionalFormatting sqref="C2">
    <cfRule type="cellIs" dxfId="34130" priority="1" stopIfTrue="1" operator="equal">
      <formula>"1 Modify"</formula>
    </cfRule>
    <cfRule type="cellIs" dxfId="34129" priority="2" stopIfTrue="1" operator="equal">
      <formula>"2 Add"</formula>
    </cfRule>
    <cfRule type="cellIs" dxfId="34128" priority="3" stopIfTrue="1" operator="equal">
      <formula>"3 Delete"</formula>
    </cfRule>
  </conditionalFormatting>
  <conditionalFormatting sqref="C3">
    <cfRule type="cellIs" dxfId="34127" priority="4" stopIfTrue="1" operator="equal">
      <formula>"1 Modify"</formula>
    </cfRule>
    <cfRule type="cellIs" dxfId="34126" priority="5" stopIfTrue="1" operator="equal">
      <formula>"2 Add"</formula>
    </cfRule>
    <cfRule type="cellIs" dxfId="34125" priority="6" stopIfTrue="1" operator="equal">
      <formula>"3 Delete"</formula>
    </cfRule>
  </conditionalFormatting>
  <conditionalFormatting sqref="C4">
    <cfRule type="cellIs" dxfId="34124" priority="7" stopIfTrue="1" operator="equal">
      <formula>"1 Modify"</formula>
    </cfRule>
    <cfRule type="cellIs" dxfId="34123" priority="8" stopIfTrue="1" operator="equal">
      <formula>"2 Add"</formula>
    </cfRule>
    <cfRule type="cellIs" dxfId="34122" priority="9" stopIfTrue="1" operator="equal">
      <formula>"3 Delete"</formula>
    </cfRule>
  </conditionalFormatting>
  <conditionalFormatting sqref="C5">
    <cfRule type="cellIs" dxfId="34121" priority="10" stopIfTrue="1" operator="equal">
      <formula>"1 Modify"</formula>
    </cfRule>
    <cfRule type="cellIs" dxfId="34120" priority="11" stopIfTrue="1" operator="equal">
      <formula>"2 Add"</formula>
    </cfRule>
    <cfRule type="cellIs" dxfId="34119" priority="12" stopIfTrue="1" operator="equal">
      <formula>"3 Delete"</formula>
    </cfRule>
  </conditionalFormatting>
  <conditionalFormatting sqref="C6">
    <cfRule type="cellIs" dxfId="34118" priority="13" stopIfTrue="1" operator="equal">
      <formula>"1 Modify"</formula>
    </cfRule>
    <cfRule type="cellIs" dxfId="34117" priority="14" stopIfTrue="1" operator="equal">
      <formula>"2 Add"</formula>
    </cfRule>
    <cfRule type="cellIs" dxfId="34116" priority="15" stopIfTrue="1" operator="equal">
      <formula>"3 Delete"</formula>
    </cfRule>
  </conditionalFormatting>
  <conditionalFormatting sqref="C7">
    <cfRule type="cellIs" dxfId="34115" priority="16" stopIfTrue="1" operator="equal">
      <formula>"1 Modify"</formula>
    </cfRule>
    <cfRule type="cellIs" dxfId="34114" priority="17" stopIfTrue="1" operator="equal">
      <formula>"2 Add"</formula>
    </cfRule>
    <cfRule type="cellIs" dxfId="34113" priority="18" stopIfTrue="1" operator="equal">
      <formula>"3 Delete"</formula>
    </cfRule>
  </conditionalFormatting>
  <conditionalFormatting sqref="C8">
    <cfRule type="cellIs" dxfId="34112" priority="19" stopIfTrue="1" operator="equal">
      <formula>"1 Modify"</formula>
    </cfRule>
    <cfRule type="cellIs" dxfId="34111" priority="20" stopIfTrue="1" operator="equal">
      <formula>"2 Add"</formula>
    </cfRule>
    <cfRule type="cellIs" dxfId="34110" priority="21" stopIfTrue="1" operator="equal">
      <formula>"3 Delete"</formula>
    </cfRule>
  </conditionalFormatting>
  <conditionalFormatting sqref="C9">
    <cfRule type="cellIs" dxfId="34109" priority="22" stopIfTrue="1" operator="equal">
      <formula>"1 Modify"</formula>
    </cfRule>
    <cfRule type="cellIs" dxfId="34108" priority="23" stopIfTrue="1" operator="equal">
      <formula>"2 Add"</formula>
    </cfRule>
    <cfRule type="cellIs" dxfId="34107" priority="24" stopIfTrue="1" operator="equal">
      <formula>"3 Delete"</formula>
    </cfRule>
  </conditionalFormatting>
  <conditionalFormatting sqref="C10">
    <cfRule type="cellIs" dxfId="34106" priority="25" stopIfTrue="1" operator="equal">
      <formula>"1 Modify"</formula>
    </cfRule>
    <cfRule type="cellIs" dxfId="34105" priority="26" stopIfTrue="1" operator="equal">
      <formula>"2 Add"</formula>
    </cfRule>
    <cfRule type="cellIs" dxfId="34104" priority="27" stopIfTrue="1" operator="equal">
      <formula>"3 Delete"</formula>
    </cfRule>
  </conditionalFormatting>
  <conditionalFormatting sqref="C11">
    <cfRule type="cellIs" dxfId="34103" priority="28" stopIfTrue="1" operator="equal">
      <formula>"1 Modify"</formula>
    </cfRule>
    <cfRule type="cellIs" dxfId="34102" priority="29" stopIfTrue="1" operator="equal">
      <formula>"2 Add"</formula>
    </cfRule>
    <cfRule type="cellIs" dxfId="34101" priority="30" stopIfTrue="1" operator="equal">
      <formula>"3 Delete"</formula>
    </cfRule>
  </conditionalFormatting>
  <conditionalFormatting sqref="C12">
    <cfRule type="cellIs" dxfId="34100" priority="31" stopIfTrue="1" operator="equal">
      <formula>"1 Modify"</formula>
    </cfRule>
    <cfRule type="cellIs" dxfId="34099" priority="32" stopIfTrue="1" operator="equal">
      <formula>"2 Add"</formula>
    </cfRule>
    <cfRule type="cellIs" dxfId="34098" priority="33" stopIfTrue="1" operator="equal">
      <formula>"3 Delete"</formula>
    </cfRule>
  </conditionalFormatting>
  <conditionalFormatting sqref="C13">
    <cfRule type="cellIs" dxfId="34097" priority="34" stopIfTrue="1" operator="equal">
      <formula>"1 Modify"</formula>
    </cfRule>
    <cfRule type="cellIs" dxfId="34096" priority="35" stopIfTrue="1" operator="equal">
      <formula>"2 Add"</formula>
    </cfRule>
    <cfRule type="cellIs" dxfId="34095" priority="36" stopIfTrue="1" operator="equal">
      <formula>"3 Delete"</formula>
    </cfRule>
  </conditionalFormatting>
  <conditionalFormatting sqref="C14">
    <cfRule type="cellIs" dxfId="34094" priority="37" stopIfTrue="1" operator="equal">
      <formula>"1 Modify"</formula>
    </cfRule>
    <cfRule type="cellIs" dxfId="34093" priority="38" stopIfTrue="1" operator="equal">
      <formula>"2 Add"</formula>
    </cfRule>
    <cfRule type="cellIs" dxfId="34092" priority="39" stopIfTrue="1" operator="equal">
      <formula>"3 Delete"</formula>
    </cfRule>
  </conditionalFormatting>
  <conditionalFormatting sqref="C15">
    <cfRule type="cellIs" dxfId="34091" priority="40" stopIfTrue="1" operator="equal">
      <formula>"1 Modify"</formula>
    </cfRule>
    <cfRule type="cellIs" dxfId="34090" priority="41" stopIfTrue="1" operator="equal">
      <formula>"2 Add"</formula>
    </cfRule>
    <cfRule type="cellIs" dxfId="34089" priority="42" stopIfTrue="1" operator="equal">
      <formula>"3 Delete"</formula>
    </cfRule>
  </conditionalFormatting>
  <conditionalFormatting sqref="C16">
    <cfRule type="cellIs" dxfId="34088" priority="43" stopIfTrue="1" operator="equal">
      <formula>"1 Modify"</formula>
    </cfRule>
    <cfRule type="cellIs" dxfId="34087" priority="44" stopIfTrue="1" operator="equal">
      <formula>"2 Add"</formula>
    </cfRule>
    <cfRule type="cellIs" dxfId="34086" priority="45" stopIfTrue="1" operator="equal">
      <formula>"3 Delete"</formula>
    </cfRule>
  </conditionalFormatting>
  <conditionalFormatting sqref="C17">
    <cfRule type="cellIs" dxfId="34085" priority="46" stopIfTrue="1" operator="equal">
      <formula>"1 Modify"</formula>
    </cfRule>
    <cfRule type="cellIs" dxfId="34084" priority="47" stopIfTrue="1" operator="equal">
      <formula>"2 Add"</formula>
    </cfRule>
    <cfRule type="cellIs" dxfId="34083" priority="48" stopIfTrue="1" operator="equal">
      <formula>"3 Delete"</formula>
    </cfRule>
  </conditionalFormatting>
  <conditionalFormatting sqref="C18">
    <cfRule type="cellIs" dxfId="34082" priority="49" stopIfTrue="1" operator="equal">
      <formula>"1 Modify"</formula>
    </cfRule>
    <cfRule type="cellIs" dxfId="34081" priority="50" stopIfTrue="1" operator="equal">
      <formula>"2 Add"</formula>
    </cfRule>
    <cfRule type="cellIs" dxfId="34080" priority="51" stopIfTrue="1" operator="equal">
      <formula>"3 Delete"</formula>
    </cfRule>
  </conditionalFormatting>
  <conditionalFormatting sqref="C19">
    <cfRule type="cellIs" dxfId="34079" priority="52" stopIfTrue="1" operator="equal">
      <formula>"1 Modify"</formula>
    </cfRule>
    <cfRule type="cellIs" dxfId="34078" priority="53" stopIfTrue="1" operator="equal">
      <formula>"2 Add"</formula>
    </cfRule>
    <cfRule type="cellIs" dxfId="34077" priority="54" stopIfTrue="1" operator="equal">
      <formula>"3 Delete"</formula>
    </cfRule>
  </conditionalFormatting>
  <conditionalFormatting sqref="C20">
    <cfRule type="cellIs" dxfId="34076" priority="55" stopIfTrue="1" operator="equal">
      <formula>"1 Modify"</formula>
    </cfRule>
    <cfRule type="cellIs" dxfId="34075" priority="56" stopIfTrue="1" operator="equal">
      <formula>"2 Add"</formula>
    </cfRule>
    <cfRule type="cellIs" dxfId="34074" priority="57" stopIfTrue="1" operator="equal">
      <formula>"3 Delete"</formula>
    </cfRule>
  </conditionalFormatting>
  <conditionalFormatting sqref="C21">
    <cfRule type="cellIs" dxfId="34073" priority="58" stopIfTrue="1" operator="equal">
      <formula>"1 Modify"</formula>
    </cfRule>
    <cfRule type="cellIs" dxfId="34072" priority="59" stopIfTrue="1" operator="equal">
      <formula>"2 Add"</formula>
    </cfRule>
    <cfRule type="cellIs" dxfId="34071" priority="60" stopIfTrue="1" operator="equal">
      <formula>"3 Delete"</formula>
    </cfRule>
  </conditionalFormatting>
  <conditionalFormatting sqref="C22">
    <cfRule type="cellIs" dxfId="34070" priority="61" stopIfTrue="1" operator="equal">
      <formula>"1 Modify"</formula>
    </cfRule>
  </conditionalFormatting>
  <conditionalFormatting sqref="C22">
    <cfRule type="cellIs" dxfId="34069" priority="62" stopIfTrue="1" operator="equal">
      <formula>"2 Add"</formula>
    </cfRule>
  </conditionalFormatting>
  <conditionalFormatting sqref="C22">
    <cfRule type="cellIs" dxfId="34068" priority="63" stopIfTrue="1" operator="equal">
      <formula>"3 Delete"</formula>
    </cfRule>
  </conditionalFormatting>
  <conditionalFormatting sqref="C23">
    <cfRule type="cellIs" dxfId="34067" priority="64" stopIfTrue="1" operator="equal">
      <formula>"1 Modify"</formula>
    </cfRule>
  </conditionalFormatting>
  <conditionalFormatting sqref="C23">
    <cfRule type="cellIs" dxfId="34066" priority="65" stopIfTrue="1" operator="equal">
      <formula>"2 Add"</formula>
    </cfRule>
  </conditionalFormatting>
  <conditionalFormatting sqref="C23">
    <cfRule type="cellIs" dxfId="34065" priority="66" stopIfTrue="1" operator="equal">
      <formula>"3 Delete"</formula>
    </cfRule>
  </conditionalFormatting>
  <conditionalFormatting sqref="C24">
    <cfRule type="cellIs" dxfId="34064" priority="67" stopIfTrue="1" operator="equal">
      <formula>"1 Modify"</formula>
    </cfRule>
  </conditionalFormatting>
  <conditionalFormatting sqref="C24">
    <cfRule type="cellIs" dxfId="34063" priority="68" stopIfTrue="1" operator="equal">
      <formula>"2 Add"</formula>
    </cfRule>
  </conditionalFormatting>
  <conditionalFormatting sqref="C24">
    <cfRule type="cellIs" dxfId="34062" priority="69" stopIfTrue="1" operator="equal">
      <formula>"3 Delete"</formula>
    </cfRule>
  </conditionalFormatting>
  <conditionalFormatting sqref="C25">
    <cfRule type="cellIs" dxfId="34061" priority="70" stopIfTrue="1" operator="equal">
      <formula>"1 Modify"</formula>
    </cfRule>
  </conditionalFormatting>
  <conditionalFormatting sqref="C25">
    <cfRule type="cellIs" dxfId="34060" priority="71" stopIfTrue="1" operator="equal">
      <formula>"2 Add"</formula>
    </cfRule>
  </conditionalFormatting>
  <conditionalFormatting sqref="C25">
    <cfRule type="cellIs" dxfId="34059" priority="72" stopIfTrue="1" operator="equal">
      <formula>"3 Delete"</formula>
    </cfRule>
  </conditionalFormatting>
  <conditionalFormatting sqref="C26">
    <cfRule type="cellIs" dxfId="34058" priority="73" stopIfTrue="1" operator="equal">
      <formula>"1 Modify"</formula>
    </cfRule>
  </conditionalFormatting>
  <conditionalFormatting sqref="C26">
    <cfRule type="cellIs" dxfId="34057" priority="74" stopIfTrue="1" operator="equal">
      <formula>"2 Add"</formula>
    </cfRule>
  </conditionalFormatting>
  <conditionalFormatting sqref="C26">
    <cfRule type="cellIs" dxfId="34056" priority="75" stopIfTrue="1" operator="equal">
      <formula>"3 Delete"</formula>
    </cfRule>
  </conditionalFormatting>
  <conditionalFormatting sqref="C27">
    <cfRule type="cellIs" dxfId="34055" priority="76" stopIfTrue="1" operator="equal">
      <formula>"1 Modify"</formula>
    </cfRule>
  </conditionalFormatting>
  <conditionalFormatting sqref="C27">
    <cfRule type="cellIs" dxfId="34054" priority="77" stopIfTrue="1" operator="equal">
      <formula>"2 Add"</formula>
    </cfRule>
  </conditionalFormatting>
  <conditionalFormatting sqref="C27">
    <cfRule type="cellIs" dxfId="34053" priority="78" stopIfTrue="1" operator="equal">
      <formula>"3 Delete"</formula>
    </cfRule>
  </conditionalFormatting>
  <conditionalFormatting sqref="C28">
    <cfRule type="cellIs" dxfId="34052" priority="79" stopIfTrue="1" operator="equal">
      <formula>"1 Modify"</formula>
    </cfRule>
  </conditionalFormatting>
  <conditionalFormatting sqref="C28">
    <cfRule type="cellIs" dxfId="34051" priority="80" stopIfTrue="1" operator="equal">
      <formula>"2 Add"</formula>
    </cfRule>
  </conditionalFormatting>
  <conditionalFormatting sqref="C28">
    <cfRule type="cellIs" dxfId="34050" priority="81" stopIfTrue="1" operator="equal">
      <formula>"3 Delete"</formula>
    </cfRule>
  </conditionalFormatting>
  <conditionalFormatting sqref="C29">
    <cfRule type="cellIs" dxfId="34049" priority="82" stopIfTrue="1" operator="equal">
      <formula>"1 Modify"</formula>
    </cfRule>
  </conditionalFormatting>
  <conditionalFormatting sqref="C29">
    <cfRule type="cellIs" dxfId="34048" priority="83" stopIfTrue="1" operator="equal">
      <formula>"2 Add"</formula>
    </cfRule>
  </conditionalFormatting>
  <conditionalFormatting sqref="C29">
    <cfRule type="cellIs" dxfId="34047" priority="84" stopIfTrue="1" operator="equal">
      <formula>"3 Delete"</formula>
    </cfRule>
  </conditionalFormatting>
  <conditionalFormatting sqref="C30">
    <cfRule type="cellIs" dxfId="34046" priority="85" stopIfTrue="1" operator="equal">
      <formula>"1 Modify"</formula>
    </cfRule>
  </conditionalFormatting>
  <conditionalFormatting sqref="C30">
    <cfRule type="cellIs" dxfId="34045" priority="86" stopIfTrue="1" operator="equal">
      <formula>"2 Add"</formula>
    </cfRule>
  </conditionalFormatting>
  <conditionalFormatting sqref="C30">
    <cfRule type="cellIs" dxfId="34044" priority="87" stopIfTrue="1" operator="equal">
      <formula>"3 Delete"</formula>
    </cfRule>
  </conditionalFormatting>
  <conditionalFormatting sqref="C31">
    <cfRule type="cellIs" dxfId="34043" priority="88" stopIfTrue="1" operator="equal">
      <formula>"1 Modify"</formula>
    </cfRule>
  </conditionalFormatting>
  <conditionalFormatting sqref="C31">
    <cfRule type="cellIs" dxfId="34042" priority="89" stopIfTrue="1" operator="equal">
      <formula>"2 Add"</formula>
    </cfRule>
  </conditionalFormatting>
  <conditionalFormatting sqref="C31">
    <cfRule type="cellIs" dxfId="34041" priority="90" stopIfTrue="1" operator="equal">
      <formula>"3 Delete"</formula>
    </cfRule>
  </conditionalFormatting>
  <conditionalFormatting sqref="C32">
    <cfRule type="cellIs" dxfId="34040" priority="91" stopIfTrue="1" operator="equal">
      <formula>"1 Modify"</formula>
    </cfRule>
  </conditionalFormatting>
  <conditionalFormatting sqref="C32">
    <cfRule type="cellIs" dxfId="34039" priority="92" stopIfTrue="1" operator="equal">
      <formula>"2 Add"</formula>
    </cfRule>
  </conditionalFormatting>
  <conditionalFormatting sqref="C32">
    <cfRule type="cellIs" dxfId="34038" priority="93" stopIfTrue="1" operator="equal">
      <formula>"3 Delete"</formula>
    </cfRule>
  </conditionalFormatting>
  <conditionalFormatting sqref="C33">
    <cfRule type="cellIs" dxfId="34037" priority="94" stopIfTrue="1" operator="equal">
      <formula>"1 Modify"</formula>
    </cfRule>
  </conditionalFormatting>
  <conditionalFormatting sqref="C33">
    <cfRule type="cellIs" dxfId="34036" priority="95" stopIfTrue="1" operator="equal">
      <formula>"2 Add"</formula>
    </cfRule>
  </conditionalFormatting>
  <conditionalFormatting sqref="C33">
    <cfRule type="cellIs" dxfId="34035" priority="96" stopIfTrue="1" operator="equal">
      <formula>"3 Delete"</formula>
    </cfRule>
  </conditionalFormatting>
  <conditionalFormatting sqref="C34">
    <cfRule type="cellIs" dxfId="34034" priority="97" stopIfTrue="1" operator="equal">
      <formula>"1 Modify"</formula>
    </cfRule>
  </conditionalFormatting>
  <conditionalFormatting sqref="C34">
    <cfRule type="cellIs" dxfId="34033" priority="98" stopIfTrue="1" operator="equal">
      <formula>"2 Add"</formula>
    </cfRule>
  </conditionalFormatting>
  <conditionalFormatting sqref="C34">
    <cfRule type="cellIs" dxfId="34032" priority="99" stopIfTrue="1" operator="equal">
      <formula>"3 Delete"</formula>
    </cfRule>
  </conditionalFormatting>
  <conditionalFormatting sqref="C35">
    <cfRule type="cellIs" dxfId="34031" priority="100" stopIfTrue="1" operator="equal">
      <formula>"1 Modify"</formula>
    </cfRule>
  </conditionalFormatting>
  <conditionalFormatting sqref="C35">
    <cfRule type="cellIs" dxfId="34030" priority="101" stopIfTrue="1" operator="equal">
      <formula>"2 Add"</formula>
    </cfRule>
  </conditionalFormatting>
  <conditionalFormatting sqref="C35">
    <cfRule type="cellIs" dxfId="34029" priority="102" stopIfTrue="1" operator="equal">
      <formula>"3 Delete"</formula>
    </cfRule>
  </conditionalFormatting>
  <conditionalFormatting sqref="C36">
    <cfRule type="cellIs" dxfId="34028" priority="103" stopIfTrue="1" operator="equal">
      <formula>"1 Modify"</formula>
    </cfRule>
  </conditionalFormatting>
  <conditionalFormatting sqref="C36">
    <cfRule type="cellIs" dxfId="34027" priority="104" stopIfTrue="1" operator="equal">
      <formula>"2 Add"</formula>
    </cfRule>
  </conditionalFormatting>
  <conditionalFormatting sqref="C36">
    <cfRule type="cellIs" dxfId="34026" priority="105" stopIfTrue="1" operator="equal">
      <formula>"3 Delete"</formula>
    </cfRule>
  </conditionalFormatting>
  <conditionalFormatting sqref="C37">
    <cfRule type="cellIs" dxfId="34025" priority="106" stopIfTrue="1" operator="equal">
      <formula>"1 Modify"</formula>
    </cfRule>
  </conditionalFormatting>
  <conditionalFormatting sqref="C37">
    <cfRule type="cellIs" dxfId="34024" priority="107" stopIfTrue="1" operator="equal">
      <formula>"2 Add"</formula>
    </cfRule>
  </conditionalFormatting>
  <conditionalFormatting sqref="C37">
    <cfRule type="cellIs" dxfId="34023" priority="108" stopIfTrue="1" operator="equal">
      <formula>"3 Delete"</formula>
    </cfRule>
  </conditionalFormatting>
  <conditionalFormatting sqref="C38">
    <cfRule type="cellIs" dxfId="34022" priority="109" stopIfTrue="1" operator="equal">
      <formula>"1 Modify"</formula>
    </cfRule>
  </conditionalFormatting>
  <conditionalFormatting sqref="C38">
    <cfRule type="cellIs" dxfId="34021" priority="110" stopIfTrue="1" operator="equal">
      <formula>"2 Add"</formula>
    </cfRule>
  </conditionalFormatting>
  <conditionalFormatting sqref="C38">
    <cfRule type="cellIs" dxfId="34020" priority="111" stopIfTrue="1" operator="equal">
      <formula>"3 Delete"</formula>
    </cfRule>
  </conditionalFormatting>
  <conditionalFormatting sqref="C39">
    <cfRule type="cellIs" dxfId="34019" priority="112" stopIfTrue="1" operator="equal">
      <formula>"1 Modify"</formula>
    </cfRule>
  </conditionalFormatting>
  <conditionalFormatting sqref="C39">
    <cfRule type="cellIs" dxfId="34018" priority="113" stopIfTrue="1" operator="equal">
      <formula>"2 Add"</formula>
    </cfRule>
  </conditionalFormatting>
  <conditionalFormatting sqref="C39">
    <cfRule type="cellIs" dxfId="34017" priority="114" stopIfTrue="1" operator="equal">
      <formula>"3 Delete"</formula>
    </cfRule>
  </conditionalFormatting>
  <conditionalFormatting sqref="C40">
    <cfRule type="cellIs" dxfId="34016" priority="115" stopIfTrue="1" operator="equal">
      <formula>"1 Modify"</formula>
    </cfRule>
  </conditionalFormatting>
  <conditionalFormatting sqref="C40">
    <cfRule type="cellIs" dxfId="34015" priority="116" stopIfTrue="1" operator="equal">
      <formula>"2 Add"</formula>
    </cfRule>
  </conditionalFormatting>
  <conditionalFormatting sqref="C40">
    <cfRule type="cellIs" dxfId="34014" priority="117" stopIfTrue="1" operator="equal">
      <formula>"3 Delete"</formula>
    </cfRule>
  </conditionalFormatting>
  <conditionalFormatting sqref="C41">
    <cfRule type="cellIs" dxfId="34013" priority="118" stopIfTrue="1" operator="equal">
      <formula>"1 Modify"</formula>
    </cfRule>
  </conditionalFormatting>
  <conditionalFormatting sqref="C41">
    <cfRule type="cellIs" dxfId="34012" priority="119" stopIfTrue="1" operator="equal">
      <formula>"2 Add"</formula>
    </cfRule>
  </conditionalFormatting>
  <conditionalFormatting sqref="C41">
    <cfRule type="cellIs" dxfId="34011" priority="120" stopIfTrue="1" operator="equal">
      <formula>"3 Delete"</formula>
    </cfRule>
  </conditionalFormatting>
  <conditionalFormatting sqref="C42">
    <cfRule type="cellIs" dxfId="34010" priority="121" stopIfTrue="1" operator="equal">
      <formula>"1 Modify"</formula>
    </cfRule>
  </conditionalFormatting>
  <conditionalFormatting sqref="C42">
    <cfRule type="cellIs" dxfId="34009" priority="122" stopIfTrue="1" operator="equal">
      <formula>"2 Add"</formula>
    </cfRule>
  </conditionalFormatting>
  <conditionalFormatting sqref="C42">
    <cfRule type="cellIs" dxfId="34008" priority="123" stopIfTrue="1" operator="equal">
      <formula>"3 Delete"</formula>
    </cfRule>
  </conditionalFormatting>
  <conditionalFormatting sqref="C43">
    <cfRule type="cellIs" dxfId="34007" priority="124" stopIfTrue="1" operator="equal">
      <formula>"1 Modify"</formula>
    </cfRule>
  </conditionalFormatting>
  <conditionalFormatting sqref="C43">
    <cfRule type="cellIs" dxfId="34006" priority="125" stopIfTrue="1" operator="equal">
      <formula>"2 Add"</formula>
    </cfRule>
  </conditionalFormatting>
  <conditionalFormatting sqref="C43">
    <cfRule type="cellIs" dxfId="34005" priority="126" stopIfTrue="1" operator="equal">
      <formula>"3 Delete"</formula>
    </cfRule>
  </conditionalFormatting>
  <conditionalFormatting sqref="C44">
    <cfRule type="cellIs" dxfId="34004" priority="127" stopIfTrue="1" operator="equal">
      <formula>"1 Modify"</formula>
    </cfRule>
  </conditionalFormatting>
  <conditionalFormatting sqref="C44">
    <cfRule type="cellIs" dxfId="34003" priority="128" stopIfTrue="1" operator="equal">
      <formula>"2 Add"</formula>
    </cfRule>
  </conditionalFormatting>
  <conditionalFormatting sqref="C44">
    <cfRule type="cellIs" dxfId="34002" priority="129" stopIfTrue="1" operator="equal">
      <formula>"3 Delete"</formula>
    </cfRule>
  </conditionalFormatting>
  <conditionalFormatting sqref="C45">
    <cfRule type="cellIs" dxfId="34001" priority="130" stopIfTrue="1" operator="equal">
      <formula>"1 Modify"</formula>
    </cfRule>
  </conditionalFormatting>
  <conditionalFormatting sqref="C45">
    <cfRule type="cellIs" dxfId="34000" priority="131" stopIfTrue="1" operator="equal">
      <formula>"2 Add"</formula>
    </cfRule>
  </conditionalFormatting>
  <conditionalFormatting sqref="C45">
    <cfRule type="cellIs" dxfId="33999" priority="132" stopIfTrue="1" operator="equal">
      <formula>"3 Delete"</formula>
    </cfRule>
  </conditionalFormatting>
  <conditionalFormatting sqref="C46">
    <cfRule type="cellIs" dxfId="33998" priority="133" stopIfTrue="1" operator="equal">
      <formula>"1 Modify"</formula>
    </cfRule>
  </conditionalFormatting>
  <conditionalFormatting sqref="C46">
    <cfRule type="cellIs" dxfId="33997" priority="134" stopIfTrue="1" operator="equal">
      <formula>"2 Add"</formula>
    </cfRule>
  </conditionalFormatting>
  <conditionalFormatting sqref="C46">
    <cfRule type="cellIs" dxfId="33996" priority="135" stopIfTrue="1" operator="equal">
      <formula>"3 Delete"</formula>
    </cfRule>
  </conditionalFormatting>
  <conditionalFormatting sqref="C47">
    <cfRule type="cellIs" dxfId="33995" priority="136" stopIfTrue="1" operator="equal">
      <formula>"1 Modify"</formula>
    </cfRule>
  </conditionalFormatting>
  <conditionalFormatting sqref="C47">
    <cfRule type="cellIs" dxfId="33994" priority="137" stopIfTrue="1" operator="equal">
      <formula>"2 Add"</formula>
    </cfRule>
  </conditionalFormatting>
  <conditionalFormatting sqref="C47">
    <cfRule type="cellIs" dxfId="33993" priority="138" stopIfTrue="1" operator="equal">
      <formula>"3 Delete"</formula>
    </cfRule>
  </conditionalFormatting>
  <conditionalFormatting sqref="C48">
    <cfRule type="cellIs" dxfId="33992" priority="139" stopIfTrue="1" operator="equal">
      <formula>"1 Modify"</formula>
    </cfRule>
  </conditionalFormatting>
  <conditionalFormatting sqref="C48">
    <cfRule type="cellIs" dxfId="33991" priority="140" stopIfTrue="1" operator="equal">
      <formula>"2 Add"</formula>
    </cfRule>
  </conditionalFormatting>
  <conditionalFormatting sqref="C48">
    <cfRule type="cellIs" dxfId="33990" priority="141" stopIfTrue="1" operator="equal">
      <formula>"3 Delete"</formula>
    </cfRule>
  </conditionalFormatting>
  <conditionalFormatting sqref="C49">
    <cfRule type="cellIs" dxfId="33989" priority="142" stopIfTrue="1" operator="equal">
      <formula>"1 Modify"</formula>
    </cfRule>
  </conditionalFormatting>
  <conditionalFormatting sqref="C49">
    <cfRule type="cellIs" dxfId="33988" priority="143" stopIfTrue="1" operator="equal">
      <formula>"2 Add"</formula>
    </cfRule>
  </conditionalFormatting>
  <conditionalFormatting sqref="C49">
    <cfRule type="cellIs" dxfId="33987" priority="144" stopIfTrue="1" operator="equal">
      <formula>"3 Delete"</formula>
    </cfRule>
  </conditionalFormatting>
  <conditionalFormatting sqref="C50">
    <cfRule type="cellIs" dxfId="33986" priority="145" stopIfTrue="1" operator="equal">
      <formula>"1 Modify"</formula>
    </cfRule>
  </conditionalFormatting>
  <conditionalFormatting sqref="C50">
    <cfRule type="cellIs" dxfId="33985" priority="146" stopIfTrue="1" operator="equal">
      <formula>"2 Add"</formula>
    </cfRule>
  </conditionalFormatting>
  <conditionalFormatting sqref="C50">
    <cfRule type="cellIs" dxfId="33984" priority="147" stopIfTrue="1" operator="equal">
      <formula>"3 Delete"</formula>
    </cfRule>
  </conditionalFormatting>
  <conditionalFormatting sqref="C51">
    <cfRule type="cellIs" dxfId="33983" priority="148" stopIfTrue="1" operator="equal">
      <formula>"1 Modify"</formula>
    </cfRule>
  </conditionalFormatting>
  <conditionalFormatting sqref="C51">
    <cfRule type="cellIs" dxfId="33982" priority="149" stopIfTrue="1" operator="equal">
      <formula>"2 Add"</formula>
    </cfRule>
  </conditionalFormatting>
  <conditionalFormatting sqref="C51">
    <cfRule type="cellIs" dxfId="33981" priority="150" stopIfTrue="1" operator="equal">
      <formula>"3 Delete"</formula>
    </cfRule>
  </conditionalFormatting>
  <conditionalFormatting sqref="C52">
    <cfRule type="cellIs" dxfId="33980" priority="151" stopIfTrue="1" operator="equal">
      <formula>"1 Modify"</formula>
    </cfRule>
  </conditionalFormatting>
  <conditionalFormatting sqref="C52">
    <cfRule type="cellIs" dxfId="33979" priority="152" stopIfTrue="1" operator="equal">
      <formula>"2 Add"</formula>
    </cfRule>
  </conditionalFormatting>
  <conditionalFormatting sqref="C52">
    <cfRule type="cellIs" dxfId="33978" priority="153" stopIfTrue="1" operator="equal">
      <formula>"3 Delete"</formula>
    </cfRule>
  </conditionalFormatting>
  <conditionalFormatting sqref="C53">
    <cfRule type="cellIs" dxfId="33977" priority="154" stopIfTrue="1" operator="equal">
      <formula>"1 Modify"</formula>
    </cfRule>
  </conditionalFormatting>
  <conditionalFormatting sqref="C53">
    <cfRule type="cellIs" dxfId="33976" priority="155" stopIfTrue="1" operator="equal">
      <formula>"2 Add"</formula>
    </cfRule>
  </conditionalFormatting>
  <conditionalFormatting sqref="C53">
    <cfRule type="cellIs" dxfId="33975" priority="156" stopIfTrue="1" operator="equal">
      <formula>"3 Delete"</formula>
    </cfRule>
  </conditionalFormatting>
  <conditionalFormatting sqref="C54">
    <cfRule type="cellIs" dxfId="33974" priority="157" stopIfTrue="1" operator="equal">
      <formula>"1 Modify"</formula>
    </cfRule>
  </conditionalFormatting>
  <conditionalFormatting sqref="C54">
    <cfRule type="cellIs" dxfId="33973" priority="158" stopIfTrue="1" operator="equal">
      <formula>"2 Add"</formula>
    </cfRule>
  </conditionalFormatting>
  <conditionalFormatting sqref="C54">
    <cfRule type="cellIs" dxfId="33972" priority="159" stopIfTrue="1" operator="equal">
      <formula>"3 Delete"</formula>
    </cfRule>
  </conditionalFormatting>
  <conditionalFormatting sqref="C55">
    <cfRule type="cellIs" dxfId="33971" priority="160" stopIfTrue="1" operator="equal">
      <formula>"1 Modify"</formula>
    </cfRule>
  </conditionalFormatting>
  <conditionalFormatting sqref="C55">
    <cfRule type="cellIs" dxfId="33970" priority="161" stopIfTrue="1" operator="equal">
      <formula>"2 Add"</formula>
    </cfRule>
  </conditionalFormatting>
  <conditionalFormatting sqref="C55">
    <cfRule type="cellIs" dxfId="33969" priority="162" stopIfTrue="1" operator="equal">
      <formula>"3 Delete"</formula>
    </cfRule>
  </conditionalFormatting>
  <conditionalFormatting sqref="C56">
    <cfRule type="cellIs" dxfId="33968" priority="163" stopIfTrue="1" operator="equal">
      <formula>"1 Modify"</formula>
    </cfRule>
  </conditionalFormatting>
  <conditionalFormatting sqref="C56">
    <cfRule type="cellIs" dxfId="33967" priority="164" stopIfTrue="1" operator="equal">
      <formula>"2 Add"</formula>
    </cfRule>
  </conditionalFormatting>
  <conditionalFormatting sqref="C56">
    <cfRule type="cellIs" dxfId="33966" priority="165" stopIfTrue="1" operator="equal">
      <formula>"3 Delete"</formula>
    </cfRule>
  </conditionalFormatting>
  <conditionalFormatting sqref="C57">
    <cfRule type="cellIs" dxfId="33965" priority="166" stopIfTrue="1" operator="equal">
      <formula>"1 Modify"</formula>
    </cfRule>
  </conditionalFormatting>
  <conditionalFormatting sqref="C57">
    <cfRule type="cellIs" dxfId="33964" priority="167" stopIfTrue="1" operator="equal">
      <formula>"2 Add"</formula>
    </cfRule>
  </conditionalFormatting>
  <conditionalFormatting sqref="C57">
    <cfRule type="cellIs" dxfId="33963" priority="168" stopIfTrue="1" operator="equal">
      <formula>"3 Delete"</formula>
    </cfRule>
  </conditionalFormatting>
  <conditionalFormatting sqref="C58">
    <cfRule type="cellIs" dxfId="33962" priority="169" stopIfTrue="1" operator="equal">
      <formula>"1 Modify"</formula>
    </cfRule>
  </conditionalFormatting>
  <conditionalFormatting sqref="C58">
    <cfRule type="cellIs" dxfId="33961" priority="170" stopIfTrue="1" operator="equal">
      <formula>"2 Add"</formula>
    </cfRule>
  </conditionalFormatting>
  <conditionalFormatting sqref="C58">
    <cfRule type="cellIs" dxfId="33960" priority="171" stopIfTrue="1" operator="equal">
      <formula>"3 Delete"</formula>
    </cfRule>
  </conditionalFormatting>
  <conditionalFormatting sqref="C59">
    <cfRule type="cellIs" dxfId="33959" priority="172" stopIfTrue="1" operator="equal">
      <formula>"1 Modify"</formula>
    </cfRule>
  </conditionalFormatting>
  <conditionalFormatting sqref="C59">
    <cfRule type="cellIs" dxfId="33958" priority="173" stopIfTrue="1" operator="equal">
      <formula>"2 Add"</formula>
    </cfRule>
  </conditionalFormatting>
  <conditionalFormatting sqref="C59">
    <cfRule type="cellIs" dxfId="33957" priority="174" stopIfTrue="1" operator="equal">
      <formula>"3 Delete"</formula>
    </cfRule>
  </conditionalFormatting>
  <conditionalFormatting sqref="C60">
    <cfRule type="cellIs" dxfId="33956" priority="175" stopIfTrue="1" operator="equal">
      <formula>"1 Modify"</formula>
    </cfRule>
  </conditionalFormatting>
  <conditionalFormatting sqref="C60">
    <cfRule type="cellIs" dxfId="33955" priority="176" stopIfTrue="1" operator="equal">
      <formula>"2 Add"</formula>
    </cfRule>
  </conditionalFormatting>
  <conditionalFormatting sqref="C60">
    <cfRule type="cellIs" dxfId="33954" priority="177" stopIfTrue="1" operator="equal">
      <formula>"3 Delete"</formula>
    </cfRule>
  </conditionalFormatting>
  <conditionalFormatting sqref="C61">
    <cfRule type="cellIs" dxfId="33953" priority="178" stopIfTrue="1" operator="equal">
      <formula>"1 Modify"</formula>
    </cfRule>
  </conditionalFormatting>
  <conditionalFormatting sqref="C61">
    <cfRule type="cellIs" dxfId="33952" priority="179" stopIfTrue="1" operator="equal">
      <formula>"2 Add"</formula>
    </cfRule>
  </conditionalFormatting>
  <conditionalFormatting sqref="C61">
    <cfRule type="cellIs" dxfId="33951" priority="180" stopIfTrue="1" operator="equal">
      <formula>"3 Delete"</formula>
    </cfRule>
  </conditionalFormatting>
  <conditionalFormatting sqref="C62">
    <cfRule type="cellIs" dxfId="33950" priority="181" stopIfTrue="1" operator="equal">
      <formula>"1 Modify"</formula>
    </cfRule>
  </conditionalFormatting>
  <conditionalFormatting sqref="C62">
    <cfRule type="cellIs" dxfId="33949" priority="182" stopIfTrue="1" operator="equal">
      <formula>"2 Add"</formula>
    </cfRule>
  </conditionalFormatting>
  <conditionalFormatting sqref="C62">
    <cfRule type="cellIs" dxfId="33948" priority="183" stopIfTrue="1" operator="equal">
      <formula>"3 Delete"</formula>
    </cfRule>
  </conditionalFormatting>
  <conditionalFormatting sqref="C63">
    <cfRule type="cellIs" dxfId="33947" priority="184" stopIfTrue="1" operator="equal">
      <formula>"1 Modify"</formula>
    </cfRule>
  </conditionalFormatting>
  <conditionalFormatting sqref="C63">
    <cfRule type="cellIs" dxfId="33946" priority="185" stopIfTrue="1" operator="equal">
      <formula>"2 Add"</formula>
    </cfRule>
  </conditionalFormatting>
  <conditionalFormatting sqref="C63">
    <cfRule type="cellIs" dxfId="33945" priority="186" stopIfTrue="1" operator="equal">
      <formula>"3 Delete"</formula>
    </cfRule>
  </conditionalFormatting>
  <conditionalFormatting sqref="C64">
    <cfRule type="cellIs" dxfId="33944" priority="187" stopIfTrue="1" operator="equal">
      <formula>"1 Modify"</formula>
    </cfRule>
  </conditionalFormatting>
  <conditionalFormatting sqref="C64">
    <cfRule type="cellIs" dxfId="33943" priority="188" stopIfTrue="1" operator="equal">
      <formula>"2 Add"</formula>
    </cfRule>
  </conditionalFormatting>
  <conditionalFormatting sqref="C64">
    <cfRule type="cellIs" dxfId="33942" priority="189" stopIfTrue="1" operator="equal">
      <formula>"3 Delete"</formula>
    </cfRule>
  </conditionalFormatting>
  <conditionalFormatting sqref="C65">
    <cfRule type="cellIs" dxfId="33941" priority="190" stopIfTrue="1" operator="equal">
      <formula>"1 Modify"</formula>
    </cfRule>
  </conditionalFormatting>
  <conditionalFormatting sqref="C65">
    <cfRule type="cellIs" dxfId="33940" priority="191" stopIfTrue="1" operator="equal">
      <formula>"2 Add"</formula>
    </cfRule>
  </conditionalFormatting>
  <conditionalFormatting sqref="C65">
    <cfRule type="cellIs" dxfId="33939" priority="192" stopIfTrue="1" operator="equal">
      <formula>"3 Delete"</formula>
    </cfRule>
  </conditionalFormatting>
  <conditionalFormatting sqref="C66">
    <cfRule type="cellIs" dxfId="33938" priority="193" stopIfTrue="1" operator="equal">
      <formula>"1 Modify"</formula>
    </cfRule>
  </conditionalFormatting>
  <conditionalFormatting sqref="C66">
    <cfRule type="cellIs" dxfId="33937" priority="194" stopIfTrue="1" operator="equal">
      <formula>"2 Add"</formula>
    </cfRule>
  </conditionalFormatting>
  <conditionalFormatting sqref="C66">
    <cfRule type="cellIs" dxfId="33936" priority="195" stopIfTrue="1" operator="equal">
      <formula>"3 Delete"</formula>
    </cfRule>
  </conditionalFormatting>
  <conditionalFormatting sqref="C67">
    <cfRule type="cellIs" dxfId="33935" priority="196" stopIfTrue="1" operator="equal">
      <formula>"1 Modify"</formula>
    </cfRule>
  </conditionalFormatting>
  <conditionalFormatting sqref="C67">
    <cfRule type="cellIs" dxfId="33934" priority="197" stopIfTrue="1" operator="equal">
      <formula>"2 Add"</formula>
    </cfRule>
  </conditionalFormatting>
  <conditionalFormatting sqref="C67">
    <cfRule type="cellIs" dxfId="33933" priority="198" stopIfTrue="1" operator="equal">
      <formula>"3 Delete"</formula>
    </cfRule>
  </conditionalFormatting>
  <conditionalFormatting sqref="C68">
    <cfRule type="cellIs" dxfId="33932" priority="199" stopIfTrue="1" operator="equal">
      <formula>"1 Modify"</formula>
    </cfRule>
  </conditionalFormatting>
  <conditionalFormatting sqref="C68">
    <cfRule type="cellIs" dxfId="33931" priority="200" stopIfTrue="1" operator="equal">
      <formula>"2 Add"</formula>
    </cfRule>
  </conditionalFormatting>
  <conditionalFormatting sqref="C68">
    <cfRule type="cellIs" dxfId="33930" priority="201" stopIfTrue="1" operator="equal">
      <formula>"3 Delete"</formula>
    </cfRule>
  </conditionalFormatting>
  <conditionalFormatting sqref="C69">
    <cfRule type="cellIs" dxfId="33929" priority="202" stopIfTrue="1" operator="equal">
      <formula>"1 Modify"</formula>
    </cfRule>
  </conditionalFormatting>
  <conditionalFormatting sqref="C69">
    <cfRule type="cellIs" dxfId="33928" priority="203" stopIfTrue="1" operator="equal">
      <formula>"2 Add"</formula>
    </cfRule>
  </conditionalFormatting>
  <conditionalFormatting sqref="C69">
    <cfRule type="cellIs" dxfId="33927" priority="204" stopIfTrue="1" operator="equal">
      <formula>"3 Delete"</formula>
    </cfRule>
  </conditionalFormatting>
  <conditionalFormatting sqref="C70">
    <cfRule type="cellIs" dxfId="33926" priority="205" stopIfTrue="1" operator="equal">
      <formula>"1 Modify"</formula>
    </cfRule>
  </conditionalFormatting>
  <conditionalFormatting sqref="C70">
    <cfRule type="cellIs" dxfId="33925" priority="206" stopIfTrue="1" operator="equal">
      <formula>"2 Add"</formula>
    </cfRule>
  </conditionalFormatting>
  <conditionalFormatting sqref="C70">
    <cfRule type="cellIs" dxfId="33924" priority="207" stopIfTrue="1" operator="equal">
      <formula>"3 Delete"</formula>
    </cfRule>
  </conditionalFormatting>
  <conditionalFormatting sqref="C71">
    <cfRule type="cellIs" dxfId="33923" priority="208" stopIfTrue="1" operator="equal">
      <formula>"1 Modify"</formula>
    </cfRule>
  </conditionalFormatting>
  <conditionalFormatting sqref="C71">
    <cfRule type="cellIs" dxfId="33922" priority="209" stopIfTrue="1" operator="equal">
      <formula>"2 Add"</formula>
    </cfRule>
  </conditionalFormatting>
  <conditionalFormatting sqref="C71">
    <cfRule type="cellIs" dxfId="33921" priority="210" stopIfTrue="1" operator="equal">
      <formula>"3 Delete"</formula>
    </cfRule>
  </conditionalFormatting>
  <conditionalFormatting sqref="C72">
    <cfRule type="cellIs" dxfId="33920" priority="211" stopIfTrue="1" operator="equal">
      <formula>"1 Modify"</formula>
    </cfRule>
  </conditionalFormatting>
  <conditionalFormatting sqref="C72">
    <cfRule type="cellIs" dxfId="33919" priority="212" stopIfTrue="1" operator="equal">
      <formula>"2 Add"</formula>
    </cfRule>
  </conditionalFormatting>
  <conditionalFormatting sqref="C72">
    <cfRule type="cellIs" dxfId="33918" priority="213" stopIfTrue="1" operator="equal">
      <formula>"3 Delete"</formula>
    </cfRule>
  </conditionalFormatting>
  <conditionalFormatting sqref="C73">
    <cfRule type="cellIs" dxfId="33917" priority="214" stopIfTrue="1" operator="equal">
      <formula>"1 Modify"</formula>
    </cfRule>
  </conditionalFormatting>
  <conditionalFormatting sqref="C73">
    <cfRule type="cellIs" dxfId="33916" priority="215" stopIfTrue="1" operator="equal">
      <formula>"2 Add"</formula>
    </cfRule>
  </conditionalFormatting>
  <conditionalFormatting sqref="C73">
    <cfRule type="cellIs" dxfId="33915" priority="216" stopIfTrue="1" operator="equal">
      <formula>"3 Delete"</formula>
    </cfRule>
  </conditionalFormatting>
  <conditionalFormatting sqref="C74">
    <cfRule type="cellIs" dxfId="33914" priority="217" stopIfTrue="1" operator="equal">
      <formula>"1 Modify"</formula>
    </cfRule>
  </conditionalFormatting>
  <conditionalFormatting sqref="C74">
    <cfRule type="cellIs" dxfId="33913" priority="218" stopIfTrue="1" operator="equal">
      <formula>"2 Add"</formula>
    </cfRule>
  </conditionalFormatting>
  <conditionalFormatting sqref="C74">
    <cfRule type="cellIs" dxfId="33912" priority="219" stopIfTrue="1" operator="equal">
      <formula>"3 Delete"</formula>
    </cfRule>
  </conditionalFormatting>
  <conditionalFormatting sqref="C75">
    <cfRule type="cellIs" dxfId="33911" priority="220" stopIfTrue="1" operator="equal">
      <formula>"1 Modify"</formula>
    </cfRule>
  </conditionalFormatting>
  <conditionalFormatting sqref="C75">
    <cfRule type="cellIs" dxfId="33910" priority="221" stopIfTrue="1" operator="equal">
      <formula>"2 Add"</formula>
    </cfRule>
  </conditionalFormatting>
  <conditionalFormatting sqref="C75">
    <cfRule type="cellIs" dxfId="33909" priority="222" stopIfTrue="1" operator="equal">
      <formula>"3 Delete"</formula>
    </cfRule>
  </conditionalFormatting>
  <conditionalFormatting sqref="C76">
    <cfRule type="cellIs" dxfId="33908" priority="223" stopIfTrue="1" operator="equal">
      <formula>"1 Modify"</formula>
    </cfRule>
  </conditionalFormatting>
  <conditionalFormatting sqref="C76">
    <cfRule type="cellIs" dxfId="33907" priority="224" stopIfTrue="1" operator="equal">
      <formula>"2 Add"</formula>
    </cfRule>
  </conditionalFormatting>
  <conditionalFormatting sqref="C76">
    <cfRule type="cellIs" dxfId="33906" priority="225" stopIfTrue="1" operator="equal">
      <formula>"3 Delete"</formula>
    </cfRule>
  </conditionalFormatting>
  <conditionalFormatting sqref="C77">
    <cfRule type="cellIs" dxfId="33905" priority="226" stopIfTrue="1" operator="equal">
      <formula>"1 Modify"</formula>
    </cfRule>
  </conditionalFormatting>
  <conditionalFormatting sqref="C77">
    <cfRule type="cellIs" dxfId="33904" priority="227" stopIfTrue="1" operator="equal">
      <formula>"2 Add"</formula>
    </cfRule>
  </conditionalFormatting>
  <conditionalFormatting sqref="C77">
    <cfRule type="cellIs" dxfId="33903" priority="228" stopIfTrue="1" operator="equal">
      <formula>"3 Delete"</formula>
    </cfRule>
  </conditionalFormatting>
  <conditionalFormatting sqref="C78">
    <cfRule type="cellIs" dxfId="33902" priority="229" stopIfTrue="1" operator="equal">
      <formula>"1 Modify"</formula>
    </cfRule>
  </conditionalFormatting>
  <conditionalFormatting sqref="C78">
    <cfRule type="cellIs" dxfId="33901" priority="230" stopIfTrue="1" operator="equal">
      <formula>"2 Add"</formula>
    </cfRule>
  </conditionalFormatting>
  <conditionalFormatting sqref="C78">
    <cfRule type="cellIs" dxfId="33900" priority="231" stopIfTrue="1" operator="equal">
      <formula>"3 Delete"</formula>
    </cfRule>
  </conditionalFormatting>
  <conditionalFormatting sqref="C79">
    <cfRule type="cellIs" dxfId="33899" priority="232" stopIfTrue="1" operator="equal">
      <formula>"1 Modify"</formula>
    </cfRule>
  </conditionalFormatting>
  <conditionalFormatting sqref="C79">
    <cfRule type="cellIs" dxfId="33898" priority="233" stopIfTrue="1" operator="equal">
      <formula>"2 Add"</formula>
    </cfRule>
  </conditionalFormatting>
  <conditionalFormatting sqref="C79">
    <cfRule type="cellIs" dxfId="33897" priority="234" stopIfTrue="1" operator="equal">
      <formula>"3 Delete"</formula>
    </cfRule>
  </conditionalFormatting>
  <conditionalFormatting sqref="C80">
    <cfRule type="cellIs" dxfId="33896" priority="235" stopIfTrue="1" operator="equal">
      <formula>"1 Modify"</formula>
    </cfRule>
  </conditionalFormatting>
  <conditionalFormatting sqref="C80">
    <cfRule type="cellIs" dxfId="33895" priority="236" stopIfTrue="1" operator="equal">
      <formula>"2 Add"</formula>
    </cfRule>
  </conditionalFormatting>
  <conditionalFormatting sqref="C80">
    <cfRule type="cellIs" dxfId="33894" priority="237" stopIfTrue="1" operator="equal">
      <formula>"3 Delete"</formula>
    </cfRule>
  </conditionalFormatting>
  <conditionalFormatting sqref="C81">
    <cfRule type="cellIs" dxfId="33893" priority="238" stopIfTrue="1" operator="equal">
      <formula>"1 Modify"</formula>
    </cfRule>
  </conditionalFormatting>
  <conditionalFormatting sqref="C81">
    <cfRule type="cellIs" dxfId="33892" priority="239" stopIfTrue="1" operator="equal">
      <formula>"2 Add"</formula>
    </cfRule>
  </conditionalFormatting>
  <conditionalFormatting sqref="C81">
    <cfRule type="cellIs" dxfId="33891" priority="240" stopIfTrue="1" operator="equal">
      <formula>"3 Delete"</formula>
    </cfRule>
  </conditionalFormatting>
  <conditionalFormatting sqref="C82">
    <cfRule type="cellIs" dxfId="33890" priority="241" stopIfTrue="1" operator="equal">
      <formula>"1 Modify"</formula>
    </cfRule>
  </conditionalFormatting>
  <conditionalFormatting sqref="C82">
    <cfRule type="cellIs" dxfId="33889" priority="242" stopIfTrue="1" operator="equal">
      <formula>"2 Add"</formula>
    </cfRule>
  </conditionalFormatting>
  <conditionalFormatting sqref="C82">
    <cfRule type="cellIs" dxfId="33888" priority="243" stopIfTrue="1" operator="equal">
      <formula>"3 Delete"</formula>
    </cfRule>
  </conditionalFormatting>
  <conditionalFormatting sqref="C83">
    <cfRule type="cellIs" dxfId="33887" priority="244" stopIfTrue="1" operator="equal">
      <formula>"1 Modify"</formula>
    </cfRule>
  </conditionalFormatting>
  <conditionalFormatting sqref="C83">
    <cfRule type="cellIs" dxfId="33886" priority="245" stopIfTrue="1" operator="equal">
      <formula>"2 Add"</formula>
    </cfRule>
  </conditionalFormatting>
  <conditionalFormatting sqref="C83">
    <cfRule type="cellIs" dxfId="33885" priority="246" stopIfTrue="1" operator="equal">
      <formula>"3 Delete"</formula>
    </cfRule>
  </conditionalFormatting>
  <conditionalFormatting sqref="C84">
    <cfRule type="cellIs" dxfId="33884" priority="247" stopIfTrue="1" operator="equal">
      <formula>"1 Modify"</formula>
    </cfRule>
  </conditionalFormatting>
  <conditionalFormatting sqref="C84">
    <cfRule type="cellIs" dxfId="33883" priority="248" stopIfTrue="1" operator="equal">
      <formula>"2 Add"</formula>
    </cfRule>
  </conditionalFormatting>
  <conditionalFormatting sqref="C84">
    <cfRule type="cellIs" dxfId="33882" priority="249" stopIfTrue="1" operator="equal">
      <formula>"3 Delete"</formula>
    </cfRule>
  </conditionalFormatting>
  <conditionalFormatting sqref="C85">
    <cfRule type="cellIs" dxfId="33881" priority="250" stopIfTrue="1" operator="equal">
      <formula>"1 Modify"</formula>
    </cfRule>
  </conditionalFormatting>
  <conditionalFormatting sqref="C85">
    <cfRule type="cellIs" dxfId="33880" priority="251" stopIfTrue="1" operator="equal">
      <formula>"2 Add"</formula>
    </cfRule>
  </conditionalFormatting>
  <conditionalFormatting sqref="C85">
    <cfRule type="cellIs" dxfId="33879" priority="252" stopIfTrue="1" operator="equal">
      <formula>"3 Delete"</formula>
    </cfRule>
  </conditionalFormatting>
  <conditionalFormatting sqref="C86">
    <cfRule type="cellIs" dxfId="33878" priority="253" stopIfTrue="1" operator="equal">
      <formula>"1 Modify"</formula>
    </cfRule>
  </conditionalFormatting>
  <conditionalFormatting sqref="C86">
    <cfRule type="cellIs" dxfId="33877" priority="254" stopIfTrue="1" operator="equal">
      <formula>"2 Add"</formula>
    </cfRule>
  </conditionalFormatting>
  <conditionalFormatting sqref="C86">
    <cfRule type="cellIs" dxfId="33876" priority="255" stopIfTrue="1" operator="equal">
      <formula>"3 Delete"</formula>
    </cfRule>
  </conditionalFormatting>
  <conditionalFormatting sqref="C87">
    <cfRule type="cellIs" dxfId="33875" priority="256" stopIfTrue="1" operator="equal">
      <formula>"1 Modify"</formula>
    </cfRule>
  </conditionalFormatting>
  <conditionalFormatting sqref="C87">
    <cfRule type="cellIs" dxfId="33874" priority="257" stopIfTrue="1" operator="equal">
      <formula>"2 Add"</formula>
    </cfRule>
  </conditionalFormatting>
  <conditionalFormatting sqref="C87">
    <cfRule type="cellIs" dxfId="33873" priority="258" stopIfTrue="1" operator="equal">
      <formula>"3 Delete"</formula>
    </cfRule>
  </conditionalFormatting>
  <conditionalFormatting sqref="C88">
    <cfRule type="cellIs" dxfId="33872" priority="259" stopIfTrue="1" operator="equal">
      <formula>"1 Modify"</formula>
    </cfRule>
  </conditionalFormatting>
  <conditionalFormatting sqref="C88">
    <cfRule type="cellIs" dxfId="33871" priority="260" stopIfTrue="1" operator="equal">
      <formula>"2 Add"</formula>
    </cfRule>
  </conditionalFormatting>
  <conditionalFormatting sqref="C88">
    <cfRule type="cellIs" dxfId="33870" priority="261" stopIfTrue="1" operator="equal">
      <formula>"3 Delete"</formula>
    </cfRule>
  </conditionalFormatting>
  <conditionalFormatting sqref="C89">
    <cfRule type="cellIs" dxfId="33869" priority="262" stopIfTrue="1" operator="equal">
      <formula>"1 Modify"</formula>
    </cfRule>
  </conditionalFormatting>
  <conditionalFormatting sqref="C89">
    <cfRule type="cellIs" dxfId="33868" priority="263" stopIfTrue="1" operator="equal">
      <formula>"2 Add"</formula>
    </cfRule>
  </conditionalFormatting>
  <conditionalFormatting sqref="C89">
    <cfRule type="cellIs" dxfId="33867" priority="264" stopIfTrue="1" operator="equal">
      <formula>"3 Delete"</formula>
    </cfRule>
  </conditionalFormatting>
  <conditionalFormatting sqref="C90">
    <cfRule type="cellIs" dxfId="33866" priority="265" stopIfTrue="1" operator="equal">
      <formula>"1 Modify"</formula>
    </cfRule>
  </conditionalFormatting>
  <conditionalFormatting sqref="C90">
    <cfRule type="cellIs" dxfId="33865" priority="266" stopIfTrue="1" operator="equal">
      <formula>"2 Add"</formula>
    </cfRule>
  </conditionalFormatting>
  <conditionalFormatting sqref="C90">
    <cfRule type="cellIs" dxfId="33864" priority="267" stopIfTrue="1" operator="equal">
      <formula>"3 Delete"</formula>
    </cfRule>
  </conditionalFormatting>
  <conditionalFormatting sqref="C91">
    <cfRule type="cellIs" dxfId="33863" priority="268" stopIfTrue="1" operator="equal">
      <formula>"1 Modify"</formula>
    </cfRule>
  </conditionalFormatting>
  <conditionalFormatting sqref="C91">
    <cfRule type="cellIs" dxfId="33862" priority="269" stopIfTrue="1" operator="equal">
      <formula>"2 Add"</formula>
    </cfRule>
  </conditionalFormatting>
  <conditionalFormatting sqref="C91">
    <cfRule type="cellIs" dxfId="33861" priority="270" stopIfTrue="1" operator="equal">
      <formula>"3 Delete"</formula>
    </cfRule>
  </conditionalFormatting>
  <conditionalFormatting sqref="C92">
    <cfRule type="cellIs" dxfId="33860" priority="271" stopIfTrue="1" operator="equal">
      <formula>"1 Modify"</formula>
    </cfRule>
  </conditionalFormatting>
  <conditionalFormatting sqref="C92">
    <cfRule type="cellIs" dxfId="33859" priority="272" stopIfTrue="1" operator="equal">
      <formula>"2 Add"</formula>
    </cfRule>
  </conditionalFormatting>
  <conditionalFormatting sqref="C92">
    <cfRule type="cellIs" dxfId="33858" priority="273" stopIfTrue="1" operator="equal">
      <formula>"3 Delete"</formula>
    </cfRule>
  </conditionalFormatting>
  <conditionalFormatting sqref="C93">
    <cfRule type="cellIs" dxfId="33857" priority="274" stopIfTrue="1" operator="equal">
      <formula>"1 Modify"</formula>
    </cfRule>
  </conditionalFormatting>
  <conditionalFormatting sqref="C93">
    <cfRule type="cellIs" dxfId="33856" priority="275" stopIfTrue="1" operator="equal">
      <formula>"2 Add"</formula>
    </cfRule>
  </conditionalFormatting>
  <conditionalFormatting sqref="C93">
    <cfRule type="cellIs" dxfId="33855" priority="276" stopIfTrue="1" operator="equal">
      <formula>"3 Delete"</formula>
    </cfRule>
  </conditionalFormatting>
  <conditionalFormatting sqref="C94">
    <cfRule type="cellIs" dxfId="33854" priority="277" stopIfTrue="1" operator="equal">
      <formula>"1 Modify"</formula>
    </cfRule>
  </conditionalFormatting>
  <conditionalFormatting sqref="C94">
    <cfRule type="cellIs" dxfId="33853" priority="278" stopIfTrue="1" operator="equal">
      <formula>"2 Add"</formula>
    </cfRule>
  </conditionalFormatting>
  <conditionalFormatting sqref="C94">
    <cfRule type="cellIs" dxfId="33852" priority="279" stopIfTrue="1" operator="equal">
      <formula>"3 Delete"</formula>
    </cfRule>
  </conditionalFormatting>
  <conditionalFormatting sqref="C95">
    <cfRule type="cellIs" dxfId="33851" priority="280" stopIfTrue="1" operator="equal">
      <formula>"1 Modify"</formula>
    </cfRule>
  </conditionalFormatting>
  <conditionalFormatting sqref="C95">
    <cfRule type="cellIs" dxfId="33850" priority="281" stopIfTrue="1" operator="equal">
      <formula>"2 Add"</formula>
    </cfRule>
  </conditionalFormatting>
  <conditionalFormatting sqref="C95">
    <cfRule type="cellIs" dxfId="33849" priority="282" stopIfTrue="1" operator="equal">
      <formula>"3 Delete"</formula>
    </cfRule>
  </conditionalFormatting>
  <conditionalFormatting sqref="C96">
    <cfRule type="cellIs" dxfId="33848" priority="283" stopIfTrue="1" operator="equal">
      <formula>"1 Modify"</formula>
    </cfRule>
  </conditionalFormatting>
  <conditionalFormatting sqref="C96">
    <cfRule type="cellIs" dxfId="33847" priority="284" stopIfTrue="1" operator="equal">
      <formula>"2 Add"</formula>
    </cfRule>
  </conditionalFormatting>
  <conditionalFormatting sqref="C96">
    <cfRule type="cellIs" dxfId="33846" priority="285" stopIfTrue="1" operator="equal">
      <formula>"3 Delete"</formula>
    </cfRule>
  </conditionalFormatting>
  <conditionalFormatting sqref="C97">
    <cfRule type="cellIs" dxfId="33845" priority="286" stopIfTrue="1" operator="equal">
      <formula>"1 Modify"</formula>
    </cfRule>
  </conditionalFormatting>
  <conditionalFormatting sqref="C97">
    <cfRule type="cellIs" dxfId="33844" priority="287" stopIfTrue="1" operator="equal">
      <formula>"2 Add"</formula>
    </cfRule>
  </conditionalFormatting>
  <conditionalFormatting sqref="C97">
    <cfRule type="cellIs" dxfId="33843" priority="288" stopIfTrue="1" operator="equal">
      <formula>"3 Delete"</formula>
    </cfRule>
  </conditionalFormatting>
  <conditionalFormatting sqref="C98">
    <cfRule type="cellIs" dxfId="33842" priority="289" stopIfTrue="1" operator="equal">
      <formula>"1 Modify"</formula>
    </cfRule>
  </conditionalFormatting>
  <conditionalFormatting sqref="C98">
    <cfRule type="cellIs" dxfId="33841" priority="290" stopIfTrue="1" operator="equal">
      <formula>"2 Add"</formula>
    </cfRule>
  </conditionalFormatting>
  <conditionalFormatting sqref="C98">
    <cfRule type="cellIs" dxfId="33840" priority="291" stopIfTrue="1" operator="equal">
      <formula>"3 Delete"</formula>
    </cfRule>
  </conditionalFormatting>
  <conditionalFormatting sqref="C99">
    <cfRule type="cellIs" dxfId="33839" priority="292" stopIfTrue="1" operator="equal">
      <formula>"1 Modify"</formula>
    </cfRule>
  </conditionalFormatting>
  <conditionalFormatting sqref="C99">
    <cfRule type="cellIs" dxfId="33838" priority="293" stopIfTrue="1" operator="equal">
      <formula>"2 Add"</formula>
    </cfRule>
  </conditionalFormatting>
  <conditionalFormatting sqref="C99">
    <cfRule type="cellIs" dxfId="33837" priority="294" stopIfTrue="1" operator="equal">
      <formula>"3 Delete"</formula>
    </cfRule>
  </conditionalFormatting>
  <conditionalFormatting sqref="C100">
    <cfRule type="cellIs" dxfId="33836" priority="295" stopIfTrue="1" operator="equal">
      <formula>"1 Modify"</formula>
    </cfRule>
  </conditionalFormatting>
  <conditionalFormatting sqref="C100">
    <cfRule type="cellIs" dxfId="33835" priority="296" stopIfTrue="1" operator="equal">
      <formula>"2 Add"</formula>
    </cfRule>
  </conditionalFormatting>
  <conditionalFormatting sqref="C100">
    <cfRule type="cellIs" dxfId="33834" priority="297" stopIfTrue="1" operator="equal">
      <formula>"3 Delete"</formula>
    </cfRule>
  </conditionalFormatting>
  <conditionalFormatting sqref="C101">
    <cfRule type="cellIs" dxfId="33833" priority="298" stopIfTrue="1" operator="equal">
      <formula>"1 Modify"</formula>
    </cfRule>
  </conditionalFormatting>
  <conditionalFormatting sqref="C101">
    <cfRule type="cellIs" dxfId="33832" priority="299" stopIfTrue="1" operator="equal">
      <formula>"2 Add"</formula>
    </cfRule>
  </conditionalFormatting>
  <conditionalFormatting sqref="C101">
    <cfRule type="cellIs" dxfId="33831" priority="300" stopIfTrue="1" operator="equal">
      <formula>"3 Delete"</formula>
    </cfRule>
  </conditionalFormatting>
  <conditionalFormatting sqref="C102">
    <cfRule type="cellIs" dxfId="33830" priority="301" stopIfTrue="1" operator="equal">
      <formula>"1 Modify"</formula>
    </cfRule>
  </conditionalFormatting>
  <conditionalFormatting sqref="C102">
    <cfRule type="cellIs" dxfId="33829" priority="302" stopIfTrue="1" operator="equal">
      <formula>"2 Add"</formula>
    </cfRule>
  </conditionalFormatting>
  <conditionalFormatting sqref="C102">
    <cfRule type="cellIs" dxfId="33828" priority="303" stopIfTrue="1" operator="equal">
      <formula>"3 Delete"</formula>
    </cfRule>
  </conditionalFormatting>
  <conditionalFormatting sqref="C103">
    <cfRule type="cellIs" dxfId="33827" priority="304" stopIfTrue="1" operator="equal">
      <formula>"1 Modify"</formula>
    </cfRule>
  </conditionalFormatting>
  <conditionalFormatting sqref="C103">
    <cfRule type="cellIs" dxfId="33826" priority="305" stopIfTrue="1" operator="equal">
      <formula>"2 Add"</formula>
    </cfRule>
  </conditionalFormatting>
  <conditionalFormatting sqref="C103">
    <cfRule type="cellIs" dxfId="33825" priority="306" stopIfTrue="1" operator="equal">
      <formula>"3 Delete"</formula>
    </cfRule>
  </conditionalFormatting>
  <conditionalFormatting sqref="C104">
    <cfRule type="cellIs" dxfId="33824" priority="307" stopIfTrue="1" operator="equal">
      <formula>"1 Modify"</formula>
    </cfRule>
  </conditionalFormatting>
  <conditionalFormatting sqref="C104">
    <cfRule type="cellIs" dxfId="33823" priority="308" stopIfTrue="1" operator="equal">
      <formula>"2 Add"</formula>
    </cfRule>
  </conditionalFormatting>
  <conditionalFormatting sqref="C104">
    <cfRule type="cellIs" dxfId="33822" priority="309" stopIfTrue="1" operator="equal">
      <formula>"3 Delete"</formula>
    </cfRule>
  </conditionalFormatting>
  <conditionalFormatting sqref="C105">
    <cfRule type="cellIs" dxfId="33821" priority="310" stopIfTrue="1" operator="equal">
      <formula>"1 Modify"</formula>
    </cfRule>
  </conditionalFormatting>
  <conditionalFormatting sqref="C105">
    <cfRule type="cellIs" dxfId="33820" priority="311" stopIfTrue="1" operator="equal">
      <formula>"2 Add"</formula>
    </cfRule>
  </conditionalFormatting>
  <conditionalFormatting sqref="C105">
    <cfRule type="cellIs" dxfId="33819" priority="312" stopIfTrue="1" operator="equal">
      <formula>"3 Delete"</formula>
    </cfRule>
  </conditionalFormatting>
  <conditionalFormatting sqref="C106">
    <cfRule type="cellIs" dxfId="33818" priority="313" stopIfTrue="1" operator="equal">
      <formula>"1 Modify"</formula>
    </cfRule>
  </conditionalFormatting>
  <conditionalFormatting sqref="C106">
    <cfRule type="cellIs" dxfId="33817" priority="314" stopIfTrue="1" operator="equal">
      <formula>"2 Add"</formula>
    </cfRule>
  </conditionalFormatting>
  <conditionalFormatting sqref="C106">
    <cfRule type="cellIs" dxfId="33816" priority="315" stopIfTrue="1" operator="equal">
      <formula>"3 Delete"</formula>
    </cfRule>
  </conditionalFormatting>
  <conditionalFormatting sqref="C107">
    <cfRule type="cellIs" dxfId="33815" priority="316" stopIfTrue="1" operator="equal">
      <formula>"1 Modify"</formula>
    </cfRule>
  </conditionalFormatting>
  <conditionalFormatting sqref="C107">
    <cfRule type="cellIs" dxfId="33814" priority="317" stopIfTrue="1" operator="equal">
      <formula>"2 Add"</formula>
    </cfRule>
  </conditionalFormatting>
  <conditionalFormatting sqref="C107">
    <cfRule type="cellIs" dxfId="33813" priority="318" stopIfTrue="1" operator="equal">
      <formula>"3 Delete"</formula>
    </cfRule>
  </conditionalFormatting>
  <conditionalFormatting sqref="C108">
    <cfRule type="cellIs" dxfId="33812" priority="319" stopIfTrue="1" operator="equal">
      <formula>"1 Modify"</formula>
    </cfRule>
  </conditionalFormatting>
  <conditionalFormatting sqref="C108">
    <cfRule type="cellIs" dxfId="33811" priority="320" stopIfTrue="1" operator="equal">
      <formula>"2 Add"</formula>
    </cfRule>
  </conditionalFormatting>
  <conditionalFormatting sqref="C108">
    <cfRule type="cellIs" dxfId="33810" priority="321" stopIfTrue="1" operator="equal">
      <formula>"3 Delete"</formula>
    </cfRule>
  </conditionalFormatting>
  <conditionalFormatting sqref="C109">
    <cfRule type="cellIs" dxfId="33809" priority="322" stopIfTrue="1" operator="equal">
      <formula>"1 Modify"</formula>
    </cfRule>
  </conditionalFormatting>
  <conditionalFormatting sqref="C109">
    <cfRule type="cellIs" dxfId="33808" priority="323" stopIfTrue="1" operator="equal">
      <formula>"2 Add"</formula>
    </cfRule>
  </conditionalFormatting>
  <conditionalFormatting sqref="C109">
    <cfRule type="cellIs" dxfId="33807" priority="324" stopIfTrue="1" operator="equal">
      <formula>"3 Delete"</formula>
    </cfRule>
  </conditionalFormatting>
  <conditionalFormatting sqref="C110">
    <cfRule type="cellIs" dxfId="33806" priority="325" stopIfTrue="1" operator="equal">
      <formula>"1 Modify"</formula>
    </cfRule>
  </conditionalFormatting>
  <conditionalFormatting sqref="C110">
    <cfRule type="cellIs" dxfId="33805" priority="326" stopIfTrue="1" operator="equal">
      <formula>"2 Add"</formula>
    </cfRule>
  </conditionalFormatting>
  <conditionalFormatting sqref="C110">
    <cfRule type="cellIs" dxfId="33804" priority="327" stopIfTrue="1" operator="equal">
      <formula>"3 Delete"</formula>
    </cfRule>
  </conditionalFormatting>
  <conditionalFormatting sqref="C111">
    <cfRule type="cellIs" dxfId="33803" priority="328" stopIfTrue="1" operator="equal">
      <formula>"1 Modify"</formula>
    </cfRule>
  </conditionalFormatting>
  <conditionalFormatting sqref="C111">
    <cfRule type="cellIs" dxfId="33802" priority="329" stopIfTrue="1" operator="equal">
      <formula>"2 Add"</formula>
    </cfRule>
  </conditionalFormatting>
  <conditionalFormatting sqref="C111">
    <cfRule type="cellIs" dxfId="33801" priority="330" stopIfTrue="1" operator="equal">
      <formula>"3 Delete"</formula>
    </cfRule>
  </conditionalFormatting>
  <conditionalFormatting sqref="C112">
    <cfRule type="cellIs" dxfId="33800" priority="331" stopIfTrue="1" operator="equal">
      <formula>"1 Modify"</formula>
    </cfRule>
  </conditionalFormatting>
  <conditionalFormatting sqref="C112">
    <cfRule type="cellIs" dxfId="33799" priority="332" stopIfTrue="1" operator="equal">
      <formula>"2 Add"</formula>
    </cfRule>
  </conditionalFormatting>
  <conditionalFormatting sqref="C112">
    <cfRule type="cellIs" dxfId="33798" priority="333" stopIfTrue="1" operator="equal">
      <formula>"3 Delete"</formula>
    </cfRule>
  </conditionalFormatting>
  <conditionalFormatting sqref="C113">
    <cfRule type="cellIs" dxfId="33797" priority="334" stopIfTrue="1" operator="equal">
      <formula>"1 Modify"</formula>
    </cfRule>
  </conditionalFormatting>
  <conditionalFormatting sqref="C113">
    <cfRule type="cellIs" dxfId="33796" priority="335" stopIfTrue="1" operator="equal">
      <formula>"2 Add"</formula>
    </cfRule>
  </conditionalFormatting>
  <conditionalFormatting sqref="C113">
    <cfRule type="cellIs" dxfId="33795" priority="336" stopIfTrue="1" operator="equal">
      <formula>"3 Delete"</formula>
    </cfRule>
  </conditionalFormatting>
  <conditionalFormatting sqref="C114">
    <cfRule type="cellIs" dxfId="33794" priority="337" stopIfTrue="1" operator="equal">
      <formula>"1 Modify"</formula>
    </cfRule>
  </conditionalFormatting>
  <conditionalFormatting sqref="C114">
    <cfRule type="cellIs" dxfId="33793" priority="338" stopIfTrue="1" operator="equal">
      <formula>"2 Add"</formula>
    </cfRule>
  </conditionalFormatting>
  <conditionalFormatting sqref="C114">
    <cfRule type="cellIs" dxfId="33792" priority="339" stopIfTrue="1" operator="equal">
      <formula>"3 Delete"</formula>
    </cfRule>
  </conditionalFormatting>
  <conditionalFormatting sqref="C115">
    <cfRule type="cellIs" dxfId="33791" priority="340" stopIfTrue="1" operator="equal">
      <formula>"1 Modify"</formula>
    </cfRule>
  </conditionalFormatting>
  <conditionalFormatting sqref="C115">
    <cfRule type="cellIs" dxfId="33790" priority="341" stopIfTrue="1" operator="equal">
      <formula>"2 Add"</formula>
    </cfRule>
  </conditionalFormatting>
  <conditionalFormatting sqref="C115">
    <cfRule type="cellIs" dxfId="33789" priority="342" stopIfTrue="1" operator="equal">
      <formula>"3 Delete"</formula>
    </cfRule>
  </conditionalFormatting>
  <conditionalFormatting sqref="C116">
    <cfRule type="cellIs" dxfId="33788" priority="343" stopIfTrue="1" operator="equal">
      <formula>"1 Modify"</formula>
    </cfRule>
  </conditionalFormatting>
  <conditionalFormatting sqref="C116">
    <cfRule type="cellIs" dxfId="33787" priority="344" stopIfTrue="1" operator="equal">
      <formula>"2 Add"</formula>
    </cfRule>
  </conditionalFormatting>
  <conditionalFormatting sqref="C116">
    <cfRule type="cellIs" dxfId="33786" priority="345" stopIfTrue="1" operator="equal">
      <formula>"3 Delete"</formula>
    </cfRule>
  </conditionalFormatting>
  <conditionalFormatting sqref="C117">
    <cfRule type="cellIs" dxfId="33785" priority="346" stopIfTrue="1" operator="equal">
      <formula>"1 Modify"</formula>
    </cfRule>
  </conditionalFormatting>
  <conditionalFormatting sqref="C117">
    <cfRule type="cellIs" dxfId="33784" priority="347" stopIfTrue="1" operator="equal">
      <formula>"2 Add"</formula>
    </cfRule>
  </conditionalFormatting>
  <conditionalFormatting sqref="C117">
    <cfRule type="cellIs" dxfId="33783" priority="348" stopIfTrue="1" operator="equal">
      <formula>"3 Delete"</formula>
    </cfRule>
  </conditionalFormatting>
  <conditionalFormatting sqref="C118">
    <cfRule type="cellIs" dxfId="33782" priority="349" stopIfTrue="1" operator="equal">
      <formula>"1 Modify"</formula>
    </cfRule>
  </conditionalFormatting>
  <conditionalFormatting sqref="C118">
    <cfRule type="cellIs" dxfId="33781" priority="350" stopIfTrue="1" operator="equal">
      <formula>"2 Add"</formula>
    </cfRule>
  </conditionalFormatting>
  <conditionalFormatting sqref="C118">
    <cfRule type="cellIs" dxfId="33780" priority="351" stopIfTrue="1" operator="equal">
      <formula>"3 Delete"</formula>
    </cfRule>
  </conditionalFormatting>
  <conditionalFormatting sqref="C119">
    <cfRule type="cellIs" dxfId="33779" priority="352" stopIfTrue="1" operator="equal">
      <formula>"1 Modify"</formula>
    </cfRule>
  </conditionalFormatting>
  <conditionalFormatting sqref="C119">
    <cfRule type="cellIs" dxfId="33778" priority="353" stopIfTrue="1" operator="equal">
      <formula>"2 Add"</formula>
    </cfRule>
  </conditionalFormatting>
  <conditionalFormatting sqref="C119">
    <cfRule type="cellIs" dxfId="33777" priority="354" stopIfTrue="1" operator="equal">
      <formula>"3 Delete"</formula>
    </cfRule>
  </conditionalFormatting>
  <conditionalFormatting sqref="C120">
    <cfRule type="cellIs" dxfId="33776" priority="355" stopIfTrue="1" operator="equal">
      <formula>"1 Modify"</formula>
    </cfRule>
  </conditionalFormatting>
  <conditionalFormatting sqref="C120">
    <cfRule type="cellIs" dxfId="33775" priority="356" stopIfTrue="1" operator="equal">
      <formula>"2 Add"</formula>
    </cfRule>
  </conditionalFormatting>
  <conditionalFormatting sqref="C120">
    <cfRule type="cellIs" dxfId="33774" priority="357" stopIfTrue="1" operator="equal">
      <formula>"3 Delete"</formula>
    </cfRule>
  </conditionalFormatting>
  <conditionalFormatting sqref="C121">
    <cfRule type="cellIs" dxfId="33773" priority="358" stopIfTrue="1" operator="equal">
      <formula>"1 Modify"</formula>
    </cfRule>
  </conditionalFormatting>
  <conditionalFormatting sqref="C121">
    <cfRule type="cellIs" dxfId="33772" priority="359" stopIfTrue="1" operator="equal">
      <formula>"2 Add"</formula>
    </cfRule>
  </conditionalFormatting>
  <conditionalFormatting sqref="C121">
    <cfRule type="cellIs" dxfId="33771" priority="360" stopIfTrue="1" operator="equal">
      <formula>"3 Delete"</formula>
    </cfRule>
  </conditionalFormatting>
  <conditionalFormatting sqref="C122">
    <cfRule type="cellIs" dxfId="33770" priority="361" stopIfTrue="1" operator="equal">
      <formula>"1 Modify"</formula>
    </cfRule>
  </conditionalFormatting>
  <conditionalFormatting sqref="C122">
    <cfRule type="cellIs" dxfId="33769" priority="362" stopIfTrue="1" operator="equal">
      <formula>"2 Add"</formula>
    </cfRule>
  </conditionalFormatting>
  <conditionalFormatting sqref="C122">
    <cfRule type="cellIs" dxfId="33768" priority="363" stopIfTrue="1" operator="equal">
      <formula>"3 Delete"</formula>
    </cfRule>
  </conditionalFormatting>
  <conditionalFormatting sqref="C123">
    <cfRule type="cellIs" dxfId="33767" priority="364" stopIfTrue="1" operator="equal">
      <formula>"1 Modify"</formula>
    </cfRule>
  </conditionalFormatting>
  <conditionalFormatting sqref="C123">
    <cfRule type="cellIs" dxfId="33766" priority="365" stopIfTrue="1" operator="equal">
      <formula>"2 Add"</formula>
    </cfRule>
  </conditionalFormatting>
  <conditionalFormatting sqref="C123">
    <cfRule type="cellIs" dxfId="33765" priority="366" stopIfTrue="1" operator="equal">
      <formula>"3 Delete"</formula>
    </cfRule>
  </conditionalFormatting>
  <conditionalFormatting sqref="C124">
    <cfRule type="cellIs" dxfId="33764" priority="367" stopIfTrue="1" operator="equal">
      <formula>"1 Modify"</formula>
    </cfRule>
  </conditionalFormatting>
  <conditionalFormatting sqref="C124">
    <cfRule type="cellIs" dxfId="33763" priority="368" stopIfTrue="1" operator="equal">
      <formula>"2 Add"</formula>
    </cfRule>
  </conditionalFormatting>
  <conditionalFormatting sqref="C124">
    <cfRule type="cellIs" dxfId="33762" priority="369" stopIfTrue="1" operator="equal">
      <formula>"3 Delete"</formula>
    </cfRule>
  </conditionalFormatting>
  <conditionalFormatting sqref="C125">
    <cfRule type="cellIs" dxfId="33761" priority="370" stopIfTrue="1" operator="equal">
      <formula>"1 Modify"</formula>
    </cfRule>
  </conditionalFormatting>
  <conditionalFormatting sqref="C125">
    <cfRule type="cellIs" dxfId="33760" priority="371" stopIfTrue="1" operator="equal">
      <formula>"2 Add"</formula>
    </cfRule>
  </conditionalFormatting>
  <conditionalFormatting sqref="C125">
    <cfRule type="cellIs" dxfId="33759" priority="372" stopIfTrue="1" operator="equal">
      <formula>"3 Delete"</formula>
    </cfRule>
  </conditionalFormatting>
  <conditionalFormatting sqref="C126">
    <cfRule type="cellIs" dxfId="33758" priority="373" stopIfTrue="1" operator="equal">
      <formula>"1 Modify"</formula>
    </cfRule>
  </conditionalFormatting>
  <conditionalFormatting sqref="C126">
    <cfRule type="cellIs" dxfId="33757" priority="374" stopIfTrue="1" operator="equal">
      <formula>"2 Add"</formula>
    </cfRule>
  </conditionalFormatting>
  <conditionalFormatting sqref="C126">
    <cfRule type="cellIs" dxfId="33756" priority="375" stopIfTrue="1" operator="equal">
      <formula>"3 Delete"</formula>
    </cfRule>
  </conditionalFormatting>
  <conditionalFormatting sqref="C127">
    <cfRule type="cellIs" dxfId="33755" priority="376" stopIfTrue="1" operator="equal">
      <formula>"1 Modify"</formula>
    </cfRule>
  </conditionalFormatting>
  <conditionalFormatting sqref="C127">
    <cfRule type="cellIs" dxfId="33754" priority="377" stopIfTrue="1" operator="equal">
      <formula>"2 Add"</formula>
    </cfRule>
  </conditionalFormatting>
  <conditionalFormatting sqref="C127">
    <cfRule type="cellIs" dxfId="33753" priority="378" stopIfTrue="1" operator="equal">
      <formula>"3 Delete"</formula>
    </cfRule>
  </conditionalFormatting>
  <conditionalFormatting sqref="C128">
    <cfRule type="cellIs" dxfId="33752" priority="379" stopIfTrue="1" operator="equal">
      <formula>"1 Modify"</formula>
    </cfRule>
  </conditionalFormatting>
  <conditionalFormatting sqref="C128">
    <cfRule type="cellIs" dxfId="33751" priority="380" stopIfTrue="1" operator="equal">
      <formula>"2 Add"</formula>
    </cfRule>
  </conditionalFormatting>
  <conditionalFormatting sqref="C128">
    <cfRule type="cellIs" dxfId="33750" priority="381" stopIfTrue="1" operator="equal">
      <formula>"3 Delete"</formula>
    </cfRule>
  </conditionalFormatting>
  <conditionalFormatting sqref="C129">
    <cfRule type="cellIs" dxfId="33749" priority="382" stopIfTrue="1" operator="equal">
      <formula>"1 Modify"</formula>
    </cfRule>
  </conditionalFormatting>
  <conditionalFormatting sqref="C129">
    <cfRule type="cellIs" dxfId="33748" priority="383" stopIfTrue="1" operator="equal">
      <formula>"2 Add"</formula>
    </cfRule>
  </conditionalFormatting>
  <conditionalFormatting sqref="C129">
    <cfRule type="cellIs" dxfId="33747" priority="384" stopIfTrue="1" operator="equal">
      <formula>"3 Delete"</formula>
    </cfRule>
  </conditionalFormatting>
  <conditionalFormatting sqref="C130">
    <cfRule type="cellIs" dxfId="33746" priority="385" stopIfTrue="1" operator="equal">
      <formula>"1 Modify"</formula>
    </cfRule>
  </conditionalFormatting>
  <conditionalFormatting sqref="C130">
    <cfRule type="cellIs" dxfId="33745" priority="386" stopIfTrue="1" operator="equal">
      <formula>"2 Add"</formula>
    </cfRule>
  </conditionalFormatting>
  <conditionalFormatting sqref="C130">
    <cfRule type="cellIs" dxfId="33744" priority="387" stopIfTrue="1" operator="equal">
      <formula>"3 Delete"</formula>
    </cfRule>
  </conditionalFormatting>
  <conditionalFormatting sqref="C131">
    <cfRule type="cellIs" dxfId="33743" priority="388" stopIfTrue="1" operator="equal">
      <formula>"1 Modify"</formula>
    </cfRule>
  </conditionalFormatting>
  <conditionalFormatting sqref="C131">
    <cfRule type="cellIs" dxfId="33742" priority="389" stopIfTrue="1" operator="equal">
      <formula>"2 Add"</formula>
    </cfRule>
  </conditionalFormatting>
  <conditionalFormatting sqref="C131">
    <cfRule type="cellIs" dxfId="33741" priority="390" stopIfTrue="1" operator="equal">
      <formula>"3 Delete"</formula>
    </cfRule>
  </conditionalFormatting>
  <conditionalFormatting sqref="C132">
    <cfRule type="cellIs" dxfId="33740" priority="391" stopIfTrue="1" operator="equal">
      <formula>"1 Modify"</formula>
    </cfRule>
  </conditionalFormatting>
  <conditionalFormatting sqref="C132">
    <cfRule type="cellIs" dxfId="33739" priority="392" stopIfTrue="1" operator="equal">
      <formula>"2 Add"</formula>
    </cfRule>
  </conditionalFormatting>
  <conditionalFormatting sqref="C132">
    <cfRule type="cellIs" dxfId="33738" priority="393" stopIfTrue="1" operator="equal">
      <formula>"3 Delete"</formula>
    </cfRule>
  </conditionalFormatting>
  <conditionalFormatting sqref="C133">
    <cfRule type="cellIs" dxfId="33737" priority="394" stopIfTrue="1" operator="equal">
      <formula>"1 Modify"</formula>
    </cfRule>
  </conditionalFormatting>
  <conditionalFormatting sqref="C133">
    <cfRule type="cellIs" dxfId="33736" priority="395" stopIfTrue="1" operator="equal">
      <formula>"2 Add"</formula>
    </cfRule>
  </conditionalFormatting>
  <conditionalFormatting sqref="C133">
    <cfRule type="cellIs" dxfId="33735" priority="396" stopIfTrue="1" operator="equal">
      <formula>"3 Delete"</formula>
    </cfRule>
  </conditionalFormatting>
  <conditionalFormatting sqref="C134">
    <cfRule type="cellIs" dxfId="33734" priority="397" stopIfTrue="1" operator="equal">
      <formula>"1 Modify"</formula>
    </cfRule>
  </conditionalFormatting>
  <conditionalFormatting sqref="C134">
    <cfRule type="cellIs" dxfId="33733" priority="398" stopIfTrue="1" operator="equal">
      <formula>"2 Add"</formula>
    </cfRule>
  </conditionalFormatting>
  <conditionalFormatting sqref="C134">
    <cfRule type="cellIs" dxfId="33732" priority="399" stopIfTrue="1" operator="equal">
      <formula>"3 Delete"</formula>
    </cfRule>
  </conditionalFormatting>
  <conditionalFormatting sqref="C135">
    <cfRule type="cellIs" dxfId="33731" priority="400" stopIfTrue="1" operator="equal">
      <formula>"1 Modify"</formula>
    </cfRule>
  </conditionalFormatting>
  <conditionalFormatting sqref="C135">
    <cfRule type="cellIs" dxfId="33730" priority="401" stopIfTrue="1" operator="equal">
      <formula>"2 Add"</formula>
    </cfRule>
  </conditionalFormatting>
  <conditionalFormatting sqref="C135">
    <cfRule type="cellIs" dxfId="33729" priority="402" stopIfTrue="1" operator="equal">
      <formula>"3 Delete"</formula>
    </cfRule>
  </conditionalFormatting>
  <conditionalFormatting sqref="C136">
    <cfRule type="cellIs" dxfId="33728" priority="403" stopIfTrue="1" operator="equal">
      <formula>"1 Modify"</formula>
    </cfRule>
  </conditionalFormatting>
  <conditionalFormatting sqref="C136">
    <cfRule type="cellIs" dxfId="33727" priority="404" stopIfTrue="1" operator="equal">
      <formula>"2 Add"</formula>
    </cfRule>
  </conditionalFormatting>
  <conditionalFormatting sqref="C136">
    <cfRule type="cellIs" dxfId="33726" priority="405" stopIfTrue="1" operator="equal">
      <formula>"3 Delete"</formula>
    </cfRule>
  </conditionalFormatting>
  <conditionalFormatting sqref="C137">
    <cfRule type="cellIs" dxfId="33725" priority="406" stopIfTrue="1" operator="equal">
      <formula>"1 Modify"</formula>
    </cfRule>
  </conditionalFormatting>
  <conditionalFormatting sqref="C137">
    <cfRule type="cellIs" dxfId="33724" priority="407" stopIfTrue="1" operator="equal">
      <formula>"2 Add"</formula>
    </cfRule>
  </conditionalFormatting>
  <conditionalFormatting sqref="C137">
    <cfRule type="cellIs" dxfId="33723" priority="408" stopIfTrue="1" operator="equal">
      <formula>"3 Delete"</formula>
    </cfRule>
  </conditionalFormatting>
  <conditionalFormatting sqref="C138">
    <cfRule type="cellIs" dxfId="33722" priority="409" stopIfTrue="1" operator="equal">
      <formula>"1 Modify"</formula>
    </cfRule>
  </conditionalFormatting>
  <conditionalFormatting sqref="C138">
    <cfRule type="cellIs" dxfId="33721" priority="410" stopIfTrue="1" operator="equal">
      <formula>"2 Add"</formula>
    </cfRule>
  </conditionalFormatting>
  <conditionalFormatting sqref="C138">
    <cfRule type="cellIs" dxfId="33720" priority="411" stopIfTrue="1" operator="equal">
      <formula>"3 Delete"</formula>
    </cfRule>
  </conditionalFormatting>
  <conditionalFormatting sqref="C139">
    <cfRule type="cellIs" dxfId="33719" priority="412" stopIfTrue="1" operator="equal">
      <formula>"1 Modify"</formula>
    </cfRule>
  </conditionalFormatting>
  <conditionalFormatting sqref="C139">
    <cfRule type="cellIs" dxfId="33718" priority="413" stopIfTrue="1" operator="equal">
      <formula>"2 Add"</formula>
    </cfRule>
  </conditionalFormatting>
  <conditionalFormatting sqref="C139">
    <cfRule type="cellIs" dxfId="33717" priority="414" stopIfTrue="1" operator="equal">
      <formula>"3 Delete"</formula>
    </cfRule>
  </conditionalFormatting>
  <conditionalFormatting sqref="C140">
    <cfRule type="cellIs" dxfId="33716" priority="415" stopIfTrue="1" operator="equal">
      <formula>"1 Modify"</formula>
    </cfRule>
  </conditionalFormatting>
  <conditionalFormatting sqref="C140">
    <cfRule type="cellIs" dxfId="33715" priority="416" stopIfTrue="1" operator="equal">
      <formula>"2 Add"</formula>
    </cfRule>
  </conditionalFormatting>
  <conditionalFormatting sqref="C140">
    <cfRule type="cellIs" dxfId="33714" priority="417" stopIfTrue="1" operator="equal">
      <formula>"3 Delete"</formula>
    </cfRule>
  </conditionalFormatting>
  <conditionalFormatting sqref="C141">
    <cfRule type="cellIs" dxfId="33713" priority="418" stopIfTrue="1" operator="equal">
      <formula>"1 Modify"</formula>
    </cfRule>
  </conditionalFormatting>
  <conditionalFormatting sqref="C141">
    <cfRule type="cellIs" dxfId="33712" priority="419" stopIfTrue="1" operator="equal">
      <formula>"2 Add"</formula>
    </cfRule>
  </conditionalFormatting>
  <conditionalFormatting sqref="C141">
    <cfRule type="cellIs" dxfId="33711" priority="420" stopIfTrue="1" operator="equal">
      <formula>"3 Delete"</formula>
    </cfRule>
  </conditionalFormatting>
  <conditionalFormatting sqref="C142">
    <cfRule type="cellIs" dxfId="33710" priority="421" stopIfTrue="1" operator="equal">
      <formula>"1 Modify"</formula>
    </cfRule>
  </conditionalFormatting>
  <conditionalFormatting sqref="C142">
    <cfRule type="cellIs" dxfId="33709" priority="422" stopIfTrue="1" operator="equal">
      <formula>"2 Add"</formula>
    </cfRule>
  </conditionalFormatting>
  <conditionalFormatting sqref="C142">
    <cfRule type="cellIs" dxfId="33708" priority="423" stopIfTrue="1" operator="equal">
      <formula>"3 Delete"</formula>
    </cfRule>
  </conditionalFormatting>
  <conditionalFormatting sqref="C143">
    <cfRule type="cellIs" dxfId="33707" priority="424" stopIfTrue="1" operator="equal">
      <formula>"1 Modify"</formula>
    </cfRule>
  </conditionalFormatting>
  <conditionalFormatting sqref="C143">
    <cfRule type="cellIs" dxfId="33706" priority="425" stopIfTrue="1" operator="equal">
      <formula>"2 Add"</formula>
    </cfRule>
  </conditionalFormatting>
  <conditionalFormatting sqref="C143">
    <cfRule type="cellIs" dxfId="33705" priority="426" stopIfTrue="1" operator="equal">
      <formula>"3 Delete"</formula>
    </cfRule>
  </conditionalFormatting>
  <conditionalFormatting sqref="C144">
    <cfRule type="cellIs" dxfId="33704" priority="427" stopIfTrue="1" operator="equal">
      <formula>"1 Modify"</formula>
    </cfRule>
  </conditionalFormatting>
  <conditionalFormatting sqref="C144">
    <cfRule type="cellIs" dxfId="33703" priority="428" stopIfTrue="1" operator="equal">
      <formula>"2 Add"</formula>
    </cfRule>
  </conditionalFormatting>
  <conditionalFormatting sqref="C144">
    <cfRule type="cellIs" dxfId="33702" priority="429" stopIfTrue="1" operator="equal">
      <formula>"3 Delete"</formula>
    </cfRule>
  </conditionalFormatting>
  <conditionalFormatting sqref="C145">
    <cfRule type="cellIs" dxfId="33701" priority="430" stopIfTrue="1" operator="equal">
      <formula>"1 Modify"</formula>
    </cfRule>
  </conditionalFormatting>
  <conditionalFormatting sqref="C145">
    <cfRule type="cellIs" dxfId="33700" priority="431" stopIfTrue="1" operator="equal">
      <formula>"2 Add"</formula>
    </cfRule>
  </conditionalFormatting>
  <conditionalFormatting sqref="C145">
    <cfRule type="cellIs" dxfId="33699" priority="432" stopIfTrue="1" operator="equal">
      <formula>"3 Delete"</formula>
    </cfRule>
  </conditionalFormatting>
  <conditionalFormatting sqref="C146">
    <cfRule type="cellIs" dxfId="33698" priority="433" stopIfTrue="1" operator="equal">
      <formula>"1 Modify"</formula>
    </cfRule>
  </conditionalFormatting>
  <conditionalFormatting sqref="C146">
    <cfRule type="cellIs" dxfId="33697" priority="434" stopIfTrue="1" operator="equal">
      <formula>"2 Add"</formula>
    </cfRule>
  </conditionalFormatting>
  <conditionalFormatting sqref="C146">
    <cfRule type="cellIs" dxfId="33696" priority="435" stopIfTrue="1" operator="equal">
      <formula>"3 Delete"</formula>
    </cfRule>
  </conditionalFormatting>
  <conditionalFormatting sqref="C147">
    <cfRule type="cellIs" dxfId="33695" priority="436" stopIfTrue="1" operator="equal">
      <formula>"1 Modify"</formula>
    </cfRule>
  </conditionalFormatting>
  <conditionalFormatting sqref="C147">
    <cfRule type="cellIs" dxfId="33694" priority="437" stopIfTrue="1" operator="equal">
      <formula>"2 Add"</formula>
    </cfRule>
  </conditionalFormatting>
  <conditionalFormatting sqref="C147">
    <cfRule type="cellIs" dxfId="33693" priority="438" stopIfTrue="1" operator="equal">
      <formula>"3 Delete"</formula>
    </cfRule>
  </conditionalFormatting>
  <conditionalFormatting sqref="C148">
    <cfRule type="cellIs" dxfId="33692" priority="439" stopIfTrue="1" operator="equal">
      <formula>"1 Modify"</formula>
    </cfRule>
  </conditionalFormatting>
  <conditionalFormatting sqref="C148">
    <cfRule type="cellIs" dxfId="33691" priority="440" stopIfTrue="1" operator="equal">
      <formula>"2 Add"</formula>
    </cfRule>
  </conditionalFormatting>
  <conditionalFormatting sqref="C148">
    <cfRule type="cellIs" dxfId="33690" priority="441" stopIfTrue="1" operator="equal">
      <formula>"3 Delete"</formula>
    </cfRule>
  </conditionalFormatting>
  <conditionalFormatting sqref="C149">
    <cfRule type="cellIs" dxfId="33689" priority="442" stopIfTrue="1" operator="equal">
      <formula>"1 Modify"</formula>
    </cfRule>
  </conditionalFormatting>
  <conditionalFormatting sqref="C149">
    <cfRule type="cellIs" dxfId="33688" priority="443" stopIfTrue="1" operator="equal">
      <formula>"2 Add"</formula>
    </cfRule>
  </conditionalFormatting>
  <conditionalFormatting sqref="C149">
    <cfRule type="cellIs" dxfId="33687" priority="444" stopIfTrue="1" operator="equal">
      <formula>"3 Delete"</formula>
    </cfRule>
  </conditionalFormatting>
  <conditionalFormatting sqref="C150">
    <cfRule type="cellIs" dxfId="33686" priority="445" stopIfTrue="1" operator="equal">
      <formula>"1 Modify"</formula>
    </cfRule>
  </conditionalFormatting>
  <conditionalFormatting sqref="C150">
    <cfRule type="cellIs" dxfId="33685" priority="446" stopIfTrue="1" operator="equal">
      <formula>"2 Add"</formula>
    </cfRule>
  </conditionalFormatting>
  <conditionalFormatting sqref="C150">
    <cfRule type="cellIs" dxfId="33684" priority="447" stopIfTrue="1" operator="equal">
      <formula>"3 Delete"</formula>
    </cfRule>
  </conditionalFormatting>
  <conditionalFormatting sqref="C151">
    <cfRule type="cellIs" dxfId="33683" priority="448" stopIfTrue="1" operator="equal">
      <formula>"1 Modify"</formula>
    </cfRule>
  </conditionalFormatting>
  <conditionalFormatting sqref="C151">
    <cfRule type="cellIs" dxfId="33682" priority="449" stopIfTrue="1" operator="equal">
      <formula>"2 Add"</formula>
    </cfRule>
  </conditionalFormatting>
  <conditionalFormatting sqref="C151">
    <cfRule type="cellIs" dxfId="33681" priority="450" stopIfTrue="1" operator="equal">
      <formula>"3 Delete"</formula>
    </cfRule>
  </conditionalFormatting>
  <conditionalFormatting sqref="C152">
    <cfRule type="cellIs" dxfId="33680" priority="451" stopIfTrue="1" operator="equal">
      <formula>"1 Modify"</formula>
    </cfRule>
  </conditionalFormatting>
  <conditionalFormatting sqref="C152">
    <cfRule type="cellIs" dxfId="33679" priority="452" stopIfTrue="1" operator="equal">
      <formula>"2 Add"</formula>
    </cfRule>
  </conditionalFormatting>
  <conditionalFormatting sqref="C152">
    <cfRule type="cellIs" dxfId="33678" priority="453" stopIfTrue="1" operator="equal">
      <formula>"3 Delete"</formula>
    </cfRule>
  </conditionalFormatting>
  <conditionalFormatting sqref="C153">
    <cfRule type="cellIs" dxfId="33677" priority="454" stopIfTrue="1" operator="equal">
      <formula>"1 Modify"</formula>
    </cfRule>
  </conditionalFormatting>
  <conditionalFormatting sqref="C153">
    <cfRule type="cellIs" dxfId="33676" priority="455" stopIfTrue="1" operator="equal">
      <formula>"2 Add"</formula>
    </cfRule>
  </conditionalFormatting>
  <conditionalFormatting sqref="C153">
    <cfRule type="cellIs" dxfId="33675" priority="456" stopIfTrue="1" operator="equal">
      <formula>"3 Delete"</formula>
    </cfRule>
  </conditionalFormatting>
  <conditionalFormatting sqref="C154">
    <cfRule type="cellIs" dxfId="33674" priority="457" stopIfTrue="1" operator="equal">
      <formula>"1 Modify"</formula>
    </cfRule>
  </conditionalFormatting>
  <conditionalFormatting sqref="C154">
    <cfRule type="cellIs" dxfId="33673" priority="458" stopIfTrue="1" operator="equal">
      <formula>"2 Add"</formula>
    </cfRule>
  </conditionalFormatting>
  <conditionalFormatting sqref="C154">
    <cfRule type="cellIs" dxfId="33672" priority="459" stopIfTrue="1" operator="equal">
      <formula>"3 Delete"</formula>
    </cfRule>
  </conditionalFormatting>
  <conditionalFormatting sqref="C155">
    <cfRule type="cellIs" dxfId="33671" priority="460" stopIfTrue="1" operator="equal">
      <formula>"1 Modify"</formula>
    </cfRule>
  </conditionalFormatting>
  <conditionalFormatting sqref="C155">
    <cfRule type="cellIs" dxfId="33670" priority="461" stopIfTrue="1" operator="equal">
      <formula>"2 Add"</formula>
    </cfRule>
  </conditionalFormatting>
  <conditionalFormatting sqref="C155">
    <cfRule type="cellIs" dxfId="33669" priority="462" stopIfTrue="1" operator="equal">
      <formula>"3 Delete"</formula>
    </cfRule>
  </conditionalFormatting>
  <conditionalFormatting sqref="C156">
    <cfRule type="cellIs" dxfId="33668" priority="463" stopIfTrue="1" operator="equal">
      <formula>"1 Modify"</formula>
    </cfRule>
  </conditionalFormatting>
  <conditionalFormatting sqref="C156">
    <cfRule type="cellIs" dxfId="33667" priority="464" stopIfTrue="1" operator="equal">
      <formula>"2 Add"</formula>
    </cfRule>
  </conditionalFormatting>
  <conditionalFormatting sqref="C156">
    <cfRule type="cellIs" dxfId="33666" priority="465" stopIfTrue="1" operator="equal">
      <formula>"3 Delete"</formula>
    </cfRule>
  </conditionalFormatting>
  <conditionalFormatting sqref="C157">
    <cfRule type="cellIs" dxfId="33665" priority="466" stopIfTrue="1" operator="equal">
      <formula>"1 Modify"</formula>
    </cfRule>
  </conditionalFormatting>
  <conditionalFormatting sqref="C157">
    <cfRule type="cellIs" dxfId="33664" priority="467" stopIfTrue="1" operator="equal">
      <formula>"2 Add"</formula>
    </cfRule>
  </conditionalFormatting>
  <conditionalFormatting sqref="C157">
    <cfRule type="cellIs" dxfId="33663" priority="468" stopIfTrue="1" operator="equal">
      <formula>"3 Delete"</formula>
    </cfRule>
  </conditionalFormatting>
  <conditionalFormatting sqref="C158">
    <cfRule type="cellIs" dxfId="33662" priority="469" stopIfTrue="1" operator="equal">
      <formula>"1 Modify"</formula>
    </cfRule>
  </conditionalFormatting>
  <conditionalFormatting sqref="C158">
    <cfRule type="cellIs" dxfId="33661" priority="470" stopIfTrue="1" operator="equal">
      <formula>"2 Add"</formula>
    </cfRule>
  </conditionalFormatting>
  <conditionalFormatting sqref="C158">
    <cfRule type="cellIs" dxfId="33660" priority="471" stopIfTrue="1" operator="equal">
      <formula>"3 Delete"</formula>
    </cfRule>
  </conditionalFormatting>
  <conditionalFormatting sqref="C159">
    <cfRule type="cellIs" dxfId="33659" priority="472" stopIfTrue="1" operator="equal">
      <formula>"1 Modify"</formula>
    </cfRule>
  </conditionalFormatting>
  <conditionalFormatting sqref="C159">
    <cfRule type="cellIs" dxfId="33658" priority="473" stopIfTrue="1" operator="equal">
      <formula>"2 Add"</formula>
    </cfRule>
  </conditionalFormatting>
  <conditionalFormatting sqref="C159">
    <cfRule type="cellIs" dxfId="33657" priority="474" stopIfTrue="1" operator="equal">
      <formula>"3 Delete"</formula>
    </cfRule>
  </conditionalFormatting>
  <conditionalFormatting sqref="C160">
    <cfRule type="cellIs" dxfId="33656" priority="475" stopIfTrue="1" operator="equal">
      <formula>"1 Modify"</formula>
    </cfRule>
  </conditionalFormatting>
  <conditionalFormatting sqref="C160">
    <cfRule type="cellIs" dxfId="33655" priority="476" stopIfTrue="1" operator="equal">
      <formula>"2 Add"</formula>
    </cfRule>
  </conditionalFormatting>
  <conditionalFormatting sqref="C160">
    <cfRule type="cellIs" dxfId="33654" priority="477" stopIfTrue="1" operator="equal">
      <formula>"3 Delete"</formula>
    </cfRule>
  </conditionalFormatting>
  <conditionalFormatting sqref="C161">
    <cfRule type="cellIs" dxfId="33653" priority="478" stopIfTrue="1" operator="equal">
      <formula>"1 Modify"</formula>
    </cfRule>
  </conditionalFormatting>
  <conditionalFormatting sqref="C161">
    <cfRule type="cellIs" dxfId="33652" priority="479" stopIfTrue="1" operator="equal">
      <formula>"2 Add"</formula>
    </cfRule>
  </conditionalFormatting>
  <conditionalFormatting sqref="C161">
    <cfRule type="cellIs" dxfId="33651" priority="480" stopIfTrue="1" operator="equal">
      <formula>"3 Delete"</formula>
    </cfRule>
  </conditionalFormatting>
  <conditionalFormatting sqref="C162">
    <cfRule type="cellIs" dxfId="33650" priority="481" stopIfTrue="1" operator="equal">
      <formula>"1 Modify"</formula>
    </cfRule>
  </conditionalFormatting>
  <conditionalFormatting sqref="C162">
    <cfRule type="cellIs" dxfId="33649" priority="482" stopIfTrue="1" operator="equal">
      <formula>"2 Add"</formula>
    </cfRule>
  </conditionalFormatting>
  <conditionalFormatting sqref="C162">
    <cfRule type="cellIs" dxfId="33648" priority="483" stopIfTrue="1" operator="equal">
      <formula>"3 Delete"</formula>
    </cfRule>
  </conditionalFormatting>
  <conditionalFormatting sqref="C163">
    <cfRule type="cellIs" dxfId="33647" priority="484" stopIfTrue="1" operator="equal">
      <formula>"1 Modify"</formula>
    </cfRule>
  </conditionalFormatting>
  <conditionalFormatting sqref="C163">
    <cfRule type="cellIs" dxfId="33646" priority="485" stopIfTrue="1" operator="equal">
      <formula>"2 Add"</formula>
    </cfRule>
  </conditionalFormatting>
  <conditionalFormatting sqref="C163">
    <cfRule type="cellIs" dxfId="33645" priority="486" stopIfTrue="1" operator="equal">
      <formula>"3 Delete"</formula>
    </cfRule>
  </conditionalFormatting>
  <conditionalFormatting sqref="C164">
    <cfRule type="cellIs" dxfId="33644" priority="487" stopIfTrue="1" operator="equal">
      <formula>"1 Modify"</formula>
    </cfRule>
  </conditionalFormatting>
  <conditionalFormatting sqref="C164">
    <cfRule type="cellIs" dxfId="33643" priority="488" stopIfTrue="1" operator="equal">
      <formula>"2 Add"</formula>
    </cfRule>
  </conditionalFormatting>
  <conditionalFormatting sqref="C164">
    <cfRule type="cellIs" dxfId="33642" priority="489" stopIfTrue="1" operator="equal">
      <formula>"3 Delete"</formula>
    </cfRule>
  </conditionalFormatting>
  <conditionalFormatting sqref="C165">
    <cfRule type="cellIs" dxfId="33641" priority="490" stopIfTrue="1" operator="equal">
      <formula>"1 Modify"</formula>
    </cfRule>
  </conditionalFormatting>
  <conditionalFormatting sqref="C165">
    <cfRule type="cellIs" dxfId="33640" priority="491" stopIfTrue="1" operator="equal">
      <formula>"2 Add"</formula>
    </cfRule>
  </conditionalFormatting>
  <conditionalFormatting sqref="C165">
    <cfRule type="cellIs" dxfId="33639" priority="492" stopIfTrue="1" operator="equal">
      <formula>"3 Delete"</formula>
    </cfRule>
  </conditionalFormatting>
  <conditionalFormatting sqref="C166">
    <cfRule type="cellIs" dxfId="33638" priority="493" stopIfTrue="1" operator="equal">
      <formula>"1 Modify"</formula>
    </cfRule>
  </conditionalFormatting>
  <conditionalFormatting sqref="C166">
    <cfRule type="cellIs" dxfId="33637" priority="494" stopIfTrue="1" operator="equal">
      <formula>"2 Add"</formula>
    </cfRule>
  </conditionalFormatting>
  <conditionalFormatting sqref="C166">
    <cfRule type="cellIs" dxfId="33636" priority="495" stopIfTrue="1" operator="equal">
      <formula>"3 Delete"</formula>
    </cfRule>
  </conditionalFormatting>
  <conditionalFormatting sqref="C167">
    <cfRule type="cellIs" dxfId="33635" priority="496" stopIfTrue="1" operator="equal">
      <formula>"1 Modify"</formula>
    </cfRule>
  </conditionalFormatting>
  <conditionalFormatting sqref="C167">
    <cfRule type="cellIs" dxfId="33634" priority="497" stopIfTrue="1" operator="equal">
      <formula>"2 Add"</formula>
    </cfRule>
  </conditionalFormatting>
  <conditionalFormatting sqref="C167">
    <cfRule type="cellIs" dxfId="33633" priority="498" stopIfTrue="1" operator="equal">
      <formula>"3 Delete"</formula>
    </cfRule>
  </conditionalFormatting>
  <conditionalFormatting sqref="C168">
    <cfRule type="cellIs" dxfId="33632" priority="499" stopIfTrue="1" operator="equal">
      <formula>"1 Modify"</formula>
    </cfRule>
  </conditionalFormatting>
  <conditionalFormatting sqref="C168">
    <cfRule type="cellIs" dxfId="33631" priority="500" stopIfTrue="1" operator="equal">
      <formula>"2 Add"</formula>
    </cfRule>
  </conditionalFormatting>
  <conditionalFormatting sqref="C168">
    <cfRule type="cellIs" dxfId="33630" priority="501" stopIfTrue="1" operator="equal">
      <formula>"3 Delete"</formula>
    </cfRule>
  </conditionalFormatting>
  <conditionalFormatting sqref="C169">
    <cfRule type="cellIs" dxfId="33629" priority="502" stopIfTrue="1" operator="equal">
      <formula>"1 Modify"</formula>
    </cfRule>
  </conditionalFormatting>
  <conditionalFormatting sqref="C169">
    <cfRule type="cellIs" dxfId="33628" priority="503" stopIfTrue="1" operator="equal">
      <formula>"2 Add"</formula>
    </cfRule>
  </conditionalFormatting>
  <conditionalFormatting sqref="C169">
    <cfRule type="cellIs" dxfId="33627" priority="504" stopIfTrue="1" operator="equal">
      <formula>"3 Delete"</formula>
    </cfRule>
  </conditionalFormatting>
  <conditionalFormatting sqref="C170">
    <cfRule type="cellIs" dxfId="33626" priority="505" stopIfTrue="1" operator="equal">
      <formula>"1 Modify"</formula>
    </cfRule>
  </conditionalFormatting>
  <conditionalFormatting sqref="C170">
    <cfRule type="cellIs" dxfId="33625" priority="506" stopIfTrue="1" operator="equal">
      <formula>"2 Add"</formula>
    </cfRule>
  </conditionalFormatting>
  <conditionalFormatting sqref="C170">
    <cfRule type="cellIs" dxfId="33624" priority="507" stopIfTrue="1" operator="equal">
      <formula>"3 Delete"</formula>
    </cfRule>
  </conditionalFormatting>
  <conditionalFormatting sqref="C171">
    <cfRule type="cellIs" dxfId="33623" priority="508" stopIfTrue="1" operator="equal">
      <formula>"1 Modify"</formula>
    </cfRule>
  </conditionalFormatting>
  <conditionalFormatting sqref="C171">
    <cfRule type="cellIs" dxfId="33622" priority="509" stopIfTrue="1" operator="equal">
      <formula>"2 Add"</formula>
    </cfRule>
  </conditionalFormatting>
  <conditionalFormatting sqref="C171">
    <cfRule type="cellIs" dxfId="33621" priority="510" stopIfTrue="1" operator="equal">
      <formula>"3 Delete"</formula>
    </cfRule>
  </conditionalFormatting>
  <conditionalFormatting sqref="C172">
    <cfRule type="cellIs" dxfId="33620" priority="511" stopIfTrue="1" operator="equal">
      <formula>"1 Modify"</formula>
    </cfRule>
  </conditionalFormatting>
  <conditionalFormatting sqref="C172">
    <cfRule type="cellIs" dxfId="33619" priority="512" stopIfTrue="1" operator="equal">
      <formula>"2 Add"</formula>
    </cfRule>
  </conditionalFormatting>
  <conditionalFormatting sqref="C172">
    <cfRule type="cellIs" dxfId="33618" priority="513" stopIfTrue="1" operator="equal">
      <formula>"3 Delete"</formula>
    </cfRule>
  </conditionalFormatting>
  <conditionalFormatting sqref="C173">
    <cfRule type="cellIs" dxfId="33617" priority="514" stopIfTrue="1" operator="equal">
      <formula>"1 Modify"</formula>
    </cfRule>
  </conditionalFormatting>
  <conditionalFormatting sqref="C173">
    <cfRule type="cellIs" dxfId="33616" priority="515" stopIfTrue="1" operator="equal">
      <formula>"2 Add"</formula>
    </cfRule>
  </conditionalFormatting>
  <conditionalFormatting sqref="C173">
    <cfRule type="cellIs" dxfId="33615" priority="516" stopIfTrue="1" operator="equal">
      <formula>"3 Delete"</formula>
    </cfRule>
  </conditionalFormatting>
  <conditionalFormatting sqref="C174">
    <cfRule type="cellIs" dxfId="33614" priority="517" stopIfTrue="1" operator="equal">
      <formula>"1 Modify"</formula>
    </cfRule>
  </conditionalFormatting>
  <conditionalFormatting sqref="C174">
    <cfRule type="cellIs" dxfId="33613" priority="518" stopIfTrue="1" operator="equal">
      <formula>"2 Add"</formula>
    </cfRule>
  </conditionalFormatting>
  <conditionalFormatting sqref="C174">
    <cfRule type="cellIs" dxfId="33612" priority="519" stopIfTrue="1" operator="equal">
      <formula>"3 Delete"</formula>
    </cfRule>
  </conditionalFormatting>
  <conditionalFormatting sqref="C175">
    <cfRule type="cellIs" dxfId="33611" priority="520" stopIfTrue="1" operator="equal">
      <formula>"1 Modify"</formula>
    </cfRule>
  </conditionalFormatting>
  <conditionalFormatting sqref="C175">
    <cfRule type="cellIs" dxfId="33610" priority="521" stopIfTrue="1" operator="equal">
      <formula>"2 Add"</formula>
    </cfRule>
  </conditionalFormatting>
  <conditionalFormatting sqref="C175">
    <cfRule type="cellIs" dxfId="33609" priority="522" stopIfTrue="1" operator="equal">
      <formula>"3 Delete"</formula>
    </cfRule>
  </conditionalFormatting>
  <conditionalFormatting sqref="C176">
    <cfRule type="cellIs" dxfId="33608" priority="523" stopIfTrue="1" operator="equal">
      <formula>"1 Modify"</formula>
    </cfRule>
  </conditionalFormatting>
  <conditionalFormatting sqref="C176">
    <cfRule type="cellIs" dxfId="33607" priority="524" stopIfTrue="1" operator="equal">
      <formula>"2 Add"</formula>
    </cfRule>
  </conditionalFormatting>
  <conditionalFormatting sqref="C176">
    <cfRule type="cellIs" dxfId="33606" priority="525" stopIfTrue="1" operator="equal">
      <formula>"3 Delete"</formula>
    </cfRule>
  </conditionalFormatting>
  <conditionalFormatting sqref="C177">
    <cfRule type="cellIs" dxfId="33605" priority="526" stopIfTrue="1" operator="equal">
      <formula>"1 Modify"</formula>
    </cfRule>
  </conditionalFormatting>
  <conditionalFormatting sqref="C177">
    <cfRule type="cellIs" dxfId="33604" priority="527" stopIfTrue="1" operator="equal">
      <formula>"2 Add"</formula>
    </cfRule>
  </conditionalFormatting>
  <conditionalFormatting sqref="C177">
    <cfRule type="cellIs" dxfId="33603" priority="528" stopIfTrue="1" operator="equal">
      <formula>"3 Delete"</formula>
    </cfRule>
  </conditionalFormatting>
  <conditionalFormatting sqref="C178">
    <cfRule type="cellIs" dxfId="33602" priority="529" stopIfTrue="1" operator="equal">
      <formula>"1 Modify"</formula>
    </cfRule>
  </conditionalFormatting>
  <conditionalFormatting sqref="C178">
    <cfRule type="cellIs" dxfId="33601" priority="530" stopIfTrue="1" operator="equal">
      <formula>"2 Add"</formula>
    </cfRule>
  </conditionalFormatting>
  <conditionalFormatting sqref="C178">
    <cfRule type="cellIs" dxfId="33600" priority="531" stopIfTrue="1" operator="equal">
      <formula>"3 Delete"</formula>
    </cfRule>
  </conditionalFormatting>
  <conditionalFormatting sqref="C179">
    <cfRule type="cellIs" dxfId="33599" priority="532" stopIfTrue="1" operator="equal">
      <formula>"1 Modify"</formula>
    </cfRule>
  </conditionalFormatting>
  <conditionalFormatting sqref="C179">
    <cfRule type="cellIs" dxfId="33598" priority="533" stopIfTrue="1" operator="equal">
      <formula>"2 Add"</formula>
    </cfRule>
  </conditionalFormatting>
  <conditionalFormatting sqref="C179">
    <cfRule type="cellIs" dxfId="33597" priority="534" stopIfTrue="1" operator="equal">
      <formula>"3 Delete"</formula>
    </cfRule>
  </conditionalFormatting>
  <conditionalFormatting sqref="C180">
    <cfRule type="cellIs" dxfId="33596" priority="535" stopIfTrue="1" operator="equal">
      <formula>"1 Modify"</formula>
    </cfRule>
  </conditionalFormatting>
  <conditionalFormatting sqref="C180">
    <cfRule type="cellIs" dxfId="33595" priority="536" stopIfTrue="1" operator="equal">
      <formula>"2 Add"</formula>
    </cfRule>
  </conditionalFormatting>
  <conditionalFormatting sqref="C180">
    <cfRule type="cellIs" dxfId="33594" priority="537" stopIfTrue="1" operator="equal">
      <formula>"3 Delete"</formula>
    </cfRule>
  </conditionalFormatting>
  <conditionalFormatting sqref="C181">
    <cfRule type="cellIs" dxfId="33593" priority="538" stopIfTrue="1" operator="equal">
      <formula>"1 Modify"</formula>
    </cfRule>
  </conditionalFormatting>
  <conditionalFormatting sqref="C181">
    <cfRule type="cellIs" dxfId="33592" priority="539" stopIfTrue="1" operator="equal">
      <formula>"2 Add"</formula>
    </cfRule>
  </conditionalFormatting>
  <conditionalFormatting sqref="C181">
    <cfRule type="cellIs" dxfId="33591" priority="540" stopIfTrue="1" operator="equal">
      <formula>"3 Delete"</formula>
    </cfRule>
  </conditionalFormatting>
  <conditionalFormatting sqref="C182">
    <cfRule type="cellIs" dxfId="33590" priority="541" stopIfTrue="1" operator="equal">
      <formula>"1 Modify"</formula>
    </cfRule>
  </conditionalFormatting>
  <conditionalFormatting sqref="C182">
    <cfRule type="cellIs" dxfId="33589" priority="542" stopIfTrue="1" operator="equal">
      <formula>"2 Add"</formula>
    </cfRule>
  </conditionalFormatting>
  <conditionalFormatting sqref="C182">
    <cfRule type="cellIs" dxfId="33588" priority="543" stopIfTrue="1" operator="equal">
      <formula>"3 Delete"</formula>
    </cfRule>
  </conditionalFormatting>
  <conditionalFormatting sqref="C183">
    <cfRule type="cellIs" dxfId="33587" priority="544" stopIfTrue="1" operator="equal">
      <formula>"1 Modify"</formula>
    </cfRule>
  </conditionalFormatting>
  <conditionalFormatting sqref="C183">
    <cfRule type="cellIs" dxfId="33586" priority="545" stopIfTrue="1" operator="equal">
      <formula>"2 Add"</formula>
    </cfRule>
  </conditionalFormatting>
  <conditionalFormatting sqref="C183">
    <cfRule type="cellIs" dxfId="33585" priority="546" stopIfTrue="1" operator="equal">
      <formula>"3 Delete"</formula>
    </cfRule>
  </conditionalFormatting>
  <conditionalFormatting sqref="C184">
    <cfRule type="cellIs" dxfId="33584" priority="547" stopIfTrue="1" operator="equal">
      <formula>"1 Modify"</formula>
    </cfRule>
  </conditionalFormatting>
  <conditionalFormatting sqref="C184">
    <cfRule type="cellIs" dxfId="33583" priority="548" stopIfTrue="1" operator="equal">
      <formula>"2 Add"</formula>
    </cfRule>
  </conditionalFormatting>
  <conditionalFormatting sqref="C184">
    <cfRule type="cellIs" dxfId="33582" priority="549" stopIfTrue="1" operator="equal">
      <formula>"3 Delete"</formula>
    </cfRule>
  </conditionalFormatting>
  <conditionalFormatting sqref="C185">
    <cfRule type="cellIs" dxfId="33581" priority="550" stopIfTrue="1" operator="equal">
      <formula>"1 Modify"</formula>
    </cfRule>
  </conditionalFormatting>
  <conditionalFormatting sqref="C185">
    <cfRule type="cellIs" dxfId="33580" priority="551" stopIfTrue="1" operator="equal">
      <formula>"2 Add"</formula>
    </cfRule>
  </conditionalFormatting>
  <conditionalFormatting sqref="C185">
    <cfRule type="cellIs" dxfId="33579" priority="552" stopIfTrue="1" operator="equal">
      <formula>"3 Delete"</formula>
    </cfRule>
  </conditionalFormatting>
  <conditionalFormatting sqref="C186">
    <cfRule type="cellIs" dxfId="33578" priority="553" stopIfTrue="1" operator="equal">
      <formula>"1 Modify"</formula>
    </cfRule>
  </conditionalFormatting>
  <conditionalFormatting sqref="C186">
    <cfRule type="cellIs" dxfId="33577" priority="554" stopIfTrue="1" operator="equal">
      <formula>"2 Add"</formula>
    </cfRule>
  </conditionalFormatting>
  <conditionalFormatting sqref="C186">
    <cfRule type="cellIs" dxfId="33576" priority="555" stopIfTrue="1" operator="equal">
      <formula>"3 Delete"</formula>
    </cfRule>
  </conditionalFormatting>
  <conditionalFormatting sqref="C187">
    <cfRule type="cellIs" dxfId="33575" priority="556" stopIfTrue="1" operator="equal">
      <formula>"1 Modify"</formula>
    </cfRule>
  </conditionalFormatting>
  <conditionalFormatting sqref="C187">
    <cfRule type="cellIs" dxfId="33574" priority="557" stopIfTrue="1" operator="equal">
      <formula>"2 Add"</formula>
    </cfRule>
  </conditionalFormatting>
  <conditionalFormatting sqref="C187">
    <cfRule type="cellIs" dxfId="33573" priority="558" stopIfTrue="1" operator="equal">
      <formula>"3 Delete"</formula>
    </cfRule>
  </conditionalFormatting>
  <conditionalFormatting sqref="C188">
    <cfRule type="cellIs" dxfId="33572" priority="559" stopIfTrue="1" operator="equal">
      <formula>"1 Modify"</formula>
    </cfRule>
  </conditionalFormatting>
  <conditionalFormatting sqref="C188">
    <cfRule type="cellIs" dxfId="33571" priority="560" stopIfTrue="1" operator="equal">
      <formula>"2 Add"</formula>
    </cfRule>
  </conditionalFormatting>
  <conditionalFormatting sqref="C188">
    <cfRule type="cellIs" dxfId="33570" priority="561" stopIfTrue="1" operator="equal">
      <formula>"3 Delete"</formula>
    </cfRule>
  </conditionalFormatting>
  <conditionalFormatting sqref="C189">
    <cfRule type="cellIs" dxfId="33569" priority="562" stopIfTrue="1" operator="equal">
      <formula>"1 Modify"</formula>
    </cfRule>
  </conditionalFormatting>
  <conditionalFormatting sqref="C189">
    <cfRule type="cellIs" dxfId="33568" priority="563" stopIfTrue="1" operator="equal">
      <formula>"2 Add"</formula>
    </cfRule>
  </conditionalFormatting>
  <conditionalFormatting sqref="C189">
    <cfRule type="cellIs" dxfId="33567" priority="564" stopIfTrue="1" operator="equal">
      <formula>"3 Delete"</formula>
    </cfRule>
  </conditionalFormatting>
  <conditionalFormatting sqref="C190">
    <cfRule type="cellIs" dxfId="33566" priority="565" stopIfTrue="1" operator="equal">
      <formula>"1 Modify"</formula>
    </cfRule>
  </conditionalFormatting>
  <conditionalFormatting sqref="C190">
    <cfRule type="cellIs" dxfId="33565" priority="566" stopIfTrue="1" operator="equal">
      <formula>"2 Add"</formula>
    </cfRule>
  </conditionalFormatting>
  <conditionalFormatting sqref="C190">
    <cfRule type="cellIs" dxfId="33564" priority="567" stopIfTrue="1" operator="equal">
      <formula>"3 Delete"</formula>
    </cfRule>
  </conditionalFormatting>
  <conditionalFormatting sqref="C191">
    <cfRule type="cellIs" dxfId="33563" priority="568" stopIfTrue="1" operator="equal">
      <formula>"1 Modify"</formula>
    </cfRule>
  </conditionalFormatting>
  <conditionalFormatting sqref="C191">
    <cfRule type="cellIs" dxfId="33562" priority="569" stopIfTrue="1" operator="equal">
      <formula>"2 Add"</formula>
    </cfRule>
  </conditionalFormatting>
  <conditionalFormatting sqref="C191">
    <cfRule type="cellIs" dxfId="33561" priority="570" stopIfTrue="1" operator="equal">
      <formula>"3 Delete"</formula>
    </cfRule>
  </conditionalFormatting>
  <conditionalFormatting sqref="C192">
    <cfRule type="cellIs" dxfId="33560" priority="571" stopIfTrue="1" operator="equal">
      <formula>"1 Modify"</formula>
    </cfRule>
  </conditionalFormatting>
  <conditionalFormatting sqref="C192">
    <cfRule type="cellIs" dxfId="33559" priority="572" stopIfTrue="1" operator="equal">
      <formula>"2 Add"</formula>
    </cfRule>
  </conditionalFormatting>
  <conditionalFormatting sqref="C192">
    <cfRule type="cellIs" dxfId="33558" priority="573" stopIfTrue="1" operator="equal">
      <formula>"3 Delete"</formula>
    </cfRule>
  </conditionalFormatting>
  <conditionalFormatting sqref="C193">
    <cfRule type="cellIs" dxfId="33557" priority="574" stopIfTrue="1" operator="equal">
      <formula>"1 Modify"</formula>
    </cfRule>
  </conditionalFormatting>
  <conditionalFormatting sqref="C193">
    <cfRule type="cellIs" dxfId="33556" priority="575" stopIfTrue="1" operator="equal">
      <formula>"2 Add"</formula>
    </cfRule>
  </conditionalFormatting>
  <conditionalFormatting sqref="C193">
    <cfRule type="cellIs" dxfId="33555" priority="576" stopIfTrue="1" operator="equal">
      <formula>"3 Delete"</formula>
    </cfRule>
  </conditionalFormatting>
  <conditionalFormatting sqref="C194">
    <cfRule type="cellIs" dxfId="33554" priority="577" stopIfTrue="1" operator="equal">
      <formula>"1 Modify"</formula>
    </cfRule>
  </conditionalFormatting>
  <conditionalFormatting sqref="C194">
    <cfRule type="cellIs" dxfId="33553" priority="578" stopIfTrue="1" operator="equal">
      <formula>"2 Add"</formula>
    </cfRule>
  </conditionalFormatting>
  <conditionalFormatting sqref="C194">
    <cfRule type="cellIs" dxfId="33552" priority="579" stopIfTrue="1" operator="equal">
      <formula>"3 Delete"</formula>
    </cfRule>
  </conditionalFormatting>
  <conditionalFormatting sqref="C195">
    <cfRule type="cellIs" dxfId="33551" priority="580" stopIfTrue="1" operator="equal">
      <formula>"1 Modify"</formula>
    </cfRule>
  </conditionalFormatting>
  <conditionalFormatting sqref="C195">
    <cfRule type="cellIs" dxfId="33550" priority="581" stopIfTrue="1" operator="equal">
      <formula>"2 Add"</formula>
    </cfRule>
  </conditionalFormatting>
  <conditionalFormatting sqref="C195">
    <cfRule type="cellIs" dxfId="33549" priority="582" stopIfTrue="1" operator="equal">
      <formula>"3 Delete"</formula>
    </cfRule>
  </conditionalFormatting>
  <conditionalFormatting sqref="C196">
    <cfRule type="cellIs" dxfId="33548" priority="583" stopIfTrue="1" operator="equal">
      <formula>"1 Modify"</formula>
    </cfRule>
  </conditionalFormatting>
  <conditionalFormatting sqref="C196">
    <cfRule type="cellIs" dxfId="33547" priority="584" stopIfTrue="1" operator="equal">
      <formula>"2 Add"</formula>
    </cfRule>
  </conditionalFormatting>
  <conditionalFormatting sqref="C196">
    <cfRule type="cellIs" dxfId="33546" priority="585" stopIfTrue="1" operator="equal">
      <formula>"3 Delete"</formula>
    </cfRule>
  </conditionalFormatting>
  <conditionalFormatting sqref="C197">
    <cfRule type="cellIs" dxfId="33545" priority="586" stopIfTrue="1" operator="equal">
      <formula>"1 Modify"</formula>
    </cfRule>
  </conditionalFormatting>
  <conditionalFormatting sqref="C197">
    <cfRule type="cellIs" dxfId="33544" priority="587" stopIfTrue="1" operator="equal">
      <formula>"2 Add"</formula>
    </cfRule>
  </conditionalFormatting>
  <conditionalFormatting sqref="C197">
    <cfRule type="cellIs" dxfId="33543" priority="588" stopIfTrue="1" operator="equal">
      <formula>"3 Delete"</formula>
    </cfRule>
  </conditionalFormatting>
  <conditionalFormatting sqref="C198">
    <cfRule type="cellIs" dxfId="33542" priority="589" stopIfTrue="1" operator="equal">
      <formula>"1 Modify"</formula>
    </cfRule>
  </conditionalFormatting>
  <conditionalFormatting sqref="C198">
    <cfRule type="cellIs" dxfId="33541" priority="590" stopIfTrue="1" operator="equal">
      <formula>"2 Add"</formula>
    </cfRule>
  </conditionalFormatting>
  <conditionalFormatting sqref="C198">
    <cfRule type="cellIs" dxfId="33540" priority="591" stopIfTrue="1" operator="equal">
      <formula>"3 Delete"</formula>
    </cfRule>
  </conditionalFormatting>
  <conditionalFormatting sqref="C199">
    <cfRule type="cellIs" dxfId="33539" priority="592" stopIfTrue="1" operator="equal">
      <formula>"1 Modify"</formula>
    </cfRule>
  </conditionalFormatting>
  <conditionalFormatting sqref="C199">
    <cfRule type="cellIs" dxfId="33538" priority="593" stopIfTrue="1" operator="equal">
      <formula>"2 Add"</formula>
    </cfRule>
  </conditionalFormatting>
  <conditionalFormatting sqref="C199">
    <cfRule type="cellIs" dxfId="33537" priority="594" stopIfTrue="1" operator="equal">
      <formula>"3 Delete"</formula>
    </cfRule>
  </conditionalFormatting>
  <conditionalFormatting sqref="C200">
    <cfRule type="cellIs" dxfId="33536" priority="595" stopIfTrue="1" operator="equal">
      <formula>"1 Modify"</formula>
    </cfRule>
  </conditionalFormatting>
  <conditionalFormatting sqref="C200">
    <cfRule type="cellIs" dxfId="33535" priority="596" stopIfTrue="1" operator="equal">
      <formula>"2 Add"</formula>
    </cfRule>
  </conditionalFormatting>
  <conditionalFormatting sqref="C200">
    <cfRule type="cellIs" dxfId="33534" priority="597" stopIfTrue="1" operator="equal">
      <formula>"3 Delete"</formula>
    </cfRule>
  </conditionalFormatting>
  <conditionalFormatting sqref="C201">
    <cfRule type="cellIs" dxfId="33533" priority="598" stopIfTrue="1" operator="equal">
      <formula>"1 Modify"</formula>
    </cfRule>
  </conditionalFormatting>
  <conditionalFormatting sqref="C201">
    <cfRule type="cellIs" dxfId="33532" priority="599" stopIfTrue="1" operator="equal">
      <formula>"2 Add"</formula>
    </cfRule>
  </conditionalFormatting>
  <conditionalFormatting sqref="C201">
    <cfRule type="cellIs" dxfId="33531" priority="600" stopIfTrue="1" operator="equal">
      <formula>"3 Delete"</formula>
    </cfRule>
  </conditionalFormatting>
  <conditionalFormatting sqref="C202">
    <cfRule type="cellIs" dxfId="33530" priority="601" stopIfTrue="1" operator="equal">
      <formula>"1 Modify"</formula>
    </cfRule>
  </conditionalFormatting>
  <conditionalFormatting sqref="C202">
    <cfRule type="cellIs" dxfId="33529" priority="602" stopIfTrue="1" operator="equal">
      <formula>"2 Add"</formula>
    </cfRule>
  </conditionalFormatting>
  <conditionalFormatting sqref="C202">
    <cfRule type="cellIs" dxfId="33528" priority="603" stopIfTrue="1" operator="equal">
      <formula>"3 Delete"</formula>
    </cfRule>
  </conditionalFormatting>
  <conditionalFormatting sqref="C203">
    <cfRule type="cellIs" dxfId="33527" priority="604" stopIfTrue="1" operator="equal">
      <formula>"1 Modify"</formula>
    </cfRule>
  </conditionalFormatting>
  <conditionalFormatting sqref="C203">
    <cfRule type="cellIs" dxfId="33526" priority="605" stopIfTrue="1" operator="equal">
      <formula>"2 Add"</formula>
    </cfRule>
  </conditionalFormatting>
  <conditionalFormatting sqref="C203">
    <cfRule type="cellIs" dxfId="33525" priority="606" stopIfTrue="1" operator="equal">
      <formula>"3 Delete"</formula>
    </cfRule>
  </conditionalFormatting>
  <conditionalFormatting sqref="C204">
    <cfRule type="cellIs" dxfId="33524" priority="607" stopIfTrue="1" operator="equal">
      <formula>"1 Modify"</formula>
    </cfRule>
  </conditionalFormatting>
  <conditionalFormatting sqref="C204">
    <cfRule type="cellIs" dxfId="33523" priority="608" stopIfTrue="1" operator="equal">
      <formula>"2 Add"</formula>
    </cfRule>
  </conditionalFormatting>
  <conditionalFormatting sqref="C204">
    <cfRule type="cellIs" dxfId="33522" priority="609" stopIfTrue="1" operator="equal">
      <formula>"3 Delete"</formula>
    </cfRule>
  </conditionalFormatting>
  <conditionalFormatting sqref="C205">
    <cfRule type="cellIs" dxfId="33521" priority="610" stopIfTrue="1" operator="equal">
      <formula>"1 Modify"</formula>
    </cfRule>
  </conditionalFormatting>
  <conditionalFormatting sqref="C205">
    <cfRule type="cellIs" dxfId="33520" priority="611" stopIfTrue="1" operator="equal">
      <formula>"2 Add"</formula>
    </cfRule>
  </conditionalFormatting>
  <conditionalFormatting sqref="C205">
    <cfRule type="cellIs" dxfId="33519" priority="612" stopIfTrue="1" operator="equal">
      <formula>"3 Delete"</formula>
    </cfRule>
  </conditionalFormatting>
  <conditionalFormatting sqref="C206">
    <cfRule type="cellIs" dxfId="33518" priority="613" stopIfTrue="1" operator="equal">
      <formula>"1 Modify"</formula>
    </cfRule>
  </conditionalFormatting>
  <conditionalFormatting sqref="C206">
    <cfRule type="cellIs" dxfId="33517" priority="614" stopIfTrue="1" operator="equal">
      <formula>"2 Add"</formula>
    </cfRule>
  </conditionalFormatting>
  <conditionalFormatting sqref="C206">
    <cfRule type="cellIs" dxfId="33516" priority="615" stopIfTrue="1" operator="equal">
      <formula>"3 Delete"</formula>
    </cfRule>
  </conditionalFormatting>
  <conditionalFormatting sqref="C207">
    <cfRule type="cellIs" dxfId="33515" priority="616" stopIfTrue="1" operator="equal">
      <formula>"1 Modify"</formula>
    </cfRule>
  </conditionalFormatting>
  <conditionalFormatting sqref="C207">
    <cfRule type="cellIs" dxfId="33514" priority="617" stopIfTrue="1" operator="equal">
      <formula>"2 Add"</formula>
    </cfRule>
  </conditionalFormatting>
  <conditionalFormatting sqref="C207">
    <cfRule type="cellIs" dxfId="33513" priority="618" stopIfTrue="1" operator="equal">
      <formula>"3 Delete"</formula>
    </cfRule>
  </conditionalFormatting>
  <conditionalFormatting sqref="C208">
    <cfRule type="cellIs" dxfId="33512" priority="619" stopIfTrue="1" operator="equal">
      <formula>"1 Modify"</formula>
    </cfRule>
  </conditionalFormatting>
  <conditionalFormatting sqref="C208">
    <cfRule type="cellIs" dxfId="33511" priority="620" stopIfTrue="1" operator="equal">
      <formula>"2 Add"</formula>
    </cfRule>
  </conditionalFormatting>
  <conditionalFormatting sqref="C208">
    <cfRule type="cellIs" dxfId="33510" priority="621" stopIfTrue="1" operator="equal">
      <formula>"3 Delete"</formula>
    </cfRule>
  </conditionalFormatting>
  <conditionalFormatting sqref="C209">
    <cfRule type="cellIs" dxfId="33509" priority="622" stopIfTrue="1" operator="equal">
      <formula>"1 Modify"</formula>
    </cfRule>
  </conditionalFormatting>
  <conditionalFormatting sqref="C209">
    <cfRule type="cellIs" dxfId="33508" priority="623" stopIfTrue="1" operator="equal">
      <formula>"2 Add"</formula>
    </cfRule>
  </conditionalFormatting>
  <conditionalFormatting sqref="C209">
    <cfRule type="cellIs" dxfId="33507" priority="624" stopIfTrue="1" operator="equal">
      <formula>"3 Delete"</formula>
    </cfRule>
  </conditionalFormatting>
  <conditionalFormatting sqref="C210">
    <cfRule type="cellIs" dxfId="33506" priority="625" stopIfTrue="1" operator="equal">
      <formula>"1 Modify"</formula>
    </cfRule>
  </conditionalFormatting>
  <conditionalFormatting sqref="C210">
    <cfRule type="cellIs" dxfId="33505" priority="626" stopIfTrue="1" operator="equal">
      <formula>"2 Add"</formula>
    </cfRule>
  </conditionalFormatting>
  <conditionalFormatting sqref="C210">
    <cfRule type="cellIs" dxfId="33504" priority="627" stopIfTrue="1" operator="equal">
      <formula>"3 Delete"</formula>
    </cfRule>
  </conditionalFormatting>
  <conditionalFormatting sqref="C211">
    <cfRule type="cellIs" dxfId="33503" priority="628" stopIfTrue="1" operator="equal">
      <formula>"1 Modify"</formula>
    </cfRule>
  </conditionalFormatting>
  <conditionalFormatting sqref="C211">
    <cfRule type="cellIs" dxfId="33502" priority="629" stopIfTrue="1" operator="equal">
      <formula>"2 Add"</formula>
    </cfRule>
  </conditionalFormatting>
  <conditionalFormatting sqref="C211">
    <cfRule type="cellIs" dxfId="33501" priority="630" stopIfTrue="1" operator="equal">
      <formula>"3 Delete"</formula>
    </cfRule>
  </conditionalFormatting>
  <conditionalFormatting sqref="C212">
    <cfRule type="cellIs" dxfId="33500" priority="631" stopIfTrue="1" operator="equal">
      <formula>"1 Modify"</formula>
    </cfRule>
  </conditionalFormatting>
  <conditionalFormatting sqref="C212">
    <cfRule type="cellIs" dxfId="33499" priority="632" stopIfTrue="1" operator="equal">
      <formula>"2 Add"</formula>
    </cfRule>
  </conditionalFormatting>
  <conditionalFormatting sqref="C212">
    <cfRule type="cellIs" dxfId="33498" priority="633" stopIfTrue="1" operator="equal">
      <formula>"3 Delete"</formula>
    </cfRule>
  </conditionalFormatting>
  <conditionalFormatting sqref="C213">
    <cfRule type="cellIs" dxfId="33497" priority="634" stopIfTrue="1" operator="equal">
      <formula>"1 Modify"</formula>
    </cfRule>
  </conditionalFormatting>
  <conditionalFormatting sqref="C213">
    <cfRule type="cellIs" dxfId="33496" priority="635" stopIfTrue="1" operator="equal">
      <formula>"2 Add"</formula>
    </cfRule>
  </conditionalFormatting>
  <conditionalFormatting sqref="C213">
    <cfRule type="cellIs" dxfId="33495" priority="636" stopIfTrue="1" operator="equal">
      <formula>"3 Delete"</formula>
    </cfRule>
  </conditionalFormatting>
  <conditionalFormatting sqref="C214">
    <cfRule type="cellIs" dxfId="33494" priority="637" stopIfTrue="1" operator="equal">
      <formula>"1 Modify"</formula>
    </cfRule>
  </conditionalFormatting>
  <conditionalFormatting sqref="C214">
    <cfRule type="cellIs" dxfId="33493" priority="638" stopIfTrue="1" operator="equal">
      <formula>"2 Add"</formula>
    </cfRule>
  </conditionalFormatting>
  <conditionalFormatting sqref="C214">
    <cfRule type="cellIs" dxfId="33492" priority="639" stopIfTrue="1" operator="equal">
      <formula>"3 Delete"</formula>
    </cfRule>
  </conditionalFormatting>
  <conditionalFormatting sqref="C215">
    <cfRule type="cellIs" dxfId="33491" priority="640" stopIfTrue="1" operator="equal">
      <formula>"1 Modify"</formula>
    </cfRule>
  </conditionalFormatting>
  <conditionalFormatting sqref="C215">
    <cfRule type="cellIs" dxfId="33490" priority="641" stopIfTrue="1" operator="equal">
      <formula>"2 Add"</formula>
    </cfRule>
  </conditionalFormatting>
  <conditionalFormatting sqref="C215">
    <cfRule type="cellIs" dxfId="33489" priority="642" stopIfTrue="1" operator="equal">
      <formula>"3 Delete"</formula>
    </cfRule>
  </conditionalFormatting>
  <conditionalFormatting sqref="C216">
    <cfRule type="cellIs" dxfId="33488" priority="643" stopIfTrue="1" operator="equal">
      <formula>"1 Modify"</formula>
    </cfRule>
  </conditionalFormatting>
  <conditionalFormatting sqref="C216">
    <cfRule type="cellIs" dxfId="33487" priority="644" stopIfTrue="1" operator="equal">
      <formula>"2 Add"</formula>
    </cfRule>
  </conditionalFormatting>
  <conditionalFormatting sqref="C216">
    <cfRule type="cellIs" dxfId="33486" priority="645" stopIfTrue="1" operator="equal">
      <formula>"3 Delete"</formula>
    </cfRule>
  </conditionalFormatting>
  <conditionalFormatting sqref="C217">
    <cfRule type="cellIs" dxfId="33485" priority="646" stopIfTrue="1" operator="equal">
      <formula>"1 Modify"</formula>
    </cfRule>
  </conditionalFormatting>
  <conditionalFormatting sqref="C217">
    <cfRule type="cellIs" dxfId="33484" priority="647" stopIfTrue="1" operator="equal">
      <formula>"2 Add"</formula>
    </cfRule>
  </conditionalFormatting>
  <conditionalFormatting sqref="C217">
    <cfRule type="cellIs" dxfId="33483" priority="648" stopIfTrue="1" operator="equal">
      <formula>"3 Delete"</formula>
    </cfRule>
  </conditionalFormatting>
  <conditionalFormatting sqref="C218">
    <cfRule type="cellIs" dxfId="33482" priority="649" stopIfTrue="1" operator="equal">
      <formula>"1 Modify"</formula>
    </cfRule>
  </conditionalFormatting>
  <conditionalFormatting sqref="C218">
    <cfRule type="cellIs" dxfId="33481" priority="650" stopIfTrue="1" operator="equal">
      <formula>"2 Add"</formula>
    </cfRule>
  </conditionalFormatting>
  <conditionalFormatting sqref="C218">
    <cfRule type="cellIs" dxfId="33480" priority="651" stopIfTrue="1" operator="equal">
      <formula>"3 Delete"</formula>
    </cfRule>
  </conditionalFormatting>
  <conditionalFormatting sqref="C219">
    <cfRule type="cellIs" dxfId="33479" priority="652" stopIfTrue="1" operator="equal">
      <formula>"1 Modify"</formula>
    </cfRule>
  </conditionalFormatting>
  <conditionalFormatting sqref="C219">
    <cfRule type="cellIs" dxfId="33478" priority="653" stopIfTrue="1" operator="equal">
      <formula>"2 Add"</formula>
    </cfRule>
  </conditionalFormatting>
  <conditionalFormatting sqref="C219">
    <cfRule type="cellIs" dxfId="33477" priority="654" stopIfTrue="1" operator="equal">
      <formula>"3 Delete"</formula>
    </cfRule>
  </conditionalFormatting>
  <conditionalFormatting sqref="C220">
    <cfRule type="cellIs" dxfId="33476" priority="655" stopIfTrue="1" operator="equal">
      <formula>"1 Modify"</formula>
    </cfRule>
  </conditionalFormatting>
  <conditionalFormatting sqref="C220">
    <cfRule type="cellIs" dxfId="33475" priority="656" stopIfTrue="1" operator="equal">
      <formula>"2 Add"</formula>
    </cfRule>
  </conditionalFormatting>
  <conditionalFormatting sqref="C220">
    <cfRule type="cellIs" dxfId="33474" priority="657" stopIfTrue="1" operator="equal">
      <formula>"3 Delete"</formula>
    </cfRule>
  </conditionalFormatting>
  <conditionalFormatting sqref="C221">
    <cfRule type="cellIs" dxfId="33473" priority="658" stopIfTrue="1" operator="equal">
      <formula>"1 Modify"</formula>
    </cfRule>
  </conditionalFormatting>
  <conditionalFormatting sqref="C221">
    <cfRule type="cellIs" dxfId="33472" priority="659" stopIfTrue="1" operator="equal">
      <formula>"2 Add"</formula>
    </cfRule>
  </conditionalFormatting>
  <conditionalFormatting sqref="C221">
    <cfRule type="cellIs" dxfId="33471" priority="660" stopIfTrue="1" operator="equal">
      <formula>"3 Delete"</formula>
    </cfRule>
  </conditionalFormatting>
  <conditionalFormatting sqref="C222">
    <cfRule type="cellIs" dxfId="33470" priority="661" stopIfTrue="1" operator="equal">
      <formula>"1 Modify"</formula>
    </cfRule>
  </conditionalFormatting>
  <conditionalFormatting sqref="C222">
    <cfRule type="cellIs" dxfId="33469" priority="662" stopIfTrue="1" operator="equal">
      <formula>"2 Add"</formula>
    </cfRule>
  </conditionalFormatting>
  <conditionalFormatting sqref="C222">
    <cfRule type="cellIs" dxfId="33468" priority="663" stopIfTrue="1" operator="equal">
      <formula>"3 Delete"</formula>
    </cfRule>
  </conditionalFormatting>
  <conditionalFormatting sqref="C223">
    <cfRule type="cellIs" dxfId="33467" priority="664" stopIfTrue="1" operator="equal">
      <formula>"1 Modify"</formula>
    </cfRule>
  </conditionalFormatting>
  <conditionalFormatting sqref="C223">
    <cfRule type="cellIs" dxfId="33466" priority="665" stopIfTrue="1" operator="equal">
      <formula>"2 Add"</formula>
    </cfRule>
  </conditionalFormatting>
  <conditionalFormatting sqref="C223">
    <cfRule type="cellIs" dxfId="33465" priority="666" stopIfTrue="1" operator="equal">
      <formula>"3 Delete"</formula>
    </cfRule>
  </conditionalFormatting>
  <conditionalFormatting sqref="C224">
    <cfRule type="cellIs" dxfId="33464" priority="667" stopIfTrue="1" operator="equal">
      <formula>"1 Modify"</formula>
    </cfRule>
  </conditionalFormatting>
  <conditionalFormatting sqref="C224">
    <cfRule type="cellIs" dxfId="33463" priority="668" stopIfTrue="1" operator="equal">
      <formula>"2 Add"</formula>
    </cfRule>
  </conditionalFormatting>
  <conditionalFormatting sqref="C224">
    <cfRule type="cellIs" dxfId="33462" priority="669" stopIfTrue="1" operator="equal">
      <formula>"3 Delete"</formula>
    </cfRule>
  </conditionalFormatting>
  <conditionalFormatting sqref="C225">
    <cfRule type="cellIs" dxfId="33461" priority="670" stopIfTrue="1" operator="equal">
      <formula>"1 Modify"</formula>
    </cfRule>
  </conditionalFormatting>
  <conditionalFormatting sqref="C225">
    <cfRule type="cellIs" dxfId="33460" priority="671" stopIfTrue="1" operator="equal">
      <formula>"2 Add"</formula>
    </cfRule>
  </conditionalFormatting>
  <conditionalFormatting sqref="C225">
    <cfRule type="cellIs" dxfId="33459" priority="672" stopIfTrue="1" operator="equal">
      <formula>"3 Delete"</formula>
    </cfRule>
  </conditionalFormatting>
  <conditionalFormatting sqref="C226">
    <cfRule type="cellIs" dxfId="33458" priority="673" stopIfTrue="1" operator="equal">
      <formula>"1 Modify"</formula>
    </cfRule>
  </conditionalFormatting>
  <conditionalFormatting sqref="C226">
    <cfRule type="cellIs" dxfId="33457" priority="674" stopIfTrue="1" operator="equal">
      <formula>"2 Add"</formula>
    </cfRule>
  </conditionalFormatting>
  <conditionalFormatting sqref="C226">
    <cfRule type="cellIs" dxfId="33456" priority="675" stopIfTrue="1" operator="equal">
      <formula>"3 Delete"</formula>
    </cfRule>
  </conditionalFormatting>
  <conditionalFormatting sqref="C227">
    <cfRule type="cellIs" dxfId="33455" priority="676" stopIfTrue="1" operator="equal">
      <formula>"1 Modify"</formula>
    </cfRule>
  </conditionalFormatting>
  <conditionalFormatting sqref="C227">
    <cfRule type="cellIs" dxfId="33454" priority="677" stopIfTrue="1" operator="equal">
      <formula>"2 Add"</formula>
    </cfRule>
  </conditionalFormatting>
  <conditionalFormatting sqref="C227">
    <cfRule type="cellIs" dxfId="33453" priority="678" stopIfTrue="1" operator="equal">
      <formula>"3 Delete"</formula>
    </cfRule>
  </conditionalFormatting>
  <conditionalFormatting sqref="C228">
    <cfRule type="cellIs" dxfId="33452" priority="679" stopIfTrue="1" operator="equal">
      <formula>"1 Modify"</formula>
    </cfRule>
  </conditionalFormatting>
  <conditionalFormatting sqref="C228">
    <cfRule type="cellIs" dxfId="33451" priority="680" stopIfTrue="1" operator="equal">
      <formula>"2 Add"</formula>
    </cfRule>
  </conditionalFormatting>
  <conditionalFormatting sqref="C228">
    <cfRule type="cellIs" dxfId="33450" priority="681" stopIfTrue="1" operator="equal">
      <formula>"3 Delete"</formula>
    </cfRule>
  </conditionalFormatting>
  <conditionalFormatting sqref="C229">
    <cfRule type="cellIs" dxfId="33449" priority="682" stopIfTrue="1" operator="equal">
      <formula>"1 Modify"</formula>
    </cfRule>
  </conditionalFormatting>
  <conditionalFormatting sqref="C229">
    <cfRule type="cellIs" dxfId="33448" priority="683" stopIfTrue="1" operator="equal">
      <formula>"2 Add"</formula>
    </cfRule>
  </conditionalFormatting>
  <conditionalFormatting sqref="C229">
    <cfRule type="cellIs" dxfId="33447" priority="684" stopIfTrue="1" operator="equal">
      <formula>"3 Delete"</formula>
    </cfRule>
  </conditionalFormatting>
  <conditionalFormatting sqref="C230">
    <cfRule type="cellIs" dxfId="33446" priority="685" stopIfTrue="1" operator="equal">
      <formula>"1 Modify"</formula>
    </cfRule>
  </conditionalFormatting>
  <conditionalFormatting sqref="C230">
    <cfRule type="cellIs" dxfId="33445" priority="686" stopIfTrue="1" operator="equal">
      <formula>"2 Add"</formula>
    </cfRule>
  </conditionalFormatting>
  <conditionalFormatting sqref="C230">
    <cfRule type="cellIs" dxfId="33444" priority="687" stopIfTrue="1" operator="equal">
      <formula>"3 Delete"</formula>
    </cfRule>
  </conditionalFormatting>
  <conditionalFormatting sqref="C231">
    <cfRule type="cellIs" dxfId="33443" priority="688" stopIfTrue="1" operator="equal">
      <formula>"1 Modify"</formula>
    </cfRule>
  </conditionalFormatting>
  <conditionalFormatting sqref="C231">
    <cfRule type="cellIs" dxfId="33442" priority="689" stopIfTrue="1" operator="equal">
      <formula>"2 Add"</formula>
    </cfRule>
  </conditionalFormatting>
  <conditionalFormatting sqref="C231">
    <cfRule type="cellIs" dxfId="33441" priority="690" stopIfTrue="1" operator="equal">
      <formula>"3 Delete"</formula>
    </cfRule>
  </conditionalFormatting>
  <conditionalFormatting sqref="C232">
    <cfRule type="cellIs" dxfId="33440" priority="691" stopIfTrue="1" operator="equal">
      <formula>"1 Modify"</formula>
    </cfRule>
  </conditionalFormatting>
  <conditionalFormatting sqref="C232">
    <cfRule type="cellIs" dxfId="33439" priority="692" stopIfTrue="1" operator="equal">
      <formula>"2 Add"</formula>
    </cfRule>
  </conditionalFormatting>
  <conditionalFormatting sqref="C232">
    <cfRule type="cellIs" dxfId="33438" priority="693" stopIfTrue="1" operator="equal">
      <formula>"3 Delete"</formula>
    </cfRule>
  </conditionalFormatting>
  <conditionalFormatting sqref="C233">
    <cfRule type="cellIs" dxfId="33437" priority="694" stopIfTrue="1" operator="equal">
      <formula>"1 Modify"</formula>
    </cfRule>
  </conditionalFormatting>
  <conditionalFormatting sqref="C233">
    <cfRule type="cellIs" dxfId="33436" priority="695" stopIfTrue="1" operator="equal">
      <formula>"2 Add"</formula>
    </cfRule>
  </conditionalFormatting>
  <conditionalFormatting sqref="C233">
    <cfRule type="cellIs" dxfId="33435" priority="696" stopIfTrue="1" operator="equal">
      <formula>"3 Delete"</formula>
    </cfRule>
  </conditionalFormatting>
  <conditionalFormatting sqref="C234">
    <cfRule type="cellIs" dxfId="33434" priority="697" stopIfTrue="1" operator="equal">
      <formula>"1 Modify"</formula>
    </cfRule>
  </conditionalFormatting>
  <conditionalFormatting sqref="C234">
    <cfRule type="cellIs" dxfId="33433" priority="698" stopIfTrue="1" operator="equal">
      <formula>"2 Add"</formula>
    </cfRule>
  </conditionalFormatting>
  <conditionalFormatting sqref="C234">
    <cfRule type="cellIs" dxfId="33432" priority="699" stopIfTrue="1" operator="equal">
      <formula>"3 Delete"</formula>
    </cfRule>
  </conditionalFormatting>
  <conditionalFormatting sqref="C235">
    <cfRule type="cellIs" dxfId="33431" priority="700" stopIfTrue="1" operator="equal">
      <formula>"1 Modify"</formula>
    </cfRule>
  </conditionalFormatting>
  <conditionalFormatting sqref="C235">
    <cfRule type="cellIs" dxfId="33430" priority="701" stopIfTrue="1" operator="equal">
      <formula>"2 Add"</formula>
    </cfRule>
  </conditionalFormatting>
  <conditionalFormatting sqref="C235">
    <cfRule type="cellIs" dxfId="33429" priority="702" stopIfTrue="1" operator="equal">
      <formula>"3 Delete"</formula>
    </cfRule>
  </conditionalFormatting>
  <conditionalFormatting sqref="C236">
    <cfRule type="cellIs" dxfId="33428" priority="703" stopIfTrue="1" operator="equal">
      <formula>"1 Modify"</formula>
    </cfRule>
  </conditionalFormatting>
  <conditionalFormatting sqref="C236">
    <cfRule type="cellIs" dxfId="33427" priority="704" stopIfTrue="1" operator="equal">
      <formula>"2 Add"</formula>
    </cfRule>
  </conditionalFormatting>
  <conditionalFormatting sqref="C236">
    <cfRule type="cellIs" dxfId="33426" priority="705" stopIfTrue="1" operator="equal">
      <formula>"3 Delete"</formula>
    </cfRule>
  </conditionalFormatting>
  <conditionalFormatting sqref="C237">
    <cfRule type="cellIs" dxfId="33425" priority="706" stopIfTrue="1" operator="equal">
      <formula>"1 Modify"</formula>
    </cfRule>
  </conditionalFormatting>
  <conditionalFormatting sqref="C237">
    <cfRule type="cellIs" dxfId="33424" priority="707" stopIfTrue="1" operator="equal">
      <formula>"2 Add"</formula>
    </cfRule>
  </conditionalFormatting>
  <conditionalFormatting sqref="C237">
    <cfRule type="cellIs" dxfId="33423" priority="708" stopIfTrue="1" operator="equal">
      <formula>"3 Delete"</formula>
    </cfRule>
  </conditionalFormatting>
  <conditionalFormatting sqref="C238">
    <cfRule type="cellIs" dxfId="33422" priority="709" stopIfTrue="1" operator="equal">
      <formula>"1 Modify"</formula>
    </cfRule>
  </conditionalFormatting>
  <conditionalFormatting sqref="C238">
    <cfRule type="cellIs" dxfId="33421" priority="710" stopIfTrue="1" operator="equal">
      <formula>"2 Add"</formula>
    </cfRule>
  </conditionalFormatting>
  <conditionalFormatting sqref="C238">
    <cfRule type="cellIs" dxfId="33420" priority="711" stopIfTrue="1" operator="equal">
      <formula>"3 Delete"</formula>
    </cfRule>
  </conditionalFormatting>
  <conditionalFormatting sqref="C239">
    <cfRule type="cellIs" dxfId="33419" priority="712" stopIfTrue="1" operator="equal">
      <formula>"1 Modify"</formula>
    </cfRule>
  </conditionalFormatting>
  <conditionalFormatting sqref="C239">
    <cfRule type="cellIs" dxfId="33418" priority="713" stopIfTrue="1" operator="equal">
      <formula>"2 Add"</formula>
    </cfRule>
  </conditionalFormatting>
  <conditionalFormatting sqref="C239">
    <cfRule type="cellIs" dxfId="33417" priority="714" stopIfTrue="1" operator="equal">
      <formula>"3 Delete"</formula>
    </cfRule>
  </conditionalFormatting>
  <conditionalFormatting sqref="C240">
    <cfRule type="cellIs" dxfId="33416" priority="715" stopIfTrue="1" operator="equal">
      <formula>"1 Modify"</formula>
    </cfRule>
  </conditionalFormatting>
  <conditionalFormatting sqref="C240">
    <cfRule type="cellIs" dxfId="33415" priority="716" stopIfTrue="1" operator="equal">
      <formula>"2 Add"</formula>
    </cfRule>
  </conditionalFormatting>
  <conditionalFormatting sqref="C240">
    <cfRule type="cellIs" dxfId="33414" priority="717" stopIfTrue="1" operator="equal">
      <formula>"3 Delete"</formula>
    </cfRule>
  </conditionalFormatting>
  <conditionalFormatting sqref="C241">
    <cfRule type="cellIs" dxfId="33413" priority="718" stopIfTrue="1" operator="equal">
      <formula>"1 Modify"</formula>
    </cfRule>
  </conditionalFormatting>
  <conditionalFormatting sqref="C241">
    <cfRule type="cellIs" dxfId="33412" priority="719" stopIfTrue="1" operator="equal">
      <formula>"2 Add"</formula>
    </cfRule>
  </conditionalFormatting>
  <conditionalFormatting sqref="C241">
    <cfRule type="cellIs" dxfId="33411" priority="720" stopIfTrue="1" operator="equal">
      <formula>"3 Delete"</formula>
    </cfRule>
  </conditionalFormatting>
  <conditionalFormatting sqref="C242">
    <cfRule type="cellIs" dxfId="33410" priority="721" stopIfTrue="1" operator="equal">
      <formula>"1 Modify"</formula>
    </cfRule>
  </conditionalFormatting>
  <conditionalFormatting sqref="C242">
    <cfRule type="cellIs" dxfId="33409" priority="722" stopIfTrue="1" operator="equal">
      <formula>"2 Add"</formula>
    </cfRule>
  </conditionalFormatting>
  <conditionalFormatting sqref="C242">
    <cfRule type="cellIs" dxfId="33408" priority="723" stopIfTrue="1" operator="equal">
      <formula>"3 Delete"</formula>
    </cfRule>
  </conditionalFormatting>
  <conditionalFormatting sqref="C243">
    <cfRule type="cellIs" dxfId="33407" priority="724" stopIfTrue="1" operator="equal">
      <formula>"1 Modify"</formula>
    </cfRule>
  </conditionalFormatting>
  <conditionalFormatting sqref="C243">
    <cfRule type="cellIs" dxfId="33406" priority="725" stopIfTrue="1" operator="equal">
      <formula>"2 Add"</formula>
    </cfRule>
  </conditionalFormatting>
  <conditionalFormatting sqref="C243">
    <cfRule type="cellIs" dxfId="33405" priority="726" stopIfTrue="1" operator="equal">
      <formula>"3 Delete"</formula>
    </cfRule>
  </conditionalFormatting>
  <conditionalFormatting sqref="C244">
    <cfRule type="cellIs" dxfId="33404" priority="727" stopIfTrue="1" operator="equal">
      <formula>"1 Modify"</formula>
    </cfRule>
  </conditionalFormatting>
  <conditionalFormatting sqref="C244">
    <cfRule type="cellIs" dxfId="33403" priority="728" stopIfTrue="1" operator="equal">
      <formula>"2 Add"</formula>
    </cfRule>
  </conditionalFormatting>
  <conditionalFormatting sqref="C244">
    <cfRule type="cellIs" dxfId="33402" priority="729" stopIfTrue="1" operator="equal">
      <formula>"3 Delete"</formula>
    </cfRule>
  </conditionalFormatting>
  <conditionalFormatting sqref="C245">
    <cfRule type="cellIs" dxfId="33401" priority="730" stopIfTrue="1" operator="equal">
      <formula>"1 Modify"</formula>
    </cfRule>
  </conditionalFormatting>
  <conditionalFormatting sqref="C245">
    <cfRule type="cellIs" dxfId="33400" priority="731" stopIfTrue="1" operator="equal">
      <formula>"2 Add"</formula>
    </cfRule>
  </conditionalFormatting>
  <conditionalFormatting sqref="C245">
    <cfRule type="cellIs" dxfId="33399" priority="732" stopIfTrue="1" operator="equal">
      <formula>"3 Delete"</formula>
    </cfRule>
  </conditionalFormatting>
  <conditionalFormatting sqref="C246">
    <cfRule type="cellIs" dxfId="33398" priority="733" stopIfTrue="1" operator="equal">
      <formula>"1 Modify"</formula>
    </cfRule>
  </conditionalFormatting>
  <conditionalFormatting sqref="C246">
    <cfRule type="cellIs" dxfId="33397" priority="734" stopIfTrue="1" operator="equal">
      <formula>"2 Add"</formula>
    </cfRule>
  </conditionalFormatting>
  <conditionalFormatting sqref="C246">
    <cfRule type="cellIs" dxfId="33396" priority="735" stopIfTrue="1" operator="equal">
      <formula>"3 Delete"</formula>
    </cfRule>
  </conditionalFormatting>
  <conditionalFormatting sqref="C247">
    <cfRule type="cellIs" dxfId="33395" priority="736" stopIfTrue="1" operator="equal">
      <formula>"1 Modify"</formula>
    </cfRule>
  </conditionalFormatting>
  <conditionalFormatting sqref="C247">
    <cfRule type="cellIs" dxfId="33394" priority="737" stopIfTrue="1" operator="equal">
      <formula>"2 Add"</formula>
    </cfRule>
  </conditionalFormatting>
  <conditionalFormatting sqref="C247">
    <cfRule type="cellIs" dxfId="33393" priority="738" stopIfTrue="1" operator="equal">
      <formula>"3 Delete"</formula>
    </cfRule>
  </conditionalFormatting>
  <conditionalFormatting sqref="C248">
    <cfRule type="cellIs" dxfId="33392" priority="739" stopIfTrue="1" operator="equal">
      <formula>"1 Modify"</formula>
    </cfRule>
  </conditionalFormatting>
  <conditionalFormatting sqref="C248">
    <cfRule type="cellIs" dxfId="33391" priority="740" stopIfTrue="1" operator="equal">
      <formula>"2 Add"</formula>
    </cfRule>
  </conditionalFormatting>
  <conditionalFormatting sqref="C248">
    <cfRule type="cellIs" dxfId="33390" priority="741" stopIfTrue="1" operator="equal">
      <formula>"3 Delete"</formula>
    </cfRule>
  </conditionalFormatting>
  <conditionalFormatting sqref="C249">
    <cfRule type="cellIs" dxfId="33389" priority="742" stopIfTrue="1" operator="equal">
      <formula>"1 Modify"</formula>
    </cfRule>
  </conditionalFormatting>
  <conditionalFormatting sqref="C249">
    <cfRule type="cellIs" dxfId="33388" priority="743" stopIfTrue="1" operator="equal">
      <formula>"2 Add"</formula>
    </cfRule>
  </conditionalFormatting>
  <conditionalFormatting sqref="C249">
    <cfRule type="cellIs" dxfId="33387" priority="744" stopIfTrue="1" operator="equal">
      <formula>"3 Delete"</formula>
    </cfRule>
  </conditionalFormatting>
  <conditionalFormatting sqref="C250">
    <cfRule type="cellIs" dxfId="33386" priority="745" stopIfTrue="1" operator="equal">
      <formula>"1 Modify"</formula>
    </cfRule>
  </conditionalFormatting>
  <conditionalFormatting sqref="C250">
    <cfRule type="cellIs" dxfId="33385" priority="746" stopIfTrue="1" operator="equal">
      <formula>"2 Add"</formula>
    </cfRule>
  </conditionalFormatting>
  <conditionalFormatting sqref="C250">
    <cfRule type="cellIs" dxfId="33384" priority="747" stopIfTrue="1" operator="equal">
      <formula>"3 Delete"</formula>
    </cfRule>
  </conditionalFormatting>
  <conditionalFormatting sqref="C251">
    <cfRule type="cellIs" dxfId="33383" priority="748" stopIfTrue="1" operator="equal">
      <formula>"1 Modify"</formula>
    </cfRule>
  </conditionalFormatting>
  <conditionalFormatting sqref="C251">
    <cfRule type="cellIs" dxfId="33382" priority="749" stopIfTrue="1" operator="equal">
      <formula>"2 Add"</formula>
    </cfRule>
  </conditionalFormatting>
  <conditionalFormatting sqref="C251">
    <cfRule type="cellIs" dxfId="33381" priority="750" stopIfTrue="1" operator="equal">
      <formula>"3 Delete"</formula>
    </cfRule>
  </conditionalFormatting>
  <conditionalFormatting sqref="C252">
    <cfRule type="cellIs" dxfId="33380" priority="751" stopIfTrue="1" operator="equal">
      <formula>"1 Modify"</formula>
    </cfRule>
  </conditionalFormatting>
  <conditionalFormatting sqref="C252">
    <cfRule type="cellIs" dxfId="33379" priority="752" stopIfTrue="1" operator="equal">
      <formula>"2 Add"</formula>
    </cfRule>
  </conditionalFormatting>
  <conditionalFormatting sqref="C252">
    <cfRule type="cellIs" dxfId="33378" priority="753" stopIfTrue="1" operator="equal">
      <formula>"3 Delete"</formula>
    </cfRule>
  </conditionalFormatting>
  <conditionalFormatting sqref="C253">
    <cfRule type="cellIs" dxfId="33377" priority="754" stopIfTrue="1" operator="equal">
      <formula>"1 Modify"</formula>
    </cfRule>
  </conditionalFormatting>
  <conditionalFormatting sqref="C253">
    <cfRule type="cellIs" dxfId="33376" priority="755" stopIfTrue="1" operator="equal">
      <formula>"2 Add"</formula>
    </cfRule>
  </conditionalFormatting>
  <conditionalFormatting sqref="C253">
    <cfRule type="cellIs" dxfId="33375" priority="756" stopIfTrue="1" operator="equal">
      <formula>"3 Delete"</formula>
    </cfRule>
  </conditionalFormatting>
  <conditionalFormatting sqref="C254">
    <cfRule type="cellIs" dxfId="33374" priority="757" stopIfTrue="1" operator="equal">
      <formula>"1 Modify"</formula>
    </cfRule>
  </conditionalFormatting>
  <conditionalFormatting sqref="C254">
    <cfRule type="cellIs" dxfId="33373" priority="758" stopIfTrue="1" operator="equal">
      <formula>"2 Add"</formula>
    </cfRule>
  </conditionalFormatting>
  <conditionalFormatting sqref="C254">
    <cfRule type="cellIs" dxfId="33372" priority="759" stopIfTrue="1" operator="equal">
      <formula>"3 Delete"</formula>
    </cfRule>
  </conditionalFormatting>
  <conditionalFormatting sqref="C255">
    <cfRule type="cellIs" dxfId="33371" priority="760" stopIfTrue="1" operator="equal">
      <formula>"1 Modify"</formula>
    </cfRule>
  </conditionalFormatting>
  <conditionalFormatting sqref="C255">
    <cfRule type="cellIs" dxfId="33370" priority="761" stopIfTrue="1" operator="equal">
      <formula>"2 Add"</formula>
    </cfRule>
  </conditionalFormatting>
  <conditionalFormatting sqref="C255">
    <cfRule type="cellIs" dxfId="33369" priority="762" stopIfTrue="1" operator="equal">
      <formula>"3 Delete"</formula>
    </cfRule>
  </conditionalFormatting>
  <conditionalFormatting sqref="C256">
    <cfRule type="cellIs" dxfId="33368" priority="763" stopIfTrue="1" operator="equal">
      <formula>"1 Modify"</formula>
    </cfRule>
  </conditionalFormatting>
  <conditionalFormatting sqref="C256">
    <cfRule type="cellIs" dxfId="33367" priority="764" stopIfTrue="1" operator="equal">
      <formula>"2 Add"</formula>
    </cfRule>
  </conditionalFormatting>
  <conditionalFormatting sqref="C256">
    <cfRule type="cellIs" dxfId="33366" priority="765" stopIfTrue="1" operator="equal">
      <formula>"3 Delete"</formula>
    </cfRule>
  </conditionalFormatting>
  <conditionalFormatting sqref="C257">
    <cfRule type="cellIs" dxfId="33365" priority="766" stopIfTrue="1" operator="equal">
      <formula>"1 Modify"</formula>
    </cfRule>
  </conditionalFormatting>
  <conditionalFormatting sqref="C257">
    <cfRule type="cellIs" dxfId="33364" priority="767" stopIfTrue="1" operator="equal">
      <formula>"2 Add"</formula>
    </cfRule>
  </conditionalFormatting>
  <conditionalFormatting sqref="C257">
    <cfRule type="cellIs" dxfId="33363" priority="768" stopIfTrue="1" operator="equal">
      <formula>"3 Delete"</formula>
    </cfRule>
  </conditionalFormatting>
  <conditionalFormatting sqref="C258">
    <cfRule type="cellIs" dxfId="33362" priority="769" stopIfTrue="1" operator="equal">
      <formula>"1 Modify"</formula>
    </cfRule>
  </conditionalFormatting>
  <conditionalFormatting sqref="C258">
    <cfRule type="cellIs" dxfId="33361" priority="770" stopIfTrue="1" operator="equal">
      <formula>"2 Add"</formula>
    </cfRule>
  </conditionalFormatting>
  <conditionalFormatting sqref="C258">
    <cfRule type="cellIs" dxfId="33360" priority="771" stopIfTrue="1" operator="equal">
      <formula>"3 Delete"</formula>
    </cfRule>
  </conditionalFormatting>
  <conditionalFormatting sqref="C259">
    <cfRule type="cellIs" dxfId="33359" priority="772" stopIfTrue="1" operator="equal">
      <formula>"1 Modify"</formula>
    </cfRule>
  </conditionalFormatting>
  <conditionalFormatting sqref="C259">
    <cfRule type="cellIs" dxfId="33358" priority="773" stopIfTrue="1" operator="equal">
      <formula>"2 Add"</formula>
    </cfRule>
  </conditionalFormatting>
  <conditionalFormatting sqref="C259">
    <cfRule type="cellIs" dxfId="33357" priority="774" stopIfTrue="1" operator="equal">
      <formula>"3 Delete"</formula>
    </cfRule>
  </conditionalFormatting>
  <conditionalFormatting sqref="C260">
    <cfRule type="cellIs" dxfId="33356" priority="775" stopIfTrue="1" operator="equal">
      <formula>"1 Modify"</formula>
    </cfRule>
  </conditionalFormatting>
  <conditionalFormatting sqref="C260">
    <cfRule type="cellIs" dxfId="33355" priority="776" stopIfTrue="1" operator="equal">
      <formula>"2 Add"</formula>
    </cfRule>
  </conditionalFormatting>
  <conditionalFormatting sqref="C260">
    <cfRule type="cellIs" dxfId="33354" priority="777" stopIfTrue="1" operator="equal">
      <formula>"3 Delete"</formula>
    </cfRule>
  </conditionalFormatting>
  <conditionalFormatting sqref="C261">
    <cfRule type="cellIs" dxfId="33353" priority="778" stopIfTrue="1" operator="equal">
      <formula>"1 Modify"</formula>
    </cfRule>
  </conditionalFormatting>
  <conditionalFormatting sqref="C261">
    <cfRule type="cellIs" dxfId="33352" priority="779" stopIfTrue="1" operator="equal">
      <formula>"2 Add"</formula>
    </cfRule>
  </conditionalFormatting>
  <conditionalFormatting sqref="C261">
    <cfRule type="cellIs" dxfId="33351" priority="780" stopIfTrue="1" operator="equal">
      <formula>"3 Delete"</formula>
    </cfRule>
  </conditionalFormatting>
  <conditionalFormatting sqref="C262">
    <cfRule type="cellIs" dxfId="33350" priority="781" stopIfTrue="1" operator="equal">
      <formula>"1 Modify"</formula>
    </cfRule>
  </conditionalFormatting>
  <conditionalFormatting sqref="C262">
    <cfRule type="cellIs" dxfId="33349" priority="782" stopIfTrue="1" operator="equal">
      <formula>"2 Add"</formula>
    </cfRule>
  </conditionalFormatting>
  <conditionalFormatting sqref="C262">
    <cfRule type="cellIs" dxfId="33348" priority="783" stopIfTrue="1" operator="equal">
      <formula>"3 Delete"</formula>
    </cfRule>
  </conditionalFormatting>
  <conditionalFormatting sqref="C263">
    <cfRule type="cellIs" dxfId="33347" priority="784" stopIfTrue="1" operator="equal">
      <formula>"1 Modify"</formula>
    </cfRule>
  </conditionalFormatting>
  <conditionalFormatting sqref="C263">
    <cfRule type="cellIs" dxfId="33346" priority="785" stopIfTrue="1" operator="equal">
      <formula>"2 Add"</formula>
    </cfRule>
  </conditionalFormatting>
  <conditionalFormatting sqref="C263">
    <cfRule type="cellIs" dxfId="33345" priority="786" stopIfTrue="1" operator="equal">
      <formula>"3 Delete"</formula>
    </cfRule>
  </conditionalFormatting>
  <conditionalFormatting sqref="C264">
    <cfRule type="cellIs" dxfId="33344" priority="787" stopIfTrue="1" operator="equal">
      <formula>"1 Modify"</formula>
    </cfRule>
  </conditionalFormatting>
  <conditionalFormatting sqref="C264">
    <cfRule type="cellIs" dxfId="33343" priority="788" stopIfTrue="1" operator="equal">
      <formula>"2 Add"</formula>
    </cfRule>
  </conditionalFormatting>
  <conditionalFormatting sqref="C264">
    <cfRule type="cellIs" dxfId="33342" priority="789" stopIfTrue="1" operator="equal">
      <formula>"3 Delete"</formula>
    </cfRule>
  </conditionalFormatting>
  <conditionalFormatting sqref="C265">
    <cfRule type="cellIs" dxfId="33341" priority="790" stopIfTrue="1" operator="equal">
      <formula>"1 Modify"</formula>
    </cfRule>
  </conditionalFormatting>
  <conditionalFormatting sqref="C265">
    <cfRule type="cellIs" dxfId="33340" priority="791" stopIfTrue="1" operator="equal">
      <formula>"2 Add"</formula>
    </cfRule>
  </conditionalFormatting>
  <conditionalFormatting sqref="C265">
    <cfRule type="cellIs" dxfId="33339" priority="792" stopIfTrue="1" operator="equal">
      <formula>"3 Delete"</formula>
    </cfRule>
  </conditionalFormatting>
  <conditionalFormatting sqref="C266">
    <cfRule type="cellIs" dxfId="33338" priority="793" stopIfTrue="1" operator="equal">
      <formula>"1 Modify"</formula>
    </cfRule>
  </conditionalFormatting>
  <conditionalFormatting sqref="C266">
    <cfRule type="cellIs" dxfId="33337" priority="794" stopIfTrue="1" operator="equal">
      <formula>"2 Add"</formula>
    </cfRule>
  </conditionalFormatting>
  <conditionalFormatting sqref="C266">
    <cfRule type="cellIs" dxfId="33336" priority="795" stopIfTrue="1" operator="equal">
      <formula>"3 Delete"</formula>
    </cfRule>
  </conditionalFormatting>
  <conditionalFormatting sqref="C267">
    <cfRule type="cellIs" dxfId="33335" priority="796" stopIfTrue="1" operator="equal">
      <formula>"1 Modify"</formula>
    </cfRule>
  </conditionalFormatting>
  <conditionalFormatting sqref="C267">
    <cfRule type="cellIs" dxfId="33334" priority="797" stopIfTrue="1" operator="equal">
      <formula>"2 Add"</formula>
    </cfRule>
  </conditionalFormatting>
  <conditionalFormatting sqref="C267">
    <cfRule type="cellIs" dxfId="33333" priority="798" stopIfTrue="1" operator="equal">
      <formula>"3 Delete"</formula>
    </cfRule>
  </conditionalFormatting>
  <conditionalFormatting sqref="C268">
    <cfRule type="cellIs" dxfId="33332" priority="799" stopIfTrue="1" operator="equal">
      <formula>"1 Modify"</formula>
    </cfRule>
  </conditionalFormatting>
  <conditionalFormatting sqref="C268">
    <cfRule type="cellIs" dxfId="33331" priority="800" stopIfTrue="1" operator="equal">
      <formula>"2 Add"</formula>
    </cfRule>
  </conditionalFormatting>
  <conditionalFormatting sqref="C268">
    <cfRule type="cellIs" dxfId="33330" priority="801" stopIfTrue="1" operator="equal">
      <formula>"3 Delete"</formula>
    </cfRule>
  </conditionalFormatting>
  <conditionalFormatting sqref="C269">
    <cfRule type="cellIs" dxfId="33329" priority="802" stopIfTrue="1" operator="equal">
      <formula>"1 Modify"</formula>
    </cfRule>
  </conditionalFormatting>
  <conditionalFormatting sqref="C269">
    <cfRule type="cellIs" dxfId="33328" priority="803" stopIfTrue="1" operator="equal">
      <formula>"2 Add"</formula>
    </cfRule>
  </conditionalFormatting>
  <conditionalFormatting sqref="C269">
    <cfRule type="cellIs" dxfId="33327" priority="804" stopIfTrue="1" operator="equal">
      <formula>"3 Delete"</formula>
    </cfRule>
  </conditionalFormatting>
  <conditionalFormatting sqref="C270">
    <cfRule type="cellIs" dxfId="33326" priority="805" stopIfTrue="1" operator="equal">
      <formula>"1 Modify"</formula>
    </cfRule>
  </conditionalFormatting>
  <conditionalFormatting sqref="C270">
    <cfRule type="cellIs" dxfId="33325" priority="806" stopIfTrue="1" operator="equal">
      <formula>"2 Add"</formula>
    </cfRule>
  </conditionalFormatting>
  <conditionalFormatting sqref="C270">
    <cfRule type="cellIs" dxfId="33324" priority="807" stopIfTrue="1" operator="equal">
      <formula>"3 Delete"</formula>
    </cfRule>
  </conditionalFormatting>
  <conditionalFormatting sqref="C271">
    <cfRule type="cellIs" dxfId="33323" priority="808" stopIfTrue="1" operator="equal">
      <formula>"1 Modify"</formula>
    </cfRule>
  </conditionalFormatting>
  <conditionalFormatting sqref="C271">
    <cfRule type="cellIs" dxfId="33322" priority="809" stopIfTrue="1" operator="equal">
      <formula>"2 Add"</formula>
    </cfRule>
  </conditionalFormatting>
  <conditionalFormatting sqref="C271">
    <cfRule type="cellIs" dxfId="33321" priority="810" stopIfTrue="1" operator="equal">
      <formula>"3 Delete"</formula>
    </cfRule>
  </conditionalFormatting>
  <conditionalFormatting sqref="C272">
    <cfRule type="cellIs" dxfId="33320" priority="811" stopIfTrue="1" operator="equal">
      <formula>"1 Modify"</formula>
    </cfRule>
  </conditionalFormatting>
  <conditionalFormatting sqref="C272">
    <cfRule type="cellIs" dxfId="33319" priority="812" stopIfTrue="1" operator="equal">
      <formula>"2 Add"</formula>
    </cfRule>
  </conditionalFormatting>
  <conditionalFormatting sqref="C272">
    <cfRule type="cellIs" dxfId="33318" priority="813" stopIfTrue="1" operator="equal">
      <formula>"3 Delete"</formula>
    </cfRule>
  </conditionalFormatting>
  <conditionalFormatting sqref="C273">
    <cfRule type="cellIs" dxfId="33317" priority="814" stopIfTrue="1" operator="equal">
      <formula>"1 Modify"</formula>
    </cfRule>
  </conditionalFormatting>
  <conditionalFormatting sqref="C273">
    <cfRule type="cellIs" dxfId="33316" priority="815" stopIfTrue="1" operator="equal">
      <formula>"2 Add"</formula>
    </cfRule>
  </conditionalFormatting>
  <conditionalFormatting sqref="C273">
    <cfRule type="cellIs" dxfId="33315" priority="816" stopIfTrue="1" operator="equal">
      <formula>"3 Delete"</formula>
    </cfRule>
  </conditionalFormatting>
  <conditionalFormatting sqref="C274">
    <cfRule type="cellIs" dxfId="33314" priority="817" stopIfTrue="1" operator="equal">
      <formula>"1 Modify"</formula>
    </cfRule>
  </conditionalFormatting>
  <conditionalFormatting sqref="C274">
    <cfRule type="cellIs" dxfId="33313" priority="818" stopIfTrue="1" operator="equal">
      <formula>"2 Add"</formula>
    </cfRule>
  </conditionalFormatting>
  <conditionalFormatting sqref="C274">
    <cfRule type="cellIs" dxfId="33312" priority="819" stopIfTrue="1" operator="equal">
      <formula>"3 Delete"</formula>
    </cfRule>
  </conditionalFormatting>
  <conditionalFormatting sqref="C275">
    <cfRule type="cellIs" dxfId="33311" priority="820" stopIfTrue="1" operator="equal">
      <formula>"1 Modify"</formula>
    </cfRule>
  </conditionalFormatting>
  <conditionalFormatting sqref="C275">
    <cfRule type="cellIs" dxfId="33310" priority="821" stopIfTrue="1" operator="equal">
      <formula>"2 Add"</formula>
    </cfRule>
  </conditionalFormatting>
  <conditionalFormatting sqref="C275">
    <cfRule type="cellIs" dxfId="33309" priority="822" stopIfTrue="1" operator="equal">
      <formula>"3 Delete"</formula>
    </cfRule>
  </conditionalFormatting>
  <conditionalFormatting sqref="C276">
    <cfRule type="cellIs" dxfId="33308" priority="823" stopIfTrue="1" operator="equal">
      <formula>"1 Modify"</formula>
    </cfRule>
  </conditionalFormatting>
  <conditionalFormatting sqref="C276">
    <cfRule type="cellIs" dxfId="33307" priority="824" stopIfTrue="1" operator="equal">
      <formula>"2 Add"</formula>
    </cfRule>
  </conditionalFormatting>
  <conditionalFormatting sqref="C276">
    <cfRule type="cellIs" dxfId="33306" priority="825" stopIfTrue="1" operator="equal">
      <formula>"3 Delete"</formula>
    </cfRule>
  </conditionalFormatting>
  <conditionalFormatting sqref="C277">
    <cfRule type="cellIs" dxfId="33305" priority="826" stopIfTrue="1" operator="equal">
      <formula>"1 Modify"</formula>
    </cfRule>
  </conditionalFormatting>
  <conditionalFormatting sqref="C277">
    <cfRule type="cellIs" dxfId="33304" priority="827" stopIfTrue="1" operator="equal">
      <formula>"2 Add"</formula>
    </cfRule>
  </conditionalFormatting>
  <conditionalFormatting sqref="C277">
    <cfRule type="cellIs" dxfId="33303" priority="828" stopIfTrue="1" operator="equal">
      <formula>"3 Delete"</formula>
    </cfRule>
  </conditionalFormatting>
  <conditionalFormatting sqref="C278">
    <cfRule type="cellIs" dxfId="33302" priority="829" stopIfTrue="1" operator="equal">
      <formula>"1 Modify"</formula>
    </cfRule>
  </conditionalFormatting>
  <conditionalFormatting sqref="C278">
    <cfRule type="cellIs" dxfId="33301" priority="830" stopIfTrue="1" operator="equal">
      <formula>"2 Add"</formula>
    </cfRule>
  </conditionalFormatting>
  <conditionalFormatting sqref="C278">
    <cfRule type="cellIs" dxfId="33300" priority="831" stopIfTrue="1" operator="equal">
      <formula>"3 Delete"</formula>
    </cfRule>
  </conditionalFormatting>
  <conditionalFormatting sqref="C279">
    <cfRule type="cellIs" dxfId="33299" priority="832" stopIfTrue="1" operator="equal">
      <formula>"1 Modify"</formula>
    </cfRule>
  </conditionalFormatting>
  <conditionalFormatting sqref="C279">
    <cfRule type="cellIs" dxfId="33298" priority="833" stopIfTrue="1" operator="equal">
      <formula>"2 Add"</formula>
    </cfRule>
  </conditionalFormatting>
  <conditionalFormatting sqref="C279">
    <cfRule type="cellIs" dxfId="33297" priority="834" stopIfTrue="1" operator="equal">
      <formula>"3 Delete"</formula>
    </cfRule>
  </conditionalFormatting>
  <conditionalFormatting sqref="C280">
    <cfRule type="cellIs" dxfId="33296" priority="835" stopIfTrue="1" operator="equal">
      <formula>"1 Modify"</formula>
    </cfRule>
  </conditionalFormatting>
  <conditionalFormatting sqref="C280">
    <cfRule type="cellIs" dxfId="33295" priority="836" stopIfTrue="1" operator="equal">
      <formula>"2 Add"</formula>
    </cfRule>
  </conditionalFormatting>
  <conditionalFormatting sqref="C280">
    <cfRule type="cellIs" dxfId="33294" priority="837" stopIfTrue="1" operator="equal">
      <formula>"3 Delete"</formula>
    </cfRule>
  </conditionalFormatting>
  <conditionalFormatting sqref="C281">
    <cfRule type="cellIs" dxfId="33293" priority="838" stopIfTrue="1" operator="equal">
      <formula>"1 Modify"</formula>
    </cfRule>
  </conditionalFormatting>
  <conditionalFormatting sqref="C281">
    <cfRule type="cellIs" dxfId="33292" priority="839" stopIfTrue="1" operator="equal">
      <formula>"2 Add"</formula>
    </cfRule>
  </conditionalFormatting>
  <conditionalFormatting sqref="C281">
    <cfRule type="cellIs" dxfId="33291" priority="840" stopIfTrue="1" operator="equal">
      <formula>"3 Delete"</formula>
    </cfRule>
  </conditionalFormatting>
  <conditionalFormatting sqref="C282">
    <cfRule type="cellIs" dxfId="33290" priority="841" stopIfTrue="1" operator="equal">
      <formula>"1 Modify"</formula>
    </cfRule>
  </conditionalFormatting>
  <conditionalFormatting sqref="C282">
    <cfRule type="cellIs" dxfId="33289" priority="842" stopIfTrue="1" operator="equal">
      <formula>"2 Add"</formula>
    </cfRule>
  </conditionalFormatting>
  <conditionalFormatting sqref="C282">
    <cfRule type="cellIs" dxfId="33288" priority="843" stopIfTrue="1" operator="equal">
      <formula>"3 Delete"</formula>
    </cfRule>
  </conditionalFormatting>
  <conditionalFormatting sqref="C283">
    <cfRule type="cellIs" dxfId="33287" priority="844" stopIfTrue="1" operator="equal">
      <formula>"1 Modify"</formula>
    </cfRule>
  </conditionalFormatting>
  <conditionalFormatting sqref="C283">
    <cfRule type="cellIs" dxfId="33286" priority="845" stopIfTrue="1" operator="equal">
      <formula>"2 Add"</formula>
    </cfRule>
  </conditionalFormatting>
  <conditionalFormatting sqref="C283">
    <cfRule type="cellIs" dxfId="33285" priority="846" stopIfTrue="1" operator="equal">
      <formula>"3 Delete"</formula>
    </cfRule>
  </conditionalFormatting>
  <conditionalFormatting sqref="C284">
    <cfRule type="cellIs" dxfId="33284" priority="847" stopIfTrue="1" operator="equal">
      <formula>"1 Modify"</formula>
    </cfRule>
  </conditionalFormatting>
  <conditionalFormatting sqref="C284">
    <cfRule type="cellIs" dxfId="33283" priority="848" stopIfTrue="1" operator="equal">
      <formula>"2 Add"</formula>
    </cfRule>
  </conditionalFormatting>
  <conditionalFormatting sqref="C284">
    <cfRule type="cellIs" dxfId="33282" priority="849" stopIfTrue="1" operator="equal">
      <formula>"3 Delete"</formula>
    </cfRule>
  </conditionalFormatting>
  <conditionalFormatting sqref="C285">
    <cfRule type="cellIs" dxfId="33281" priority="850" stopIfTrue="1" operator="equal">
      <formula>"1 Modify"</formula>
    </cfRule>
  </conditionalFormatting>
  <conditionalFormatting sqref="C285">
    <cfRule type="cellIs" dxfId="33280" priority="851" stopIfTrue="1" operator="equal">
      <formula>"2 Add"</formula>
    </cfRule>
  </conditionalFormatting>
  <conditionalFormatting sqref="C285">
    <cfRule type="cellIs" dxfId="33279" priority="852" stopIfTrue="1" operator="equal">
      <formula>"3 Delete"</formula>
    </cfRule>
  </conditionalFormatting>
  <conditionalFormatting sqref="C286">
    <cfRule type="cellIs" dxfId="33278" priority="853" stopIfTrue="1" operator="equal">
      <formula>"1 Modify"</formula>
    </cfRule>
  </conditionalFormatting>
  <conditionalFormatting sqref="C286">
    <cfRule type="cellIs" dxfId="33277" priority="854" stopIfTrue="1" operator="equal">
      <formula>"2 Add"</formula>
    </cfRule>
  </conditionalFormatting>
  <conditionalFormatting sqref="C286">
    <cfRule type="cellIs" dxfId="33276" priority="855" stopIfTrue="1" operator="equal">
      <formula>"3 Delete"</formula>
    </cfRule>
  </conditionalFormatting>
  <conditionalFormatting sqref="C287">
    <cfRule type="cellIs" dxfId="33275" priority="856" stopIfTrue="1" operator="equal">
      <formula>"1 Modify"</formula>
    </cfRule>
  </conditionalFormatting>
  <conditionalFormatting sqref="C287">
    <cfRule type="cellIs" dxfId="33274" priority="857" stopIfTrue="1" operator="equal">
      <formula>"2 Add"</formula>
    </cfRule>
  </conditionalFormatting>
  <conditionalFormatting sqref="C287">
    <cfRule type="cellIs" dxfId="33273" priority="858" stopIfTrue="1" operator="equal">
      <formula>"3 Delete"</formula>
    </cfRule>
  </conditionalFormatting>
  <conditionalFormatting sqref="C288">
    <cfRule type="cellIs" dxfId="33272" priority="859" stopIfTrue="1" operator="equal">
      <formula>"1 Modify"</formula>
    </cfRule>
  </conditionalFormatting>
  <conditionalFormatting sqref="C288">
    <cfRule type="cellIs" dxfId="33271" priority="860" stopIfTrue="1" operator="equal">
      <formula>"2 Add"</formula>
    </cfRule>
  </conditionalFormatting>
  <conditionalFormatting sqref="C288">
    <cfRule type="cellIs" dxfId="33270" priority="861" stopIfTrue="1" operator="equal">
      <formula>"3 Delete"</formula>
    </cfRule>
  </conditionalFormatting>
  <conditionalFormatting sqref="C289">
    <cfRule type="cellIs" dxfId="33269" priority="862" stopIfTrue="1" operator="equal">
      <formula>"1 Modify"</formula>
    </cfRule>
  </conditionalFormatting>
  <conditionalFormatting sqref="C289">
    <cfRule type="cellIs" dxfId="33268" priority="863" stopIfTrue="1" operator="equal">
      <formula>"2 Add"</formula>
    </cfRule>
  </conditionalFormatting>
  <conditionalFormatting sqref="C289">
    <cfRule type="cellIs" dxfId="33267" priority="864" stopIfTrue="1" operator="equal">
      <formula>"3 Delete"</formula>
    </cfRule>
  </conditionalFormatting>
  <conditionalFormatting sqref="C290">
    <cfRule type="cellIs" dxfId="33266" priority="865" stopIfTrue="1" operator="equal">
      <formula>"1 Modify"</formula>
    </cfRule>
  </conditionalFormatting>
  <conditionalFormatting sqref="C290">
    <cfRule type="cellIs" dxfId="33265" priority="866" stopIfTrue="1" operator="equal">
      <formula>"2 Add"</formula>
    </cfRule>
  </conditionalFormatting>
  <conditionalFormatting sqref="C290">
    <cfRule type="cellIs" dxfId="33264" priority="867" stopIfTrue="1" operator="equal">
      <formula>"3 Delete"</formula>
    </cfRule>
  </conditionalFormatting>
  <conditionalFormatting sqref="C291">
    <cfRule type="cellIs" dxfId="33263" priority="868" stopIfTrue="1" operator="equal">
      <formula>"1 Modify"</formula>
    </cfRule>
  </conditionalFormatting>
  <conditionalFormatting sqref="C291">
    <cfRule type="cellIs" dxfId="33262" priority="869" stopIfTrue="1" operator="equal">
      <formula>"2 Add"</formula>
    </cfRule>
  </conditionalFormatting>
  <conditionalFormatting sqref="C291">
    <cfRule type="cellIs" dxfId="33261" priority="870" stopIfTrue="1" operator="equal">
      <formula>"3 Delete"</formula>
    </cfRule>
  </conditionalFormatting>
  <conditionalFormatting sqref="C292">
    <cfRule type="cellIs" dxfId="33260" priority="871" stopIfTrue="1" operator="equal">
      <formula>"1 Modify"</formula>
    </cfRule>
  </conditionalFormatting>
  <conditionalFormatting sqref="C292">
    <cfRule type="cellIs" dxfId="33259" priority="872" stopIfTrue="1" operator="equal">
      <formula>"2 Add"</formula>
    </cfRule>
  </conditionalFormatting>
  <conditionalFormatting sqref="C292">
    <cfRule type="cellIs" dxfId="33258" priority="873" stopIfTrue="1" operator="equal">
      <formula>"3 Delete"</formula>
    </cfRule>
  </conditionalFormatting>
  <conditionalFormatting sqref="C293">
    <cfRule type="cellIs" dxfId="33257" priority="874" stopIfTrue="1" operator="equal">
      <formula>"1 Modify"</formula>
    </cfRule>
  </conditionalFormatting>
  <conditionalFormatting sqref="C293">
    <cfRule type="cellIs" dxfId="33256" priority="875" stopIfTrue="1" operator="equal">
      <formula>"2 Add"</formula>
    </cfRule>
  </conditionalFormatting>
  <conditionalFormatting sqref="C293">
    <cfRule type="cellIs" dxfId="33255" priority="876" stopIfTrue="1" operator="equal">
      <formula>"3 Delete"</formula>
    </cfRule>
  </conditionalFormatting>
  <conditionalFormatting sqref="C294">
    <cfRule type="cellIs" dxfId="33254" priority="877" stopIfTrue="1" operator="equal">
      <formula>"1 Modify"</formula>
    </cfRule>
  </conditionalFormatting>
  <conditionalFormatting sqref="C294">
    <cfRule type="cellIs" dxfId="33253" priority="878" stopIfTrue="1" operator="equal">
      <formula>"2 Add"</formula>
    </cfRule>
  </conditionalFormatting>
  <conditionalFormatting sqref="C294">
    <cfRule type="cellIs" dxfId="33252" priority="879" stopIfTrue="1" operator="equal">
      <formula>"3 Delete"</formula>
    </cfRule>
  </conditionalFormatting>
  <conditionalFormatting sqref="C295">
    <cfRule type="cellIs" dxfId="33251" priority="880" stopIfTrue="1" operator="equal">
      <formula>"1 Modify"</formula>
    </cfRule>
  </conditionalFormatting>
  <conditionalFormatting sqref="C295">
    <cfRule type="cellIs" dxfId="33250" priority="881" stopIfTrue="1" operator="equal">
      <formula>"2 Add"</formula>
    </cfRule>
  </conditionalFormatting>
  <conditionalFormatting sqref="C295">
    <cfRule type="cellIs" dxfId="33249" priority="882" stopIfTrue="1" operator="equal">
      <formula>"3 Delete"</formula>
    </cfRule>
  </conditionalFormatting>
  <conditionalFormatting sqref="C296">
    <cfRule type="cellIs" dxfId="33248" priority="883" stopIfTrue="1" operator="equal">
      <formula>"1 Modify"</formula>
    </cfRule>
  </conditionalFormatting>
  <conditionalFormatting sqref="C296">
    <cfRule type="cellIs" dxfId="33247" priority="884" stopIfTrue="1" operator="equal">
      <formula>"2 Add"</formula>
    </cfRule>
  </conditionalFormatting>
  <conditionalFormatting sqref="C296">
    <cfRule type="cellIs" dxfId="33246" priority="885" stopIfTrue="1" operator="equal">
      <formula>"3 Delete"</formula>
    </cfRule>
  </conditionalFormatting>
  <conditionalFormatting sqref="C297">
    <cfRule type="cellIs" dxfId="33245" priority="886" stopIfTrue="1" operator="equal">
      <formula>"1 Modify"</formula>
    </cfRule>
  </conditionalFormatting>
  <conditionalFormatting sqref="C297">
    <cfRule type="cellIs" dxfId="33244" priority="887" stopIfTrue="1" operator="equal">
      <formula>"2 Add"</formula>
    </cfRule>
  </conditionalFormatting>
  <conditionalFormatting sqref="C297">
    <cfRule type="cellIs" dxfId="33243" priority="888" stopIfTrue="1" operator="equal">
      <formula>"3 Delete"</formula>
    </cfRule>
  </conditionalFormatting>
  <conditionalFormatting sqref="C298">
    <cfRule type="cellIs" dxfId="33242" priority="889" stopIfTrue="1" operator="equal">
      <formula>"1 Modify"</formula>
    </cfRule>
  </conditionalFormatting>
  <conditionalFormatting sqref="C298">
    <cfRule type="cellIs" dxfId="33241" priority="890" stopIfTrue="1" operator="equal">
      <formula>"2 Add"</formula>
    </cfRule>
  </conditionalFormatting>
  <conditionalFormatting sqref="C298">
    <cfRule type="cellIs" dxfId="33240" priority="891" stopIfTrue="1" operator="equal">
      <formula>"3 Delete"</formula>
    </cfRule>
  </conditionalFormatting>
  <conditionalFormatting sqref="C299">
    <cfRule type="cellIs" dxfId="33239" priority="892" stopIfTrue="1" operator="equal">
      <formula>"1 Modify"</formula>
    </cfRule>
  </conditionalFormatting>
  <conditionalFormatting sqref="C299">
    <cfRule type="cellIs" dxfId="33238" priority="893" stopIfTrue="1" operator="equal">
      <formula>"2 Add"</formula>
    </cfRule>
  </conditionalFormatting>
  <conditionalFormatting sqref="C299">
    <cfRule type="cellIs" dxfId="33237" priority="894" stopIfTrue="1" operator="equal">
      <formula>"3 Delete"</formula>
    </cfRule>
  </conditionalFormatting>
  <conditionalFormatting sqref="C300">
    <cfRule type="cellIs" dxfId="33236" priority="895" stopIfTrue="1" operator="equal">
      <formula>"1 Modify"</formula>
    </cfRule>
  </conditionalFormatting>
  <conditionalFormatting sqref="C300">
    <cfRule type="cellIs" dxfId="33235" priority="896" stopIfTrue="1" operator="equal">
      <formula>"2 Add"</formula>
    </cfRule>
  </conditionalFormatting>
  <conditionalFormatting sqref="C300">
    <cfRule type="cellIs" dxfId="33234" priority="897" stopIfTrue="1" operator="equal">
      <formula>"3 Delete"</formula>
    </cfRule>
  </conditionalFormatting>
  <conditionalFormatting sqref="C301">
    <cfRule type="cellIs" dxfId="33233" priority="898" stopIfTrue="1" operator="equal">
      <formula>"1 Modify"</formula>
    </cfRule>
  </conditionalFormatting>
  <conditionalFormatting sqref="C301">
    <cfRule type="cellIs" dxfId="33232" priority="899" stopIfTrue="1" operator="equal">
      <formula>"2 Add"</formula>
    </cfRule>
  </conditionalFormatting>
  <conditionalFormatting sqref="C301">
    <cfRule type="cellIs" dxfId="33231" priority="900" stopIfTrue="1" operator="equal">
      <formula>"3 Delete"</formula>
    </cfRule>
  </conditionalFormatting>
  <conditionalFormatting sqref="C302">
    <cfRule type="cellIs" dxfId="33230" priority="901" stopIfTrue="1" operator="equal">
      <formula>"1 Modify"</formula>
    </cfRule>
  </conditionalFormatting>
  <conditionalFormatting sqref="C302">
    <cfRule type="cellIs" dxfId="33229" priority="902" stopIfTrue="1" operator="equal">
      <formula>"2 Add"</formula>
    </cfRule>
  </conditionalFormatting>
  <conditionalFormatting sqref="C302">
    <cfRule type="cellIs" dxfId="33228" priority="903" stopIfTrue="1" operator="equal">
      <formula>"3 Delete"</formula>
    </cfRule>
  </conditionalFormatting>
  <conditionalFormatting sqref="C303">
    <cfRule type="cellIs" dxfId="33227" priority="904" stopIfTrue="1" operator="equal">
      <formula>"1 Modify"</formula>
    </cfRule>
  </conditionalFormatting>
  <conditionalFormatting sqref="C303">
    <cfRule type="cellIs" dxfId="33226" priority="905" stopIfTrue="1" operator="equal">
      <formula>"2 Add"</formula>
    </cfRule>
  </conditionalFormatting>
  <conditionalFormatting sqref="C303">
    <cfRule type="cellIs" dxfId="33225" priority="906" stopIfTrue="1" operator="equal">
      <formula>"3 Delete"</formula>
    </cfRule>
  </conditionalFormatting>
  <conditionalFormatting sqref="C304">
    <cfRule type="cellIs" dxfId="33224" priority="907" stopIfTrue="1" operator="equal">
      <formula>"1 Modify"</formula>
    </cfRule>
  </conditionalFormatting>
  <conditionalFormatting sqref="C304">
    <cfRule type="cellIs" dxfId="33223" priority="908" stopIfTrue="1" operator="equal">
      <formula>"2 Add"</formula>
    </cfRule>
  </conditionalFormatting>
  <conditionalFormatting sqref="C304">
    <cfRule type="cellIs" dxfId="33222" priority="909" stopIfTrue="1" operator="equal">
      <formula>"3 Delete"</formula>
    </cfRule>
  </conditionalFormatting>
  <conditionalFormatting sqref="C305">
    <cfRule type="cellIs" dxfId="33221" priority="910" stopIfTrue="1" operator="equal">
      <formula>"1 Modify"</formula>
    </cfRule>
  </conditionalFormatting>
  <conditionalFormatting sqref="C305">
    <cfRule type="cellIs" dxfId="33220" priority="911" stopIfTrue="1" operator="equal">
      <formula>"2 Add"</formula>
    </cfRule>
  </conditionalFormatting>
  <conditionalFormatting sqref="C305">
    <cfRule type="cellIs" dxfId="33219" priority="912" stopIfTrue="1" operator="equal">
      <formula>"3 Delete"</formula>
    </cfRule>
  </conditionalFormatting>
  <conditionalFormatting sqref="C306">
    <cfRule type="cellIs" dxfId="33218" priority="913" stopIfTrue="1" operator="equal">
      <formula>"1 Modify"</formula>
    </cfRule>
  </conditionalFormatting>
  <conditionalFormatting sqref="C306">
    <cfRule type="cellIs" dxfId="33217" priority="914" stopIfTrue="1" operator="equal">
      <formula>"2 Add"</formula>
    </cfRule>
  </conditionalFormatting>
  <conditionalFormatting sqref="C306">
    <cfRule type="cellIs" dxfId="33216" priority="915" stopIfTrue="1" operator="equal">
      <formula>"3 Delete"</formula>
    </cfRule>
  </conditionalFormatting>
  <conditionalFormatting sqref="C307">
    <cfRule type="cellIs" dxfId="33215" priority="916" stopIfTrue="1" operator="equal">
      <formula>"1 Modify"</formula>
    </cfRule>
  </conditionalFormatting>
  <conditionalFormatting sqref="C307">
    <cfRule type="cellIs" dxfId="33214" priority="917" stopIfTrue="1" operator="equal">
      <formula>"2 Add"</formula>
    </cfRule>
  </conditionalFormatting>
  <conditionalFormatting sqref="C307">
    <cfRule type="cellIs" dxfId="33213" priority="918" stopIfTrue="1" operator="equal">
      <formula>"3 Delete"</formula>
    </cfRule>
  </conditionalFormatting>
  <conditionalFormatting sqref="C308">
    <cfRule type="cellIs" dxfId="33212" priority="919" stopIfTrue="1" operator="equal">
      <formula>"1 Modify"</formula>
    </cfRule>
  </conditionalFormatting>
  <conditionalFormatting sqref="C308">
    <cfRule type="cellIs" dxfId="33211" priority="920" stopIfTrue="1" operator="equal">
      <formula>"2 Add"</formula>
    </cfRule>
  </conditionalFormatting>
  <conditionalFormatting sqref="C308">
    <cfRule type="cellIs" dxfId="33210" priority="921" stopIfTrue="1" operator="equal">
      <formula>"3 Delete"</formula>
    </cfRule>
  </conditionalFormatting>
  <conditionalFormatting sqref="C309">
    <cfRule type="cellIs" dxfId="33209" priority="922" stopIfTrue="1" operator="equal">
      <formula>"1 Modify"</formula>
    </cfRule>
  </conditionalFormatting>
  <conditionalFormatting sqref="C309">
    <cfRule type="cellIs" dxfId="33208" priority="923" stopIfTrue="1" operator="equal">
      <formula>"2 Add"</formula>
    </cfRule>
  </conditionalFormatting>
  <conditionalFormatting sqref="C309">
    <cfRule type="cellIs" dxfId="33207" priority="924" stopIfTrue="1" operator="equal">
      <formula>"3 Delete"</formula>
    </cfRule>
  </conditionalFormatting>
  <conditionalFormatting sqref="C310">
    <cfRule type="cellIs" dxfId="33206" priority="925" stopIfTrue="1" operator="equal">
      <formula>"1 Modify"</formula>
    </cfRule>
  </conditionalFormatting>
  <conditionalFormatting sqref="C310">
    <cfRule type="cellIs" dxfId="33205" priority="926" stopIfTrue="1" operator="equal">
      <formula>"2 Add"</formula>
    </cfRule>
  </conditionalFormatting>
  <conditionalFormatting sqref="C310">
    <cfRule type="cellIs" dxfId="33204" priority="927" stopIfTrue="1" operator="equal">
      <formula>"3 Delete"</formula>
    </cfRule>
  </conditionalFormatting>
  <conditionalFormatting sqref="C311">
    <cfRule type="cellIs" dxfId="33203" priority="928" stopIfTrue="1" operator="equal">
      <formula>"1 Modify"</formula>
    </cfRule>
  </conditionalFormatting>
  <conditionalFormatting sqref="C311">
    <cfRule type="cellIs" dxfId="33202" priority="929" stopIfTrue="1" operator="equal">
      <formula>"2 Add"</formula>
    </cfRule>
  </conditionalFormatting>
  <conditionalFormatting sqref="C311">
    <cfRule type="cellIs" dxfId="33201" priority="930" stopIfTrue="1" operator="equal">
      <formula>"3 Delete"</formula>
    </cfRule>
  </conditionalFormatting>
  <conditionalFormatting sqref="C312">
    <cfRule type="cellIs" dxfId="33200" priority="931" stopIfTrue="1" operator="equal">
      <formula>"1 Modify"</formula>
    </cfRule>
  </conditionalFormatting>
  <conditionalFormatting sqref="C312">
    <cfRule type="cellIs" dxfId="33199" priority="932" stopIfTrue="1" operator="equal">
      <formula>"2 Add"</formula>
    </cfRule>
  </conditionalFormatting>
  <conditionalFormatting sqref="C312">
    <cfRule type="cellIs" dxfId="33198" priority="933" stopIfTrue="1" operator="equal">
      <formula>"3 Delete"</formula>
    </cfRule>
  </conditionalFormatting>
  <conditionalFormatting sqref="C313">
    <cfRule type="cellIs" dxfId="33197" priority="934" stopIfTrue="1" operator="equal">
      <formula>"1 Modify"</formula>
    </cfRule>
  </conditionalFormatting>
  <conditionalFormatting sqref="C313">
    <cfRule type="cellIs" dxfId="33196" priority="935" stopIfTrue="1" operator="equal">
      <formula>"2 Add"</formula>
    </cfRule>
  </conditionalFormatting>
  <conditionalFormatting sqref="C313">
    <cfRule type="cellIs" dxfId="33195" priority="936" stopIfTrue="1" operator="equal">
      <formula>"3 Delete"</formula>
    </cfRule>
  </conditionalFormatting>
  <conditionalFormatting sqref="C314">
    <cfRule type="cellIs" dxfId="33194" priority="937" stopIfTrue="1" operator="equal">
      <formula>"1 Modify"</formula>
    </cfRule>
  </conditionalFormatting>
  <conditionalFormatting sqref="C314">
    <cfRule type="cellIs" dxfId="33193" priority="938" stopIfTrue="1" operator="equal">
      <formula>"2 Add"</formula>
    </cfRule>
  </conditionalFormatting>
  <conditionalFormatting sqref="C314">
    <cfRule type="cellIs" dxfId="33192" priority="939" stopIfTrue="1" operator="equal">
      <formula>"3 Delete"</formula>
    </cfRule>
  </conditionalFormatting>
  <conditionalFormatting sqref="C315">
    <cfRule type="cellIs" dxfId="33191" priority="940" stopIfTrue="1" operator="equal">
      <formula>"1 Modify"</formula>
    </cfRule>
  </conditionalFormatting>
  <conditionalFormatting sqref="C315">
    <cfRule type="cellIs" dxfId="33190" priority="941" stopIfTrue="1" operator="equal">
      <formula>"2 Add"</formula>
    </cfRule>
  </conditionalFormatting>
  <conditionalFormatting sqref="C315">
    <cfRule type="cellIs" dxfId="33189" priority="942" stopIfTrue="1" operator="equal">
      <formula>"3 Delete"</formula>
    </cfRule>
  </conditionalFormatting>
  <conditionalFormatting sqref="C316">
    <cfRule type="cellIs" dxfId="33188" priority="943" stopIfTrue="1" operator="equal">
      <formula>"1 Modify"</formula>
    </cfRule>
  </conditionalFormatting>
  <conditionalFormatting sqref="C316">
    <cfRule type="cellIs" dxfId="33187" priority="944" stopIfTrue="1" operator="equal">
      <formula>"2 Add"</formula>
    </cfRule>
  </conditionalFormatting>
  <conditionalFormatting sqref="C316">
    <cfRule type="cellIs" dxfId="33186" priority="945" stopIfTrue="1" operator="equal">
      <formula>"3 Delete"</formula>
    </cfRule>
  </conditionalFormatting>
  <conditionalFormatting sqref="C317">
    <cfRule type="cellIs" dxfId="33185" priority="946" stopIfTrue="1" operator="equal">
      <formula>"1 Modify"</formula>
    </cfRule>
  </conditionalFormatting>
  <conditionalFormatting sqref="C317">
    <cfRule type="cellIs" dxfId="33184" priority="947" stopIfTrue="1" operator="equal">
      <formula>"2 Add"</formula>
    </cfRule>
  </conditionalFormatting>
  <conditionalFormatting sqref="C317">
    <cfRule type="cellIs" dxfId="33183" priority="948" stopIfTrue="1" operator="equal">
      <formula>"3 Delete"</formula>
    </cfRule>
  </conditionalFormatting>
  <conditionalFormatting sqref="C318">
    <cfRule type="cellIs" dxfId="33182" priority="949" stopIfTrue="1" operator="equal">
      <formula>"1 Modify"</formula>
    </cfRule>
  </conditionalFormatting>
  <conditionalFormatting sqref="C318">
    <cfRule type="cellIs" dxfId="33181" priority="950" stopIfTrue="1" operator="equal">
      <formula>"2 Add"</formula>
    </cfRule>
  </conditionalFormatting>
  <conditionalFormatting sqref="C318">
    <cfRule type="cellIs" dxfId="33180" priority="951" stopIfTrue="1" operator="equal">
      <formula>"3 Delete"</formula>
    </cfRule>
  </conditionalFormatting>
  <conditionalFormatting sqref="C319">
    <cfRule type="cellIs" dxfId="33179" priority="952" stopIfTrue="1" operator="equal">
      <formula>"1 Modify"</formula>
    </cfRule>
  </conditionalFormatting>
  <conditionalFormatting sqref="C319">
    <cfRule type="cellIs" dxfId="33178" priority="953" stopIfTrue="1" operator="equal">
      <formula>"2 Add"</formula>
    </cfRule>
  </conditionalFormatting>
  <conditionalFormatting sqref="C319">
    <cfRule type="cellIs" dxfId="33177" priority="954" stopIfTrue="1" operator="equal">
      <formula>"3 Delete"</formula>
    </cfRule>
  </conditionalFormatting>
  <conditionalFormatting sqref="C320">
    <cfRule type="cellIs" dxfId="33176" priority="955" stopIfTrue="1" operator="equal">
      <formula>"1 Modify"</formula>
    </cfRule>
  </conditionalFormatting>
  <conditionalFormatting sqref="C320">
    <cfRule type="cellIs" dxfId="33175" priority="956" stopIfTrue="1" operator="equal">
      <formula>"2 Add"</formula>
    </cfRule>
  </conditionalFormatting>
  <conditionalFormatting sqref="C320">
    <cfRule type="cellIs" dxfId="33174" priority="957" stopIfTrue="1" operator="equal">
      <formula>"3 Delete"</formula>
    </cfRule>
  </conditionalFormatting>
  <conditionalFormatting sqref="C321">
    <cfRule type="cellIs" dxfId="33173" priority="958" stopIfTrue="1" operator="equal">
      <formula>"1 Modify"</formula>
    </cfRule>
  </conditionalFormatting>
  <conditionalFormatting sqref="C321">
    <cfRule type="cellIs" dxfId="33172" priority="959" stopIfTrue="1" operator="equal">
      <formula>"2 Add"</formula>
    </cfRule>
  </conditionalFormatting>
  <conditionalFormatting sqref="C321">
    <cfRule type="cellIs" dxfId="33171" priority="960" stopIfTrue="1" operator="equal">
      <formula>"3 Delete"</formula>
    </cfRule>
  </conditionalFormatting>
  <conditionalFormatting sqref="C322">
    <cfRule type="cellIs" dxfId="33170" priority="961" stopIfTrue="1" operator="equal">
      <formula>"1 Modify"</formula>
    </cfRule>
  </conditionalFormatting>
  <conditionalFormatting sqref="C322">
    <cfRule type="cellIs" dxfId="33169" priority="962" stopIfTrue="1" operator="equal">
      <formula>"2 Add"</formula>
    </cfRule>
  </conditionalFormatting>
  <conditionalFormatting sqref="C322">
    <cfRule type="cellIs" dxfId="33168" priority="963" stopIfTrue="1" operator="equal">
      <formula>"3 Delete"</formula>
    </cfRule>
  </conditionalFormatting>
  <conditionalFormatting sqref="C323">
    <cfRule type="cellIs" dxfId="33167" priority="964" stopIfTrue="1" operator="equal">
      <formula>"1 Modify"</formula>
    </cfRule>
  </conditionalFormatting>
  <conditionalFormatting sqref="C323">
    <cfRule type="cellIs" dxfId="33166" priority="965" stopIfTrue="1" operator="equal">
      <formula>"2 Add"</formula>
    </cfRule>
  </conditionalFormatting>
  <conditionalFormatting sqref="C323">
    <cfRule type="cellIs" dxfId="33165" priority="966" stopIfTrue="1" operator="equal">
      <formula>"3 Delete"</formula>
    </cfRule>
  </conditionalFormatting>
  <conditionalFormatting sqref="C324">
    <cfRule type="cellIs" dxfId="33164" priority="967" stopIfTrue="1" operator="equal">
      <formula>"1 Modify"</formula>
    </cfRule>
  </conditionalFormatting>
  <conditionalFormatting sqref="C324">
    <cfRule type="cellIs" dxfId="33163" priority="968" stopIfTrue="1" operator="equal">
      <formula>"2 Add"</formula>
    </cfRule>
  </conditionalFormatting>
  <conditionalFormatting sqref="C324">
    <cfRule type="cellIs" dxfId="33162" priority="969" stopIfTrue="1" operator="equal">
      <formula>"3 Delete"</formula>
    </cfRule>
  </conditionalFormatting>
  <conditionalFormatting sqref="C325">
    <cfRule type="cellIs" dxfId="33161" priority="970" stopIfTrue="1" operator="equal">
      <formula>"1 Modify"</formula>
    </cfRule>
  </conditionalFormatting>
  <conditionalFormatting sqref="C325">
    <cfRule type="cellIs" dxfId="33160" priority="971" stopIfTrue="1" operator="equal">
      <formula>"2 Add"</formula>
    </cfRule>
  </conditionalFormatting>
  <conditionalFormatting sqref="C325">
    <cfRule type="cellIs" dxfId="33159" priority="972" stopIfTrue="1" operator="equal">
      <formula>"3 Delete"</formula>
    </cfRule>
  </conditionalFormatting>
  <conditionalFormatting sqref="C326">
    <cfRule type="cellIs" dxfId="33158" priority="973" stopIfTrue="1" operator="equal">
      <formula>"1 Modify"</formula>
    </cfRule>
  </conditionalFormatting>
  <conditionalFormatting sqref="C326">
    <cfRule type="cellIs" dxfId="33157" priority="974" stopIfTrue="1" operator="equal">
      <formula>"2 Add"</formula>
    </cfRule>
  </conditionalFormatting>
  <conditionalFormatting sqref="C326">
    <cfRule type="cellIs" dxfId="33156" priority="975" stopIfTrue="1" operator="equal">
      <formula>"3 Delete"</formula>
    </cfRule>
  </conditionalFormatting>
  <conditionalFormatting sqref="C327">
    <cfRule type="cellIs" dxfId="33155" priority="976" stopIfTrue="1" operator="equal">
      <formula>"1 Modify"</formula>
    </cfRule>
  </conditionalFormatting>
  <conditionalFormatting sqref="C327">
    <cfRule type="cellIs" dxfId="33154" priority="977" stopIfTrue="1" operator="equal">
      <formula>"2 Add"</formula>
    </cfRule>
  </conditionalFormatting>
  <conditionalFormatting sqref="C327">
    <cfRule type="cellIs" dxfId="33153" priority="978" stopIfTrue="1" operator="equal">
      <formula>"3 Delete"</formula>
    </cfRule>
  </conditionalFormatting>
  <conditionalFormatting sqref="C328">
    <cfRule type="cellIs" dxfId="33152" priority="979" stopIfTrue="1" operator="equal">
      <formula>"1 Modify"</formula>
    </cfRule>
  </conditionalFormatting>
  <conditionalFormatting sqref="C328">
    <cfRule type="cellIs" dxfId="33151" priority="980" stopIfTrue="1" operator="equal">
      <formula>"2 Add"</formula>
    </cfRule>
  </conditionalFormatting>
  <conditionalFormatting sqref="C328">
    <cfRule type="cellIs" dxfId="33150" priority="981" stopIfTrue="1" operator="equal">
      <formula>"3 Delete"</formula>
    </cfRule>
  </conditionalFormatting>
  <conditionalFormatting sqref="C329">
    <cfRule type="cellIs" dxfId="33149" priority="982" stopIfTrue="1" operator="equal">
      <formula>"1 Modify"</formula>
    </cfRule>
  </conditionalFormatting>
  <conditionalFormatting sqref="C329">
    <cfRule type="cellIs" dxfId="33148" priority="983" stopIfTrue="1" operator="equal">
      <formula>"2 Add"</formula>
    </cfRule>
  </conditionalFormatting>
  <conditionalFormatting sqref="C329">
    <cfRule type="cellIs" dxfId="33147" priority="984" stopIfTrue="1" operator="equal">
      <formula>"3 Delete"</formula>
    </cfRule>
  </conditionalFormatting>
  <conditionalFormatting sqref="C330">
    <cfRule type="cellIs" dxfId="33146" priority="985" stopIfTrue="1" operator="equal">
      <formula>"1 Modify"</formula>
    </cfRule>
  </conditionalFormatting>
  <conditionalFormatting sqref="C330">
    <cfRule type="cellIs" dxfId="33145" priority="986" stopIfTrue="1" operator="equal">
      <formula>"2 Add"</formula>
    </cfRule>
  </conditionalFormatting>
  <conditionalFormatting sqref="C330">
    <cfRule type="cellIs" dxfId="33144" priority="987" stopIfTrue="1" operator="equal">
      <formula>"3 Delete"</formula>
    </cfRule>
  </conditionalFormatting>
  <conditionalFormatting sqref="C331">
    <cfRule type="cellIs" dxfId="33143" priority="988" stopIfTrue="1" operator="equal">
      <formula>"1 Modify"</formula>
    </cfRule>
  </conditionalFormatting>
  <conditionalFormatting sqref="C331">
    <cfRule type="cellIs" dxfId="33142" priority="989" stopIfTrue="1" operator="equal">
      <formula>"2 Add"</formula>
    </cfRule>
  </conditionalFormatting>
  <conditionalFormatting sqref="C331">
    <cfRule type="cellIs" dxfId="33141" priority="990" stopIfTrue="1" operator="equal">
      <formula>"3 Delete"</formula>
    </cfRule>
  </conditionalFormatting>
  <conditionalFormatting sqref="C332">
    <cfRule type="cellIs" dxfId="33140" priority="991" stopIfTrue="1" operator="equal">
      <formula>"1 Modify"</formula>
    </cfRule>
  </conditionalFormatting>
  <conditionalFormatting sqref="C332">
    <cfRule type="cellIs" dxfId="33139" priority="992" stopIfTrue="1" operator="equal">
      <formula>"2 Add"</formula>
    </cfRule>
  </conditionalFormatting>
  <conditionalFormatting sqref="C332">
    <cfRule type="cellIs" dxfId="33138" priority="993" stopIfTrue="1" operator="equal">
      <formula>"3 Delete"</formula>
    </cfRule>
  </conditionalFormatting>
  <conditionalFormatting sqref="C333">
    <cfRule type="cellIs" dxfId="33137" priority="994" stopIfTrue="1" operator="equal">
      <formula>"1 Modify"</formula>
    </cfRule>
  </conditionalFormatting>
  <conditionalFormatting sqref="C333">
    <cfRule type="cellIs" dxfId="33136" priority="995" stopIfTrue="1" operator="equal">
      <formula>"2 Add"</formula>
    </cfRule>
  </conditionalFormatting>
  <conditionalFormatting sqref="C333">
    <cfRule type="cellIs" dxfId="33135" priority="996" stopIfTrue="1" operator="equal">
      <formula>"3 Delete"</formula>
    </cfRule>
  </conditionalFormatting>
  <conditionalFormatting sqref="C334">
    <cfRule type="cellIs" dxfId="33134" priority="997" stopIfTrue="1" operator="equal">
      <formula>"1 Modify"</formula>
    </cfRule>
  </conditionalFormatting>
  <conditionalFormatting sqref="C334">
    <cfRule type="cellIs" dxfId="33133" priority="998" stopIfTrue="1" operator="equal">
      <formula>"2 Add"</formula>
    </cfRule>
  </conditionalFormatting>
  <conditionalFormatting sqref="C334">
    <cfRule type="cellIs" dxfId="33132" priority="999" stopIfTrue="1" operator="equal">
      <formula>"3 Delete"</formula>
    </cfRule>
  </conditionalFormatting>
  <conditionalFormatting sqref="C335">
    <cfRule type="cellIs" dxfId="33131" priority="1000" stopIfTrue="1" operator="equal">
      <formula>"1 Modify"</formula>
    </cfRule>
  </conditionalFormatting>
  <conditionalFormatting sqref="C335">
    <cfRule type="cellIs" dxfId="33130" priority="1001" stopIfTrue="1" operator="equal">
      <formula>"2 Add"</formula>
    </cfRule>
  </conditionalFormatting>
  <conditionalFormatting sqref="C335">
    <cfRule type="cellIs" dxfId="33129" priority="1002" stopIfTrue="1" operator="equal">
      <formula>"3 Delete"</formula>
    </cfRule>
  </conditionalFormatting>
  <conditionalFormatting sqref="C336">
    <cfRule type="cellIs" dxfId="33128" priority="1003" stopIfTrue="1" operator="equal">
      <formula>"1 Modify"</formula>
    </cfRule>
  </conditionalFormatting>
  <conditionalFormatting sqref="C336">
    <cfRule type="cellIs" dxfId="33127" priority="1004" stopIfTrue="1" operator="equal">
      <formula>"2 Add"</formula>
    </cfRule>
  </conditionalFormatting>
  <conditionalFormatting sqref="C336">
    <cfRule type="cellIs" dxfId="33126" priority="1005" stopIfTrue="1" operator="equal">
      <formula>"3 Delete"</formula>
    </cfRule>
  </conditionalFormatting>
  <conditionalFormatting sqref="C337">
    <cfRule type="cellIs" dxfId="33125" priority="1006" stopIfTrue="1" operator="equal">
      <formula>"1 Modify"</formula>
    </cfRule>
  </conditionalFormatting>
  <conditionalFormatting sqref="C337">
    <cfRule type="cellIs" dxfId="33124" priority="1007" stopIfTrue="1" operator="equal">
      <formula>"2 Add"</formula>
    </cfRule>
  </conditionalFormatting>
  <conditionalFormatting sqref="C337">
    <cfRule type="cellIs" dxfId="33123" priority="1008" stopIfTrue="1" operator="equal">
      <formula>"3 Delete"</formula>
    </cfRule>
  </conditionalFormatting>
  <conditionalFormatting sqref="C338">
    <cfRule type="cellIs" dxfId="33122" priority="1009" stopIfTrue="1" operator="equal">
      <formula>"1 Modify"</formula>
    </cfRule>
  </conditionalFormatting>
  <conditionalFormatting sqref="C338">
    <cfRule type="cellIs" dxfId="33121" priority="1010" stopIfTrue="1" operator="equal">
      <formula>"2 Add"</formula>
    </cfRule>
  </conditionalFormatting>
  <conditionalFormatting sqref="C338">
    <cfRule type="cellIs" dxfId="33120" priority="1011" stopIfTrue="1" operator="equal">
      <formula>"3 Delete"</formula>
    </cfRule>
  </conditionalFormatting>
  <conditionalFormatting sqref="C339">
    <cfRule type="cellIs" dxfId="33119" priority="1012" stopIfTrue="1" operator="equal">
      <formula>"1 Modify"</formula>
    </cfRule>
  </conditionalFormatting>
  <conditionalFormatting sqref="C339">
    <cfRule type="cellIs" dxfId="33118" priority="1013" stopIfTrue="1" operator="equal">
      <formula>"2 Add"</formula>
    </cfRule>
  </conditionalFormatting>
  <conditionalFormatting sqref="C339">
    <cfRule type="cellIs" dxfId="33117" priority="1014" stopIfTrue="1" operator="equal">
      <formula>"3 Delete"</formula>
    </cfRule>
  </conditionalFormatting>
  <conditionalFormatting sqref="C340">
    <cfRule type="cellIs" dxfId="33116" priority="1015" stopIfTrue="1" operator="equal">
      <formula>"1 Modify"</formula>
    </cfRule>
  </conditionalFormatting>
  <conditionalFormatting sqref="C340">
    <cfRule type="cellIs" dxfId="33115" priority="1016" stopIfTrue="1" operator="equal">
      <formula>"2 Add"</formula>
    </cfRule>
  </conditionalFormatting>
  <conditionalFormatting sqref="C340">
    <cfRule type="cellIs" dxfId="33114" priority="1017" stopIfTrue="1" operator="equal">
      <formula>"3 Delete"</formula>
    </cfRule>
  </conditionalFormatting>
  <conditionalFormatting sqref="C341">
    <cfRule type="cellIs" dxfId="33113" priority="1018" stopIfTrue="1" operator="equal">
      <formula>"1 Modify"</formula>
    </cfRule>
  </conditionalFormatting>
  <conditionalFormatting sqref="C341">
    <cfRule type="cellIs" dxfId="33112" priority="1019" stopIfTrue="1" operator="equal">
      <formula>"2 Add"</formula>
    </cfRule>
  </conditionalFormatting>
  <conditionalFormatting sqref="C341">
    <cfRule type="cellIs" dxfId="33111" priority="1020" stopIfTrue="1" operator="equal">
      <formula>"3 Delete"</formula>
    </cfRule>
  </conditionalFormatting>
  <conditionalFormatting sqref="C342">
    <cfRule type="cellIs" dxfId="33110" priority="1021" stopIfTrue="1" operator="equal">
      <formula>"1 Modify"</formula>
    </cfRule>
  </conditionalFormatting>
  <conditionalFormatting sqref="C342">
    <cfRule type="cellIs" dxfId="33109" priority="1022" stopIfTrue="1" operator="equal">
      <formula>"2 Add"</formula>
    </cfRule>
  </conditionalFormatting>
  <conditionalFormatting sqref="C342">
    <cfRule type="cellIs" dxfId="33108" priority="1023" stopIfTrue="1" operator="equal">
      <formula>"3 Delete"</formula>
    </cfRule>
  </conditionalFormatting>
  <conditionalFormatting sqref="C343">
    <cfRule type="cellIs" dxfId="33107" priority="1024" stopIfTrue="1" operator="equal">
      <formula>"1 Modify"</formula>
    </cfRule>
  </conditionalFormatting>
  <conditionalFormatting sqref="C343">
    <cfRule type="cellIs" dxfId="33106" priority="1025" stopIfTrue="1" operator="equal">
      <formula>"2 Add"</formula>
    </cfRule>
  </conditionalFormatting>
  <conditionalFormatting sqref="C343">
    <cfRule type="cellIs" dxfId="33105" priority="1026" stopIfTrue="1" operator="equal">
      <formula>"3 Delete"</formula>
    </cfRule>
  </conditionalFormatting>
  <conditionalFormatting sqref="C344">
    <cfRule type="cellIs" dxfId="33104" priority="1027" stopIfTrue="1" operator="equal">
      <formula>"1 Modify"</formula>
    </cfRule>
  </conditionalFormatting>
  <conditionalFormatting sqref="C344">
    <cfRule type="cellIs" dxfId="33103" priority="1028" stopIfTrue="1" operator="equal">
      <formula>"2 Add"</formula>
    </cfRule>
  </conditionalFormatting>
  <conditionalFormatting sqref="C344">
    <cfRule type="cellIs" dxfId="33102" priority="1029" stopIfTrue="1" operator="equal">
      <formula>"3 Delete"</formula>
    </cfRule>
  </conditionalFormatting>
  <conditionalFormatting sqref="C345">
    <cfRule type="cellIs" dxfId="33101" priority="1030" stopIfTrue="1" operator="equal">
      <formula>"1 Modify"</formula>
    </cfRule>
  </conditionalFormatting>
  <conditionalFormatting sqref="C345">
    <cfRule type="cellIs" dxfId="33100" priority="1031" stopIfTrue="1" operator="equal">
      <formula>"2 Add"</formula>
    </cfRule>
  </conditionalFormatting>
  <conditionalFormatting sqref="C345">
    <cfRule type="cellIs" dxfId="33099" priority="1032" stopIfTrue="1" operator="equal">
      <formula>"3 Delete"</formula>
    </cfRule>
  </conditionalFormatting>
  <conditionalFormatting sqref="C346">
    <cfRule type="cellIs" dxfId="33098" priority="1033" stopIfTrue="1" operator="equal">
      <formula>"1 Modify"</formula>
    </cfRule>
  </conditionalFormatting>
  <conditionalFormatting sqref="C346">
    <cfRule type="cellIs" dxfId="33097" priority="1034" stopIfTrue="1" operator="equal">
      <formula>"2 Add"</formula>
    </cfRule>
  </conditionalFormatting>
  <conditionalFormatting sqref="C346">
    <cfRule type="cellIs" dxfId="33096" priority="1035" stopIfTrue="1" operator="equal">
      <formula>"3 Delete"</formula>
    </cfRule>
  </conditionalFormatting>
  <conditionalFormatting sqref="C347">
    <cfRule type="cellIs" dxfId="33095" priority="1036" stopIfTrue="1" operator="equal">
      <formula>"1 Modify"</formula>
    </cfRule>
  </conditionalFormatting>
  <conditionalFormatting sqref="C347">
    <cfRule type="cellIs" dxfId="33094" priority="1037" stopIfTrue="1" operator="equal">
      <formula>"2 Add"</formula>
    </cfRule>
  </conditionalFormatting>
  <conditionalFormatting sqref="C347">
    <cfRule type="cellIs" dxfId="33093" priority="1038" stopIfTrue="1" operator="equal">
      <formula>"3 Delete"</formula>
    </cfRule>
  </conditionalFormatting>
  <conditionalFormatting sqref="C348">
    <cfRule type="cellIs" dxfId="33092" priority="1039" stopIfTrue="1" operator="equal">
      <formula>"1 Modify"</formula>
    </cfRule>
  </conditionalFormatting>
  <conditionalFormatting sqref="C348">
    <cfRule type="cellIs" dxfId="33091" priority="1040" stopIfTrue="1" operator="equal">
      <formula>"2 Add"</formula>
    </cfRule>
  </conditionalFormatting>
  <conditionalFormatting sqref="C348">
    <cfRule type="cellIs" dxfId="33090" priority="1041" stopIfTrue="1" operator="equal">
      <formula>"3 Delete"</formula>
    </cfRule>
  </conditionalFormatting>
  <conditionalFormatting sqref="C349">
    <cfRule type="cellIs" dxfId="33089" priority="1042" stopIfTrue="1" operator="equal">
      <formula>"1 Modify"</formula>
    </cfRule>
  </conditionalFormatting>
  <conditionalFormatting sqref="C349">
    <cfRule type="cellIs" dxfId="33088" priority="1043" stopIfTrue="1" operator="equal">
      <formula>"2 Add"</formula>
    </cfRule>
  </conditionalFormatting>
  <conditionalFormatting sqref="C349">
    <cfRule type="cellIs" dxfId="33087" priority="1044" stopIfTrue="1" operator="equal">
      <formula>"3 Delete"</formula>
    </cfRule>
  </conditionalFormatting>
  <conditionalFormatting sqref="C350">
    <cfRule type="cellIs" dxfId="33086" priority="1045" stopIfTrue="1" operator="equal">
      <formula>"1 Modify"</formula>
    </cfRule>
  </conditionalFormatting>
  <conditionalFormatting sqref="C350">
    <cfRule type="cellIs" dxfId="33085" priority="1046" stopIfTrue="1" operator="equal">
      <formula>"2 Add"</formula>
    </cfRule>
  </conditionalFormatting>
  <conditionalFormatting sqref="C350">
    <cfRule type="cellIs" dxfId="33084" priority="1047" stopIfTrue="1" operator="equal">
      <formula>"3 Delete"</formula>
    </cfRule>
  </conditionalFormatting>
  <conditionalFormatting sqref="C351">
    <cfRule type="cellIs" dxfId="33083" priority="1048" stopIfTrue="1" operator="equal">
      <formula>"1 Modify"</formula>
    </cfRule>
  </conditionalFormatting>
  <conditionalFormatting sqref="C351">
    <cfRule type="cellIs" dxfId="33082" priority="1049" stopIfTrue="1" operator="equal">
      <formula>"2 Add"</formula>
    </cfRule>
  </conditionalFormatting>
  <conditionalFormatting sqref="C351">
    <cfRule type="cellIs" dxfId="33081" priority="1050" stopIfTrue="1" operator="equal">
      <formula>"3 Delete"</formula>
    </cfRule>
  </conditionalFormatting>
  <conditionalFormatting sqref="C352">
    <cfRule type="cellIs" dxfId="33080" priority="1051" stopIfTrue="1" operator="equal">
      <formula>"1 Modify"</formula>
    </cfRule>
  </conditionalFormatting>
  <conditionalFormatting sqref="C352">
    <cfRule type="cellIs" dxfId="33079" priority="1052" stopIfTrue="1" operator="equal">
      <formula>"2 Add"</formula>
    </cfRule>
  </conditionalFormatting>
  <conditionalFormatting sqref="C352">
    <cfRule type="cellIs" dxfId="33078" priority="1053" stopIfTrue="1" operator="equal">
      <formula>"3 Delete"</formula>
    </cfRule>
  </conditionalFormatting>
  <conditionalFormatting sqref="C353">
    <cfRule type="cellIs" dxfId="33077" priority="1054" stopIfTrue="1" operator="equal">
      <formula>"1 Modify"</formula>
    </cfRule>
  </conditionalFormatting>
  <conditionalFormatting sqref="C353">
    <cfRule type="cellIs" dxfId="33076" priority="1055" stopIfTrue="1" operator="equal">
      <formula>"2 Add"</formula>
    </cfRule>
  </conditionalFormatting>
  <conditionalFormatting sqref="C353">
    <cfRule type="cellIs" dxfId="33075" priority="1056" stopIfTrue="1" operator="equal">
      <formula>"3 Delete"</formula>
    </cfRule>
  </conditionalFormatting>
  <conditionalFormatting sqref="C354">
    <cfRule type="cellIs" dxfId="33074" priority="1057" stopIfTrue="1" operator="equal">
      <formula>"1 Modify"</formula>
    </cfRule>
  </conditionalFormatting>
  <conditionalFormatting sqref="C354">
    <cfRule type="cellIs" dxfId="33073" priority="1058" stopIfTrue="1" operator="equal">
      <formula>"2 Add"</formula>
    </cfRule>
  </conditionalFormatting>
  <conditionalFormatting sqref="C354">
    <cfRule type="cellIs" dxfId="33072" priority="1059" stopIfTrue="1" operator="equal">
      <formula>"3 Delete"</formula>
    </cfRule>
  </conditionalFormatting>
  <conditionalFormatting sqref="C355">
    <cfRule type="cellIs" dxfId="33071" priority="1060" stopIfTrue="1" operator="equal">
      <formula>"1 Modify"</formula>
    </cfRule>
  </conditionalFormatting>
  <conditionalFormatting sqref="C355">
    <cfRule type="cellIs" dxfId="33070" priority="1061" stopIfTrue="1" operator="equal">
      <formula>"2 Add"</formula>
    </cfRule>
  </conditionalFormatting>
  <conditionalFormatting sqref="C355">
    <cfRule type="cellIs" dxfId="33069" priority="1062" stopIfTrue="1" operator="equal">
      <formula>"3 Delete"</formula>
    </cfRule>
  </conditionalFormatting>
  <conditionalFormatting sqref="C356">
    <cfRule type="cellIs" dxfId="33068" priority="1063" stopIfTrue="1" operator="equal">
      <formula>"1 Modify"</formula>
    </cfRule>
  </conditionalFormatting>
  <conditionalFormatting sqref="C356">
    <cfRule type="cellIs" dxfId="33067" priority="1064" stopIfTrue="1" operator="equal">
      <formula>"2 Add"</formula>
    </cfRule>
  </conditionalFormatting>
  <conditionalFormatting sqref="C356">
    <cfRule type="cellIs" dxfId="33066" priority="1065" stopIfTrue="1" operator="equal">
      <formula>"3 Delete"</formula>
    </cfRule>
  </conditionalFormatting>
  <conditionalFormatting sqref="C357">
    <cfRule type="cellIs" dxfId="33065" priority="1066" stopIfTrue="1" operator="equal">
      <formula>"1 Modify"</formula>
    </cfRule>
  </conditionalFormatting>
  <conditionalFormatting sqref="C357">
    <cfRule type="cellIs" dxfId="33064" priority="1067" stopIfTrue="1" operator="equal">
      <formula>"2 Add"</formula>
    </cfRule>
  </conditionalFormatting>
  <conditionalFormatting sqref="C357">
    <cfRule type="cellIs" dxfId="33063" priority="1068" stopIfTrue="1" operator="equal">
      <formula>"3 Delete"</formula>
    </cfRule>
  </conditionalFormatting>
  <conditionalFormatting sqref="C358">
    <cfRule type="cellIs" dxfId="33062" priority="1069" stopIfTrue="1" operator="equal">
      <formula>"1 Modify"</formula>
    </cfRule>
  </conditionalFormatting>
  <conditionalFormatting sqref="C358">
    <cfRule type="cellIs" dxfId="33061" priority="1070" stopIfTrue="1" operator="equal">
      <formula>"2 Add"</formula>
    </cfRule>
  </conditionalFormatting>
  <conditionalFormatting sqref="C358">
    <cfRule type="cellIs" dxfId="33060" priority="1071" stopIfTrue="1" operator="equal">
      <formula>"3 Delete"</formula>
    </cfRule>
  </conditionalFormatting>
  <conditionalFormatting sqref="C359">
    <cfRule type="cellIs" dxfId="33059" priority="1072" stopIfTrue="1" operator="equal">
      <formula>"1 Modify"</formula>
    </cfRule>
  </conditionalFormatting>
  <conditionalFormatting sqref="C359">
    <cfRule type="cellIs" dxfId="33058" priority="1073" stopIfTrue="1" operator="equal">
      <formula>"2 Add"</formula>
    </cfRule>
  </conditionalFormatting>
  <conditionalFormatting sqref="C359">
    <cfRule type="cellIs" dxfId="33057" priority="1074" stopIfTrue="1" operator="equal">
      <formula>"3 Delete"</formula>
    </cfRule>
  </conditionalFormatting>
  <conditionalFormatting sqref="C360">
    <cfRule type="cellIs" dxfId="33056" priority="1075" stopIfTrue="1" operator="equal">
      <formula>"1 Modify"</formula>
    </cfRule>
  </conditionalFormatting>
  <conditionalFormatting sqref="C360">
    <cfRule type="cellIs" dxfId="33055" priority="1076" stopIfTrue="1" operator="equal">
      <formula>"2 Add"</formula>
    </cfRule>
  </conditionalFormatting>
  <conditionalFormatting sqref="C360">
    <cfRule type="cellIs" dxfId="33054" priority="1077" stopIfTrue="1" operator="equal">
      <formula>"3 Delete"</formula>
    </cfRule>
  </conditionalFormatting>
  <conditionalFormatting sqref="C361">
    <cfRule type="cellIs" dxfId="33053" priority="1078" stopIfTrue="1" operator="equal">
      <formula>"1 Modify"</formula>
    </cfRule>
  </conditionalFormatting>
  <conditionalFormatting sqref="C361">
    <cfRule type="cellIs" dxfId="33052" priority="1079" stopIfTrue="1" operator="equal">
      <formula>"2 Add"</formula>
    </cfRule>
  </conditionalFormatting>
  <conditionalFormatting sqref="C361">
    <cfRule type="cellIs" dxfId="33051" priority="1080" stopIfTrue="1" operator="equal">
      <formula>"3 Delete"</formula>
    </cfRule>
  </conditionalFormatting>
  <conditionalFormatting sqref="C362">
    <cfRule type="cellIs" dxfId="33050" priority="1081" stopIfTrue="1" operator="equal">
      <formula>"1 Modify"</formula>
    </cfRule>
  </conditionalFormatting>
  <conditionalFormatting sqref="C362">
    <cfRule type="cellIs" dxfId="33049" priority="1082" stopIfTrue="1" operator="equal">
      <formula>"2 Add"</formula>
    </cfRule>
  </conditionalFormatting>
  <conditionalFormatting sqref="C362">
    <cfRule type="cellIs" dxfId="33048" priority="1083" stopIfTrue="1" operator="equal">
      <formula>"3 Delete"</formula>
    </cfRule>
  </conditionalFormatting>
  <conditionalFormatting sqref="C363">
    <cfRule type="cellIs" dxfId="33047" priority="1084" stopIfTrue="1" operator="equal">
      <formula>"1 Modify"</formula>
    </cfRule>
  </conditionalFormatting>
  <conditionalFormatting sqref="C363">
    <cfRule type="cellIs" dxfId="33046" priority="1085" stopIfTrue="1" operator="equal">
      <formula>"2 Add"</formula>
    </cfRule>
  </conditionalFormatting>
  <conditionalFormatting sqref="C363">
    <cfRule type="cellIs" dxfId="33045" priority="1086" stopIfTrue="1" operator="equal">
      <formula>"3 Delete"</formula>
    </cfRule>
  </conditionalFormatting>
  <conditionalFormatting sqref="C364">
    <cfRule type="cellIs" dxfId="33044" priority="1087" stopIfTrue="1" operator="equal">
      <formula>"1 Modify"</formula>
    </cfRule>
  </conditionalFormatting>
  <conditionalFormatting sqref="C364">
    <cfRule type="cellIs" dxfId="33043" priority="1088" stopIfTrue="1" operator="equal">
      <formula>"2 Add"</formula>
    </cfRule>
  </conditionalFormatting>
  <conditionalFormatting sqref="C364">
    <cfRule type="cellIs" dxfId="33042" priority="1089" stopIfTrue="1" operator="equal">
      <formula>"3 Delete"</formula>
    </cfRule>
  </conditionalFormatting>
  <conditionalFormatting sqref="C365">
    <cfRule type="cellIs" dxfId="33041" priority="1090" stopIfTrue="1" operator="equal">
      <formula>"1 Modify"</formula>
    </cfRule>
  </conditionalFormatting>
  <conditionalFormatting sqref="C365">
    <cfRule type="cellIs" dxfId="33040" priority="1091" stopIfTrue="1" operator="equal">
      <formula>"2 Add"</formula>
    </cfRule>
  </conditionalFormatting>
  <conditionalFormatting sqref="C365">
    <cfRule type="cellIs" dxfId="33039" priority="1092" stopIfTrue="1" operator="equal">
      <formula>"3 Delete"</formula>
    </cfRule>
  </conditionalFormatting>
  <conditionalFormatting sqref="C366">
    <cfRule type="cellIs" dxfId="33038" priority="1093" stopIfTrue="1" operator="equal">
      <formula>"1 Modify"</formula>
    </cfRule>
  </conditionalFormatting>
  <conditionalFormatting sqref="C366">
    <cfRule type="cellIs" dxfId="33037" priority="1094" stopIfTrue="1" operator="equal">
      <formula>"2 Add"</formula>
    </cfRule>
  </conditionalFormatting>
  <conditionalFormatting sqref="C366">
    <cfRule type="cellIs" dxfId="33036" priority="1095" stopIfTrue="1" operator="equal">
      <formula>"3 Delete"</formula>
    </cfRule>
  </conditionalFormatting>
  <conditionalFormatting sqref="C367">
    <cfRule type="cellIs" dxfId="33035" priority="1096" stopIfTrue="1" operator="equal">
      <formula>"1 Modify"</formula>
    </cfRule>
  </conditionalFormatting>
  <conditionalFormatting sqref="C367">
    <cfRule type="cellIs" dxfId="33034" priority="1097" stopIfTrue="1" operator="equal">
      <formula>"2 Add"</formula>
    </cfRule>
  </conditionalFormatting>
  <conditionalFormatting sqref="C367">
    <cfRule type="cellIs" dxfId="33033" priority="1098" stopIfTrue="1" operator="equal">
      <formula>"3 Delete"</formula>
    </cfRule>
  </conditionalFormatting>
  <conditionalFormatting sqref="C368">
    <cfRule type="cellIs" dxfId="33032" priority="1099" stopIfTrue="1" operator="equal">
      <formula>"1 Modify"</formula>
    </cfRule>
  </conditionalFormatting>
  <conditionalFormatting sqref="C368">
    <cfRule type="cellIs" dxfId="33031" priority="1100" stopIfTrue="1" operator="equal">
      <formula>"2 Add"</formula>
    </cfRule>
  </conditionalFormatting>
  <conditionalFormatting sqref="C368">
    <cfRule type="cellIs" dxfId="33030" priority="1101" stopIfTrue="1" operator="equal">
      <formula>"3 Delete"</formula>
    </cfRule>
  </conditionalFormatting>
  <conditionalFormatting sqref="C369">
    <cfRule type="cellIs" dxfId="33029" priority="1102" stopIfTrue="1" operator="equal">
      <formula>"1 Modify"</formula>
    </cfRule>
  </conditionalFormatting>
  <conditionalFormatting sqref="C369">
    <cfRule type="cellIs" dxfId="33028" priority="1103" stopIfTrue="1" operator="equal">
      <formula>"2 Add"</formula>
    </cfRule>
  </conditionalFormatting>
  <conditionalFormatting sqref="C369">
    <cfRule type="cellIs" dxfId="33027" priority="1104" stopIfTrue="1" operator="equal">
      <formula>"3 Delete"</formula>
    </cfRule>
  </conditionalFormatting>
  <conditionalFormatting sqref="C370">
    <cfRule type="cellIs" dxfId="33026" priority="1105" stopIfTrue="1" operator="equal">
      <formula>"1 Modify"</formula>
    </cfRule>
  </conditionalFormatting>
  <conditionalFormatting sqref="C370">
    <cfRule type="cellIs" dxfId="33025" priority="1106" stopIfTrue="1" operator="equal">
      <formula>"2 Add"</formula>
    </cfRule>
  </conditionalFormatting>
  <conditionalFormatting sqref="C370">
    <cfRule type="cellIs" dxfId="33024" priority="1107" stopIfTrue="1" operator="equal">
      <formula>"3 Delete"</formula>
    </cfRule>
  </conditionalFormatting>
  <conditionalFormatting sqref="C371">
    <cfRule type="cellIs" dxfId="33023" priority="1108" stopIfTrue="1" operator="equal">
      <formula>"1 Modify"</formula>
    </cfRule>
  </conditionalFormatting>
  <conditionalFormatting sqref="C371">
    <cfRule type="cellIs" dxfId="33022" priority="1109" stopIfTrue="1" operator="equal">
      <formula>"2 Add"</formula>
    </cfRule>
  </conditionalFormatting>
  <conditionalFormatting sqref="C371">
    <cfRule type="cellIs" dxfId="33021" priority="1110" stopIfTrue="1" operator="equal">
      <formula>"3 Delete"</formula>
    </cfRule>
  </conditionalFormatting>
  <conditionalFormatting sqref="C372">
    <cfRule type="cellIs" dxfId="33020" priority="1111" stopIfTrue="1" operator="equal">
      <formula>"1 Modify"</formula>
    </cfRule>
  </conditionalFormatting>
  <conditionalFormatting sqref="C372">
    <cfRule type="cellIs" dxfId="33019" priority="1112" stopIfTrue="1" operator="equal">
      <formula>"2 Add"</formula>
    </cfRule>
  </conditionalFormatting>
  <conditionalFormatting sqref="C372">
    <cfRule type="cellIs" dxfId="33018" priority="1113" stopIfTrue="1" operator="equal">
      <formula>"3 Delete"</formula>
    </cfRule>
  </conditionalFormatting>
  <conditionalFormatting sqref="C373">
    <cfRule type="cellIs" dxfId="33017" priority="1114" stopIfTrue="1" operator="equal">
      <formula>"1 Modify"</formula>
    </cfRule>
  </conditionalFormatting>
  <conditionalFormatting sqref="C373">
    <cfRule type="cellIs" dxfId="33016" priority="1115" stopIfTrue="1" operator="equal">
      <formula>"2 Add"</formula>
    </cfRule>
  </conditionalFormatting>
  <conditionalFormatting sqref="C373">
    <cfRule type="cellIs" dxfId="33015" priority="1116" stopIfTrue="1" operator="equal">
      <formula>"3 Delete"</formula>
    </cfRule>
  </conditionalFormatting>
  <conditionalFormatting sqref="C374">
    <cfRule type="cellIs" dxfId="33014" priority="1117" stopIfTrue="1" operator="equal">
      <formula>"1 Modify"</formula>
    </cfRule>
  </conditionalFormatting>
  <conditionalFormatting sqref="C374">
    <cfRule type="cellIs" dxfId="33013" priority="1118" stopIfTrue="1" operator="equal">
      <formula>"2 Add"</formula>
    </cfRule>
  </conditionalFormatting>
  <conditionalFormatting sqref="C374">
    <cfRule type="cellIs" dxfId="33012" priority="1119" stopIfTrue="1" operator="equal">
      <formula>"3 Delete"</formula>
    </cfRule>
  </conditionalFormatting>
  <conditionalFormatting sqref="C375">
    <cfRule type="cellIs" dxfId="33011" priority="1120" stopIfTrue="1" operator="equal">
      <formula>"1 Modify"</formula>
    </cfRule>
  </conditionalFormatting>
  <conditionalFormatting sqref="C375">
    <cfRule type="cellIs" dxfId="33010" priority="1121" stopIfTrue="1" operator="equal">
      <formula>"2 Add"</formula>
    </cfRule>
  </conditionalFormatting>
  <conditionalFormatting sqref="C375">
    <cfRule type="cellIs" dxfId="33009" priority="1122" stopIfTrue="1" operator="equal">
      <formula>"3 Delete"</formula>
    </cfRule>
  </conditionalFormatting>
  <conditionalFormatting sqref="C376">
    <cfRule type="cellIs" dxfId="33008" priority="1123" stopIfTrue="1" operator="equal">
      <formula>"1 Modify"</formula>
    </cfRule>
  </conditionalFormatting>
  <conditionalFormatting sqref="C376">
    <cfRule type="cellIs" dxfId="33007" priority="1124" stopIfTrue="1" operator="equal">
      <formula>"2 Add"</formula>
    </cfRule>
  </conditionalFormatting>
  <conditionalFormatting sqref="C376">
    <cfRule type="cellIs" dxfId="33006" priority="1125" stopIfTrue="1" operator="equal">
      <formula>"3 Delete"</formula>
    </cfRule>
  </conditionalFormatting>
  <conditionalFormatting sqref="C377">
    <cfRule type="cellIs" dxfId="33005" priority="1126" stopIfTrue="1" operator="equal">
      <formula>"1 Modify"</formula>
    </cfRule>
  </conditionalFormatting>
  <conditionalFormatting sqref="C377">
    <cfRule type="cellIs" dxfId="33004" priority="1127" stopIfTrue="1" operator="equal">
      <formula>"2 Add"</formula>
    </cfRule>
  </conditionalFormatting>
  <conditionalFormatting sqref="C377">
    <cfRule type="cellIs" dxfId="33003" priority="1128" stopIfTrue="1" operator="equal">
      <formula>"3 Delete"</formula>
    </cfRule>
  </conditionalFormatting>
  <conditionalFormatting sqref="C378">
    <cfRule type="cellIs" dxfId="33002" priority="1129" stopIfTrue="1" operator="equal">
      <formula>"1 Modify"</formula>
    </cfRule>
  </conditionalFormatting>
  <conditionalFormatting sqref="C378">
    <cfRule type="cellIs" dxfId="33001" priority="1130" stopIfTrue="1" operator="equal">
      <formula>"2 Add"</formula>
    </cfRule>
  </conditionalFormatting>
  <conditionalFormatting sqref="C378">
    <cfRule type="cellIs" dxfId="33000" priority="1131" stopIfTrue="1" operator="equal">
      <formula>"3 Delete"</formula>
    </cfRule>
  </conditionalFormatting>
  <conditionalFormatting sqref="C379">
    <cfRule type="cellIs" dxfId="32999" priority="1132" stopIfTrue="1" operator="equal">
      <formula>"1 Modify"</formula>
    </cfRule>
  </conditionalFormatting>
  <conditionalFormatting sqref="C379">
    <cfRule type="cellIs" dxfId="32998" priority="1133" stopIfTrue="1" operator="equal">
      <formula>"2 Add"</formula>
    </cfRule>
  </conditionalFormatting>
  <conditionalFormatting sqref="C379">
    <cfRule type="cellIs" dxfId="32997" priority="1134" stopIfTrue="1" operator="equal">
      <formula>"3 Delete"</formula>
    </cfRule>
  </conditionalFormatting>
  <conditionalFormatting sqref="C380">
    <cfRule type="cellIs" dxfId="32996" priority="1135" stopIfTrue="1" operator="equal">
      <formula>"1 Modify"</formula>
    </cfRule>
  </conditionalFormatting>
  <conditionalFormatting sqref="C380">
    <cfRule type="cellIs" dxfId="32995" priority="1136" stopIfTrue="1" operator="equal">
      <formula>"2 Add"</formula>
    </cfRule>
  </conditionalFormatting>
  <conditionalFormatting sqref="C380">
    <cfRule type="cellIs" dxfId="32994" priority="1137" stopIfTrue="1" operator="equal">
      <formula>"3 Delete"</formula>
    </cfRule>
  </conditionalFormatting>
  <conditionalFormatting sqref="C381">
    <cfRule type="cellIs" dxfId="32993" priority="1138" stopIfTrue="1" operator="equal">
      <formula>"1 Modify"</formula>
    </cfRule>
  </conditionalFormatting>
  <conditionalFormatting sqref="C381">
    <cfRule type="cellIs" dxfId="32992" priority="1139" stopIfTrue="1" operator="equal">
      <formula>"2 Add"</formula>
    </cfRule>
  </conditionalFormatting>
  <conditionalFormatting sqref="C381">
    <cfRule type="cellIs" dxfId="32991" priority="1140" stopIfTrue="1" operator="equal">
      <formula>"3 Delete"</formula>
    </cfRule>
  </conditionalFormatting>
  <conditionalFormatting sqref="C382">
    <cfRule type="cellIs" dxfId="32990" priority="1141" stopIfTrue="1" operator="equal">
      <formula>"1 Modify"</formula>
    </cfRule>
  </conditionalFormatting>
  <conditionalFormatting sqref="C382">
    <cfRule type="cellIs" dxfId="32989" priority="1142" stopIfTrue="1" operator="equal">
      <formula>"2 Add"</formula>
    </cfRule>
  </conditionalFormatting>
  <conditionalFormatting sqref="C382">
    <cfRule type="cellIs" dxfId="32988" priority="1143" stopIfTrue="1" operator="equal">
      <formula>"3 Delete"</formula>
    </cfRule>
  </conditionalFormatting>
  <conditionalFormatting sqref="C383">
    <cfRule type="cellIs" dxfId="32987" priority="1144" stopIfTrue="1" operator="equal">
      <formula>"1 Modify"</formula>
    </cfRule>
  </conditionalFormatting>
  <conditionalFormatting sqref="C383">
    <cfRule type="cellIs" dxfId="32986" priority="1145" stopIfTrue="1" operator="equal">
      <formula>"2 Add"</formula>
    </cfRule>
  </conditionalFormatting>
  <conditionalFormatting sqref="C383">
    <cfRule type="cellIs" dxfId="32985" priority="1146" stopIfTrue="1" operator="equal">
      <formula>"3 Delete"</formula>
    </cfRule>
  </conditionalFormatting>
  <conditionalFormatting sqref="C384">
    <cfRule type="cellIs" dxfId="32984" priority="1147" stopIfTrue="1" operator="equal">
      <formula>"1 Modify"</formula>
    </cfRule>
  </conditionalFormatting>
  <conditionalFormatting sqref="C384">
    <cfRule type="cellIs" dxfId="32983" priority="1148" stopIfTrue="1" operator="equal">
      <formula>"2 Add"</formula>
    </cfRule>
  </conditionalFormatting>
  <conditionalFormatting sqref="C384">
    <cfRule type="cellIs" dxfId="32982" priority="1149" stopIfTrue="1" operator="equal">
      <formula>"3 Delete"</formula>
    </cfRule>
  </conditionalFormatting>
  <conditionalFormatting sqref="C385">
    <cfRule type="cellIs" dxfId="32981" priority="1150" stopIfTrue="1" operator="equal">
      <formula>"1 Modify"</formula>
    </cfRule>
  </conditionalFormatting>
  <conditionalFormatting sqref="C385">
    <cfRule type="cellIs" dxfId="32980" priority="1151" stopIfTrue="1" operator="equal">
      <formula>"2 Add"</formula>
    </cfRule>
  </conditionalFormatting>
  <conditionalFormatting sqref="C385">
    <cfRule type="cellIs" dxfId="32979" priority="1152" stopIfTrue="1" operator="equal">
      <formula>"3 Delete"</formula>
    </cfRule>
  </conditionalFormatting>
  <conditionalFormatting sqref="C386">
    <cfRule type="cellIs" dxfId="32978" priority="1153" stopIfTrue="1" operator="equal">
      <formula>"1 Modify"</formula>
    </cfRule>
  </conditionalFormatting>
  <conditionalFormatting sqref="C386">
    <cfRule type="cellIs" dxfId="32977" priority="1154" stopIfTrue="1" operator="equal">
      <formula>"2 Add"</formula>
    </cfRule>
  </conditionalFormatting>
  <conditionalFormatting sqref="C386">
    <cfRule type="cellIs" dxfId="32976" priority="1155" stopIfTrue="1" operator="equal">
      <formula>"3 Delete"</formula>
    </cfRule>
  </conditionalFormatting>
  <conditionalFormatting sqref="C387">
    <cfRule type="cellIs" dxfId="32975" priority="1156" stopIfTrue="1" operator="equal">
      <formula>"1 Modify"</formula>
    </cfRule>
  </conditionalFormatting>
  <conditionalFormatting sqref="C387">
    <cfRule type="cellIs" dxfId="32974" priority="1157" stopIfTrue="1" operator="equal">
      <formula>"2 Add"</formula>
    </cfRule>
  </conditionalFormatting>
  <conditionalFormatting sqref="C387">
    <cfRule type="cellIs" dxfId="32973" priority="1158" stopIfTrue="1" operator="equal">
      <formula>"3 Delete"</formula>
    </cfRule>
  </conditionalFormatting>
  <conditionalFormatting sqref="C388">
    <cfRule type="cellIs" dxfId="32972" priority="1159" stopIfTrue="1" operator="equal">
      <formula>"1 Modify"</formula>
    </cfRule>
  </conditionalFormatting>
  <conditionalFormatting sqref="C388">
    <cfRule type="cellIs" dxfId="32971" priority="1160" stopIfTrue="1" operator="equal">
      <formula>"2 Add"</formula>
    </cfRule>
  </conditionalFormatting>
  <conditionalFormatting sqref="C388">
    <cfRule type="cellIs" dxfId="32970" priority="1161" stopIfTrue="1" operator="equal">
      <formula>"3 Delete"</formula>
    </cfRule>
  </conditionalFormatting>
  <conditionalFormatting sqref="C389">
    <cfRule type="cellIs" dxfId="32969" priority="1162" stopIfTrue="1" operator="equal">
      <formula>"1 Modify"</formula>
    </cfRule>
  </conditionalFormatting>
  <conditionalFormatting sqref="C389">
    <cfRule type="cellIs" dxfId="32968" priority="1163" stopIfTrue="1" operator="equal">
      <formula>"2 Add"</formula>
    </cfRule>
  </conditionalFormatting>
  <conditionalFormatting sqref="C389">
    <cfRule type="cellIs" dxfId="32967" priority="1164" stopIfTrue="1" operator="equal">
      <formula>"3 Delete"</formula>
    </cfRule>
  </conditionalFormatting>
  <conditionalFormatting sqref="C390">
    <cfRule type="cellIs" dxfId="32966" priority="1165" stopIfTrue="1" operator="equal">
      <formula>"1 Modify"</formula>
    </cfRule>
  </conditionalFormatting>
  <conditionalFormatting sqref="C390">
    <cfRule type="cellIs" dxfId="32965" priority="1166" stopIfTrue="1" operator="equal">
      <formula>"2 Add"</formula>
    </cfRule>
  </conditionalFormatting>
  <conditionalFormatting sqref="C390">
    <cfRule type="cellIs" dxfId="32964" priority="1167" stopIfTrue="1" operator="equal">
      <formula>"3 Delete"</formula>
    </cfRule>
  </conditionalFormatting>
  <conditionalFormatting sqref="C391">
    <cfRule type="cellIs" dxfId="32963" priority="1168" stopIfTrue="1" operator="equal">
      <formula>"1 Modify"</formula>
    </cfRule>
  </conditionalFormatting>
  <conditionalFormatting sqref="C391">
    <cfRule type="cellIs" dxfId="32962" priority="1169" stopIfTrue="1" operator="equal">
      <formula>"2 Add"</formula>
    </cfRule>
  </conditionalFormatting>
  <conditionalFormatting sqref="C391">
    <cfRule type="cellIs" dxfId="32961" priority="1170" stopIfTrue="1" operator="equal">
      <formula>"3 Delete"</formula>
    </cfRule>
  </conditionalFormatting>
  <conditionalFormatting sqref="C392">
    <cfRule type="cellIs" dxfId="32960" priority="1171" stopIfTrue="1" operator="equal">
      <formula>"1 Modify"</formula>
    </cfRule>
  </conditionalFormatting>
  <conditionalFormatting sqref="C392">
    <cfRule type="cellIs" dxfId="32959" priority="1172" stopIfTrue="1" operator="equal">
      <formula>"2 Add"</formula>
    </cfRule>
  </conditionalFormatting>
  <conditionalFormatting sqref="C392">
    <cfRule type="cellIs" dxfId="32958" priority="1173" stopIfTrue="1" operator="equal">
      <formula>"3 Delete"</formula>
    </cfRule>
  </conditionalFormatting>
  <conditionalFormatting sqref="C393">
    <cfRule type="cellIs" dxfId="32957" priority="1174" stopIfTrue="1" operator="equal">
      <formula>"1 Modify"</formula>
    </cfRule>
  </conditionalFormatting>
  <conditionalFormatting sqref="C393">
    <cfRule type="cellIs" dxfId="32956" priority="1175" stopIfTrue="1" operator="equal">
      <formula>"2 Add"</formula>
    </cfRule>
  </conditionalFormatting>
  <conditionalFormatting sqref="C393">
    <cfRule type="cellIs" dxfId="32955" priority="1176" stopIfTrue="1" operator="equal">
      <formula>"3 Delete"</formula>
    </cfRule>
  </conditionalFormatting>
  <conditionalFormatting sqref="C394">
    <cfRule type="cellIs" dxfId="32954" priority="1177" stopIfTrue="1" operator="equal">
      <formula>"1 Modify"</formula>
    </cfRule>
  </conditionalFormatting>
  <conditionalFormatting sqref="C394">
    <cfRule type="cellIs" dxfId="32953" priority="1178" stopIfTrue="1" operator="equal">
      <formula>"2 Add"</formula>
    </cfRule>
  </conditionalFormatting>
  <conditionalFormatting sqref="C394">
    <cfRule type="cellIs" dxfId="32952" priority="1179" stopIfTrue="1" operator="equal">
      <formula>"3 Delete"</formula>
    </cfRule>
  </conditionalFormatting>
  <conditionalFormatting sqref="C395">
    <cfRule type="cellIs" dxfId="32951" priority="1180" stopIfTrue="1" operator="equal">
      <formula>"1 Modify"</formula>
    </cfRule>
  </conditionalFormatting>
  <conditionalFormatting sqref="C395">
    <cfRule type="cellIs" dxfId="32950" priority="1181" stopIfTrue="1" operator="equal">
      <formula>"2 Add"</formula>
    </cfRule>
  </conditionalFormatting>
  <conditionalFormatting sqref="C395">
    <cfRule type="cellIs" dxfId="32949" priority="1182" stopIfTrue="1" operator="equal">
      <formula>"3 Delete"</formula>
    </cfRule>
  </conditionalFormatting>
  <conditionalFormatting sqref="C396">
    <cfRule type="cellIs" dxfId="32948" priority="1183" stopIfTrue="1" operator="equal">
      <formula>"1 Modify"</formula>
    </cfRule>
  </conditionalFormatting>
  <conditionalFormatting sqref="C396">
    <cfRule type="cellIs" dxfId="32947" priority="1184" stopIfTrue="1" operator="equal">
      <formula>"2 Add"</formula>
    </cfRule>
  </conditionalFormatting>
  <conditionalFormatting sqref="C396">
    <cfRule type="cellIs" dxfId="32946" priority="1185" stopIfTrue="1" operator="equal">
      <formula>"3 Delete"</formula>
    </cfRule>
  </conditionalFormatting>
  <conditionalFormatting sqref="C397">
    <cfRule type="cellIs" dxfId="32945" priority="1186" stopIfTrue="1" operator="equal">
      <formula>"1 Modify"</formula>
    </cfRule>
  </conditionalFormatting>
  <conditionalFormatting sqref="C397">
    <cfRule type="cellIs" dxfId="32944" priority="1187" stopIfTrue="1" operator="equal">
      <formula>"2 Add"</formula>
    </cfRule>
  </conditionalFormatting>
  <conditionalFormatting sqref="C397">
    <cfRule type="cellIs" dxfId="32943" priority="1188" stopIfTrue="1" operator="equal">
      <formula>"3 Delete"</formula>
    </cfRule>
  </conditionalFormatting>
  <conditionalFormatting sqref="C398">
    <cfRule type="cellIs" dxfId="32942" priority="1189" stopIfTrue="1" operator="equal">
      <formula>"1 Modify"</formula>
    </cfRule>
  </conditionalFormatting>
  <conditionalFormatting sqref="C398">
    <cfRule type="cellIs" dxfId="32941" priority="1190" stopIfTrue="1" operator="equal">
      <formula>"2 Add"</formula>
    </cfRule>
  </conditionalFormatting>
  <conditionalFormatting sqref="C398">
    <cfRule type="cellIs" dxfId="32940" priority="1191" stopIfTrue="1" operator="equal">
      <formula>"3 Delete"</formula>
    </cfRule>
  </conditionalFormatting>
  <conditionalFormatting sqref="C399">
    <cfRule type="cellIs" dxfId="32939" priority="1192" stopIfTrue="1" operator="equal">
      <formula>"1 Modify"</formula>
    </cfRule>
  </conditionalFormatting>
  <conditionalFormatting sqref="C399">
    <cfRule type="cellIs" dxfId="32938" priority="1193" stopIfTrue="1" operator="equal">
      <formula>"2 Add"</formula>
    </cfRule>
  </conditionalFormatting>
  <conditionalFormatting sqref="C399">
    <cfRule type="cellIs" dxfId="32937" priority="1194" stopIfTrue="1" operator="equal">
      <formula>"3 Delete"</formula>
    </cfRule>
  </conditionalFormatting>
  <conditionalFormatting sqref="C400">
    <cfRule type="cellIs" dxfId="32936" priority="1195" stopIfTrue="1" operator="equal">
      <formula>"1 Modify"</formula>
    </cfRule>
  </conditionalFormatting>
  <conditionalFormatting sqref="C400">
    <cfRule type="cellIs" dxfId="32935" priority="1196" stopIfTrue="1" operator="equal">
      <formula>"2 Add"</formula>
    </cfRule>
  </conditionalFormatting>
  <conditionalFormatting sqref="C400">
    <cfRule type="cellIs" dxfId="32934" priority="1197" stopIfTrue="1" operator="equal">
      <formula>"3 Delete"</formula>
    </cfRule>
  </conditionalFormatting>
  <conditionalFormatting sqref="C401">
    <cfRule type="cellIs" dxfId="32933" priority="1198" stopIfTrue="1" operator="equal">
      <formula>"1 Modify"</formula>
    </cfRule>
  </conditionalFormatting>
  <conditionalFormatting sqref="C401">
    <cfRule type="cellIs" dxfId="32932" priority="1199" stopIfTrue="1" operator="equal">
      <formula>"2 Add"</formula>
    </cfRule>
  </conditionalFormatting>
  <conditionalFormatting sqref="C401">
    <cfRule type="cellIs" dxfId="32931" priority="1200" stopIfTrue="1" operator="equal">
      <formula>"3 Delete"</formula>
    </cfRule>
  </conditionalFormatting>
  <conditionalFormatting sqref="C402">
    <cfRule type="cellIs" dxfId="32930" priority="1201" stopIfTrue="1" operator="equal">
      <formula>"1 Modify"</formula>
    </cfRule>
  </conditionalFormatting>
  <conditionalFormatting sqref="C402">
    <cfRule type="cellIs" dxfId="32929" priority="1202" stopIfTrue="1" operator="equal">
      <formula>"2 Add"</formula>
    </cfRule>
  </conditionalFormatting>
  <conditionalFormatting sqref="C402">
    <cfRule type="cellIs" dxfId="32928" priority="1203" stopIfTrue="1" operator="equal">
      <formula>"3 Delete"</formula>
    </cfRule>
  </conditionalFormatting>
  <conditionalFormatting sqref="C403">
    <cfRule type="cellIs" dxfId="32927" priority="1204" stopIfTrue="1" operator="equal">
      <formula>"1 Modify"</formula>
    </cfRule>
  </conditionalFormatting>
  <conditionalFormatting sqref="C403">
    <cfRule type="cellIs" dxfId="32926" priority="1205" stopIfTrue="1" operator="equal">
      <formula>"2 Add"</formula>
    </cfRule>
  </conditionalFormatting>
  <conditionalFormatting sqref="C403">
    <cfRule type="cellIs" dxfId="32925" priority="1206" stopIfTrue="1" operator="equal">
      <formula>"3 Delete"</formula>
    </cfRule>
  </conditionalFormatting>
  <conditionalFormatting sqref="C404">
    <cfRule type="cellIs" dxfId="32924" priority="1207" stopIfTrue="1" operator="equal">
      <formula>"1 Modify"</formula>
    </cfRule>
  </conditionalFormatting>
  <conditionalFormatting sqref="C404">
    <cfRule type="cellIs" dxfId="32923" priority="1208" stopIfTrue="1" operator="equal">
      <formula>"2 Add"</formula>
    </cfRule>
  </conditionalFormatting>
  <conditionalFormatting sqref="C404">
    <cfRule type="cellIs" dxfId="32922" priority="1209" stopIfTrue="1" operator="equal">
      <formula>"3 Delete"</formula>
    </cfRule>
  </conditionalFormatting>
  <conditionalFormatting sqref="C405">
    <cfRule type="cellIs" dxfId="32921" priority="1210" stopIfTrue="1" operator="equal">
      <formula>"1 Modify"</formula>
    </cfRule>
  </conditionalFormatting>
  <conditionalFormatting sqref="C405">
    <cfRule type="cellIs" dxfId="32920" priority="1211" stopIfTrue="1" operator="equal">
      <formula>"2 Add"</formula>
    </cfRule>
  </conditionalFormatting>
  <conditionalFormatting sqref="C405">
    <cfRule type="cellIs" dxfId="32919" priority="1212" stopIfTrue="1" operator="equal">
      <formula>"3 Delete"</formula>
    </cfRule>
  </conditionalFormatting>
  <conditionalFormatting sqref="C406">
    <cfRule type="cellIs" dxfId="32918" priority="1213" stopIfTrue="1" operator="equal">
      <formula>"1 Modify"</formula>
    </cfRule>
  </conditionalFormatting>
  <conditionalFormatting sqref="C406">
    <cfRule type="cellIs" dxfId="32917" priority="1214" stopIfTrue="1" operator="equal">
      <formula>"2 Add"</formula>
    </cfRule>
  </conditionalFormatting>
  <conditionalFormatting sqref="C406">
    <cfRule type="cellIs" dxfId="32916" priority="1215" stopIfTrue="1" operator="equal">
      <formula>"3 Delete"</formula>
    </cfRule>
  </conditionalFormatting>
  <conditionalFormatting sqref="C407">
    <cfRule type="cellIs" dxfId="32915" priority="1216" stopIfTrue="1" operator="equal">
      <formula>"1 Modify"</formula>
    </cfRule>
  </conditionalFormatting>
  <conditionalFormatting sqref="C407">
    <cfRule type="cellIs" dxfId="32914" priority="1217" stopIfTrue="1" operator="equal">
      <formula>"2 Add"</formula>
    </cfRule>
  </conditionalFormatting>
  <conditionalFormatting sqref="C407">
    <cfRule type="cellIs" dxfId="32913" priority="1218" stopIfTrue="1" operator="equal">
      <formula>"3 Delete"</formula>
    </cfRule>
  </conditionalFormatting>
  <conditionalFormatting sqref="C408">
    <cfRule type="cellIs" dxfId="32912" priority="1219" stopIfTrue="1" operator="equal">
      <formula>"1 Modify"</formula>
    </cfRule>
  </conditionalFormatting>
  <conditionalFormatting sqref="C408">
    <cfRule type="cellIs" dxfId="32911" priority="1220" stopIfTrue="1" operator="equal">
      <formula>"2 Add"</formula>
    </cfRule>
  </conditionalFormatting>
  <conditionalFormatting sqref="C408">
    <cfRule type="cellIs" dxfId="32910" priority="1221" stopIfTrue="1" operator="equal">
      <formula>"3 Delete"</formula>
    </cfRule>
  </conditionalFormatting>
  <conditionalFormatting sqref="C409">
    <cfRule type="cellIs" dxfId="32909" priority="1222" stopIfTrue="1" operator="equal">
      <formula>"1 Modify"</formula>
    </cfRule>
  </conditionalFormatting>
  <conditionalFormatting sqref="C409">
    <cfRule type="cellIs" dxfId="32908" priority="1223" stopIfTrue="1" operator="equal">
      <formula>"2 Add"</formula>
    </cfRule>
  </conditionalFormatting>
  <conditionalFormatting sqref="C409">
    <cfRule type="cellIs" dxfId="32907" priority="1224" stopIfTrue="1" operator="equal">
      <formula>"3 Delete"</formula>
    </cfRule>
  </conditionalFormatting>
  <conditionalFormatting sqref="C410">
    <cfRule type="cellIs" dxfId="32906" priority="1225" stopIfTrue="1" operator="equal">
      <formula>"1 Modify"</formula>
    </cfRule>
  </conditionalFormatting>
  <conditionalFormatting sqref="C410">
    <cfRule type="cellIs" dxfId="32905" priority="1226" stopIfTrue="1" operator="equal">
      <formula>"2 Add"</formula>
    </cfRule>
  </conditionalFormatting>
  <conditionalFormatting sqref="C410">
    <cfRule type="cellIs" dxfId="32904" priority="1227" stopIfTrue="1" operator="equal">
      <formula>"3 Delete"</formula>
    </cfRule>
  </conditionalFormatting>
  <conditionalFormatting sqref="C411">
    <cfRule type="cellIs" dxfId="32903" priority="1228" stopIfTrue="1" operator="equal">
      <formula>"1 Modify"</formula>
    </cfRule>
  </conditionalFormatting>
  <conditionalFormatting sqref="C411">
    <cfRule type="cellIs" dxfId="32902" priority="1229" stopIfTrue="1" operator="equal">
      <formula>"2 Add"</formula>
    </cfRule>
  </conditionalFormatting>
  <conditionalFormatting sqref="C411">
    <cfRule type="cellIs" dxfId="32901" priority="1230" stopIfTrue="1" operator="equal">
      <formula>"3 Delete"</formula>
    </cfRule>
  </conditionalFormatting>
  <conditionalFormatting sqref="C412">
    <cfRule type="cellIs" dxfId="32900" priority="1231" stopIfTrue="1" operator="equal">
      <formula>"1 Modify"</formula>
    </cfRule>
  </conditionalFormatting>
  <conditionalFormatting sqref="C412">
    <cfRule type="cellIs" dxfId="32899" priority="1232" stopIfTrue="1" operator="equal">
      <formula>"2 Add"</formula>
    </cfRule>
  </conditionalFormatting>
  <conditionalFormatting sqref="C412">
    <cfRule type="cellIs" dxfId="32898" priority="1233" stopIfTrue="1" operator="equal">
      <formula>"3 Delete"</formula>
    </cfRule>
  </conditionalFormatting>
  <conditionalFormatting sqref="C413">
    <cfRule type="cellIs" dxfId="32897" priority="1234" stopIfTrue="1" operator="equal">
      <formula>"1 Modify"</formula>
    </cfRule>
  </conditionalFormatting>
  <conditionalFormatting sqref="C413">
    <cfRule type="cellIs" dxfId="32896" priority="1235" stopIfTrue="1" operator="equal">
      <formula>"2 Add"</formula>
    </cfRule>
  </conditionalFormatting>
  <conditionalFormatting sqref="C413">
    <cfRule type="cellIs" dxfId="32895" priority="1236" stopIfTrue="1" operator="equal">
      <formula>"3 Delete"</formula>
    </cfRule>
  </conditionalFormatting>
  <conditionalFormatting sqref="C414">
    <cfRule type="cellIs" dxfId="32894" priority="1237" stopIfTrue="1" operator="equal">
      <formula>"1 Modify"</formula>
    </cfRule>
  </conditionalFormatting>
  <conditionalFormatting sqref="C414">
    <cfRule type="cellIs" dxfId="32893" priority="1238" stopIfTrue="1" operator="equal">
      <formula>"2 Add"</formula>
    </cfRule>
  </conditionalFormatting>
  <conditionalFormatting sqref="C414">
    <cfRule type="cellIs" dxfId="32892" priority="1239" stopIfTrue="1" operator="equal">
      <formula>"3 Delete"</formula>
    </cfRule>
  </conditionalFormatting>
  <conditionalFormatting sqref="C415">
    <cfRule type="cellIs" dxfId="32891" priority="1240" stopIfTrue="1" operator="equal">
      <formula>"1 Modify"</formula>
    </cfRule>
  </conditionalFormatting>
  <conditionalFormatting sqref="C415">
    <cfRule type="cellIs" dxfId="32890" priority="1241" stopIfTrue="1" operator="equal">
      <formula>"2 Add"</formula>
    </cfRule>
  </conditionalFormatting>
  <conditionalFormatting sqref="C415">
    <cfRule type="cellIs" dxfId="32889" priority="1242" stopIfTrue="1" operator="equal">
      <formula>"3 Delete"</formula>
    </cfRule>
  </conditionalFormatting>
  <conditionalFormatting sqref="C416">
    <cfRule type="cellIs" dxfId="32888" priority="1243" stopIfTrue="1" operator="equal">
      <formula>"1 Modify"</formula>
    </cfRule>
  </conditionalFormatting>
  <conditionalFormatting sqref="C416">
    <cfRule type="cellIs" dxfId="32887" priority="1244" stopIfTrue="1" operator="equal">
      <formula>"2 Add"</formula>
    </cfRule>
  </conditionalFormatting>
  <conditionalFormatting sqref="C416">
    <cfRule type="cellIs" dxfId="32886" priority="1245" stopIfTrue="1" operator="equal">
      <formula>"3 Delete"</formula>
    </cfRule>
  </conditionalFormatting>
  <conditionalFormatting sqref="C417">
    <cfRule type="cellIs" dxfId="32885" priority="1246" stopIfTrue="1" operator="equal">
      <formula>"1 Modify"</formula>
    </cfRule>
  </conditionalFormatting>
  <conditionalFormatting sqref="C417">
    <cfRule type="cellIs" dxfId="32884" priority="1247" stopIfTrue="1" operator="equal">
      <formula>"2 Add"</formula>
    </cfRule>
  </conditionalFormatting>
  <conditionalFormatting sqref="C417">
    <cfRule type="cellIs" dxfId="32883" priority="1248" stopIfTrue="1" operator="equal">
      <formula>"3 Delete"</formula>
    </cfRule>
  </conditionalFormatting>
  <conditionalFormatting sqref="C418">
    <cfRule type="cellIs" dxfId="32882" priority="1249" stopIfTrue="1" operator="equal">
      <formula>"1 Modify"</formula>
    </cfRule>
  </conditionalFormatting>
  <conditionalFormatting sqref="C418">
    <cfRule type="cellIs" dxfId="32881" priority="1250" stopIfTrue="1" operator="equal">
      <formula>"2 Add"</formula>
    </cfRule>
  </conditionalFormatting>
  <conditionalFormatting sqref="C418">
    <cfRule type="cellIs" dxfId="32880" priority="1251" stopIfTrue="1" operator="equal">
      <formula>"3 Delete"</formula>
    </cfRule>
  </conditionalFormatting>
  <conditionalFormatting sqref="C419">
    <cfRule type="cellIs" dxfId="32879" priority="1252" stopIfTrue="1" operator="equal">
      <formula>"1 Modify"</formula>
    </cfRule>
  </conditionalFormatting>
  <conditionalFormatting sqref="C419">
    <cfRule type="cellIs" dxfId="32878" priority="1253" stopIfTrue="1" operator="equal">
      <formula>"2 Add"</formula>
    </cfRule>
  </conditionalFormatting>
  <conditionalFormatting sqref="C419">
    <cfRule type="cellIs" dxfId="32877" priority="1254" stopIfTrue="1" operator="equal">
      <formula>"3 Delete"</formula>
    </cfRule>
  </conditionalFormatting>
  <conditionalFormatting sqref="C420">
    <cfRule type="cellIs" dxfId="32876" priority="1255" stopIfTrue="1" operator="equal">
      <formula>"1 Modify"</formula>
    </cfRule>
  </conditionalFormatting>
  <conditionalFormatting sqref="C420">
    <cfRule type="cellIs" dxfId="32875" priority="1256" stopIfTrue="1" operator="equal">
      <formula>"2 Add"</formula>
    </cfRule>
  </conditionalFormatting>
  <conditionalFormatting sqref="C420">
    <cfRule type="cellIs" dxfId="32874" priority="1257" stopIfTrue="1" operator="equal">
      <formula>"3 Delete"</formula>
    </cfRule>
  </conditionalFormatting>
  <conditionalFormatting sqref="C421">
    <cfRule type="cellIs" dxfId="32873" priority="1258" stopIfTrue="1" operator="equal">
      <formula>"1 Modify"</formula>
    </cfRule>
  </conditionalFormatting>
  <conditionalFormatting sqref="C421">
    <cfRule type="cellIs" dxfId="32872" priority="1259" stopIfTrue="1" operator="equal">
      <formula>"2 Add"</formula>
    </cfRule>
  </conditionalFormatting>
  <conditionalFormatting sqref="C421">
    <cfRule type="cellIs" dxfId="32871" priority="1260" stopIfTrue="1" operator="equal">
      <formula>"3 Delete"</formula>
    </cfRule>
  </conditionalFormatting>
  <conditionalFormatting sqref="C422">
    <cfRule type="cellIs" dxfId="32870" priority="1261" stopIfTrue="1" operator="equal">
      <formula>"1 Modify"</formula>
    </cfRule>
  </conditionalFormatting>
  <conditionalFormatting sqref="C422">
    <cfRule type="cellIs" dxfId="32869" priority="1262" stopIfTrue="1" operator="equal">
      <formula>"2 Add"</formula>
    </cfRule>
  </conditionalFormatting>
  <conditionalFormatting sqref="C422">
    <cfRule type="cellIs" dxfId="32868" priority="1263" stopIfTrue="1" operator="equal">
      <formula>"3 Delete"</formula>
    </cfRule>
  </conditionalFormatting>
  <conditionalFormatting sqref="C423">
    <cfRule type="cellIs" dxfId="32867" priority="1264" stopIfTrue="1" operator="equal">
      <formula>"1 Modify"</formula>
    </cfRule>
  </conditionalFormatting>
  <conditionalFormatting sqref="C423">
    <cfRule type="cellIs" dxfId="32866" priority="1265" stopIfTrue="1" operator="equal">
      <formula>"2 Add"</formula>
    </cfRule>
  </conditionalFormatting>
  <conditionalFormatting sqref="C423">
    <cfRule type="cellIs" dxfId="32865" priority="1266" stopIfTrue="1" operator="equal">
      <formula>"3 Delete"</formula>
    </cfRule>
  </conditionalFormatting>
  <conditionalFormatting sqref="C424">
    <cfRule type="cellIs" dxfId="32864" priority="1267" stopIfTrue="1" operator="equal">
      <formula>"1 Modify"</formula>
    </cfRule>
  </conditionalFormatting>
  <conditionalFormatting sqref="C424">
    <cfRule type="cellIs" dxfId="32863" priority="1268" stopIfTrue="1" operator="equal">
      <formula>"2 Add"</formula>
    </cfRule>
  </conditionalFormatting>
  <conditionalFormatting sqref="C424">
    <cfRule type="cellIs" dxfId="32862" priority="1269" stopIfTrue="1" operator="equal">
      <formula>"3 Delete"</formula>
    </cfRule>
  </conditionalFormatting>
  <conditionalFormatting sqref="C425">
    <cfRule type="cellIs" dxfId="32861" priority="1270" stopIfTrue="1" operator="equal">
      <formula>"1 Modify"</formula>
    </cfRule>
  </conditionalFormatting>
  <conditionalFormatting sqref="C425">
    <cfRule type="cellIs" dxfId="32860" priority="1271" stopIfTrue="1" operator="equal">
      <formula>"2 Add"</formula>
    </cfRule>
  </conditionalFormatting>
  <conditionalFormatting sqref="C425">
    <cfRule type="cellIs" dxfId="32859" priority="1272" stopIfTrue="1" operator="equal">
      <formula>"3 Delete"</formula>
    </cfRule>
  </conditionalFormatting>
  <conditionalFormatting sqref="C426">
    <cfRule type="cellIs" dxfId="32858" priority="1273" stopIfTrue="1" operator="equal">
      <formula>"1 Modify"</formula>
    </cfRule>
  </conditionalFormatting>
  <conditionalFormatting sqref="C426">
    <cfRule type="cellIs" dxfId="32857" priority="1274" stopIfTrue="1" operator="equal">
      <formula>"2 Add"</formula>
    </cfRule>
  </conditionalFormatting>
  <conditionalFormatting sqref="C426">
    <cfRule type="cellIs" dxfId="32856" priority="1275" stopIfTrue="1" operator="equal">
      <formula>"3 Delete"</formula>
    </cfRule>
  </conditionalFormatting>
  <conditionalFormatting sqref="C427">
    <cfRule type="cellIs" dxfId="32855" priority="1276" stopIfTrue="1" operator="equal">
      <formula>"1 Modify"</formula>
    </cfRule>
  </conditionalFormatting>
  <conditionalFormatting sqref="C427">
    <cfRule type="cellIs" dxfId="32854" priority="1277" stopIfTrue="1" operator="equal">
      <formula>"2 Add"</formula>
    </cfRule>
  </conditionalFormatting>
  <conditionalFormatting sqref="C427">
    <cfRule type="cellIs" dxfId="32853" priority="1278" stopIfTrue="1" operator="equal">
      <formula>"3 Delete"</formula>
    </cfRule>
  </conditionalFormatting>
  <conditionalFormatting sqref="C428">
    <cfRule type="cellIs" dxfId="32852" priority="1279" stopIfTrue="1" operator="equal">
      <formula>"1 Modify"</formula>
    </cfRule>
  </conditionalFormatting>
  <conditionalFormatting sqref="C428">
    <cfRule type="cellIs" dxfId="32851" priority="1280" stopIfTrue="1" operator="equal">
      <formula>"2 Add"</formula>
    </cfRule>
  </conditionalFormatting>
  <conditionalFormatting sqref="C428">
    <cfRule type="cellIs" dxfId="32850" priority="1281" stopIfTrue="1" operator="equal">
      <formula>"3 Delete"</formula>
    </cfRule>
  </conditionalFormatting>
  <conditionalFormatting sqref="C429">
    <cfRule type="cellIs" dxfId="32849" priority="1282" stopIfTrue="1" operator="equal">
      <formula>"1 Modify"</formula>
    </cfRule>
  </conditionalFormatting>
  <conditionalFormatting sqref="C429">
    <cfRule type="cellIs" dxfId="32848" priority="1283" stopIfTrue="1" operator="equal">
      <formula>"2 Add"</formula>
    </cfRule>
  </conditionalFormatting>
  <conditionalFormatting sqref="C429">
    <cfRule type="cellIs" dxfId="32847" priority="1284" stopIfTrue="1" operator="equal">
      <formula>"3 Delete"</formula>
    </cfRule>
  </conditionalFormatting>
  <conditionalFormatting sqref="C430">
    <cfRule type="cellIs" dxfId="32846" priority="1285" stopIfTrue="1" operator="equal">
      <formula>"1 Modify"</formula>
    </cfRule>
  </conditionalFormatting>
  <conditionalFormatting sqref="C430">
    <cfRule type="cellIs" dxfId="32845" priority="1286" stopIfTrue="1" operator="equal">
      <formula>"2 Add"</formula>
    </cfRule>
  </conditionalFormatting>
  <conditionalFormatting sqref="C430">
    <cfRule type="cellIs" dxfId="32844" priority="1287" stopIfTrue="1" operator="equal">
      <formula>"3 Delete"</formula>
    </cfRule>
  </conditionalFormatting>
  <conditionalFormatting sqref="C431">
    <cfRule type="cellIs" dxfId="32843" priority="1288" stopIfTrue="1" operator="equal">
      <formula>"1 Modify"</formula>
    </cfRule>
  </conditionalFormatting>
  <conditionalFormatting sqref="C431">
    <cfRule type="cellIs" dxfId="32842" priority="1289" stopIfTrue="1" operator="equal">
      <formula>"2 Add"</formula>
    </cfRule>
  </conditionalFormatting>
  <conditionalFormatting sqref="C431">
    <cfRule type="cellIs" dxfId="32841" priority="1290" stopIfTrue="1" operator="equal">
      <formula>"3 Delete"</formula>
    </cfRule>
  </conditionalFormatting>
  <conditionalFormatting sqref="C432">
    <cfRule type="cellIs" dxfId="32840" priority="1291" stopIfTrue="1" operator="equal">
      <formula>"1 Modify"</formula>
    </cfRule>
  </conditionalFormatting>
  <conditionalFormatting sqref="C432">
    <cfRule type="cellIs" dxfId="32839" priority="1292" stopIfTrue="1" operator="equal">
      <formula>"2 Add"</formula>
    </cfRule>
  </conditionalFormatting>
  <conditionalFormatting sqref="C432">
    <cfRule type="cellIs" dxfId="32838" priority="1293" stopIfTrue="1" operator="equal">
      <formula>"3 Delete"</formula>
    </cfRule>
  </conditionalFormatting>
  <conditionalFormatting sqref="C433">
    <cfRule type="cellIs" dxfId="32837" priority="1294" stopIfTrue="1" operator="equal">
      <formula>"1 Modify"</formula>
    </cfRule>
  </conditionalFormatting>
  <conditionalFormatting sqref="C433">
    <cfRule type="cellIs" dxfId="32836" priority="1295" stopIfTrue="1" operator="equal">
      <formula>"2 Add"</formula>
    </cfRule>
  </conditionalFormatting>
  <conditionalFormatting sqref="C433">
    <cfRule type="cellIs" dxfId="32835" priority="1296" stopIfTrue="1" operator="equal">
      <formula>"3 Delete"</formula>
    </cfRule>
  </conditionalFormatting>
  <conditionalFormatting sqref="C434">
    <cfRule type="cellIs" dxfId="32834" priority="1297" stopIfTrue="1" operator="equal">
      <formula>"1 Modify"</formula>
    </cfRule>
  </conditionalFormatting>
  <conditionalFormatting sqref="C434">
    <cfRule type="cellIs" dxfId="32833" priority="1298" stopIfTrue="1" operator="equal">
      <formula>"2 Add"</formula>
    </cfRule>
  </conditionalFormatting>
  <conditionalFormatting sqref="C434">
    <cfRule type="cellIs" dxfId="32832" priority="1299" stopIfTrue="1" operator="equal">
      <formula>"3 Delete"</formula>
    </cfRule>
  </conditionalFormatting>
  <conditionalFormatting sqref="C435">
    <cfRule type="cellIs" dxfId="32831" priority="1300" stopIfTrue="1" operator="equal">
      <formula>"1 Modify"</formula>
    </cfRule>
  </conditionalFormatting>
  <conditionalFormatting sqref="C435">
    <cfRule type="cellIs" dxfId="32830" priority="1301" stopIfTrue="1" operator="equal">
      <formula>"2 Add"</formula>
    </cfRule>
  </conditionalFormatting>
  <conditionalFormatting sqref="C435">
    <cfRule type="cellIs" dxfId="32829" priority="1302" stopIfTrue="1" operator="equal">
      <formula>"3 Delete"</formula>
    </cfRule>
  </conditionalFormatting>
  <conditionalFormatting sqref="C436">
    <cfRule type="cellIs" dxfId="32828" priority="1303" stopIfTrue="1" operator="equal">
      <formula>"1 Modify"</formula>
    </cfRule>
  </conditionalFormatting>
  <conditionalFormatting sqref="C436">
    <cfRule type="cellIs" dxfId="32827" priority="1304" stopIfTrue="1" operator="equal">
      <formula>"2 Add"</formula>
    </cfRule>
  </conditionalFormatting>
  <conditionalFormatting sqref="C436">
    <cfRule type="cellIs" dxfId="32826" priority="1305" stopIfTrue="1" operator="equal">
      <formula>"3 Delete"</formula>
    </cfRule>
  </conditionalFormatting>
  <conditionalFormatting sqref="C437">
    <cfRule type="cellIs" dxfId="32825" priority="1306" stopIfTrue="1" operator="equal">
      <formula>"1 Modify"</formula>
    </cfRule>
  </conditionalFormatting>
  <conditionalFormatting sqref="C437">
    <cfRule type="cellIs" dxfId="32824" priority="1307" stopIfTrue="1" operator="equal">
      <formula>"2 Add"</formula>
    </cfRule>
  </conditionalFormatting>
  <conditionalFormatting sqref="C437">
    <cfRule type="cellIs" dxfId="32823" priority="1308" stopIfTrue="1" operator="equal">
      <formula>"3 Delete"</formula>
    </cfRule>
  </conditionalFormatting>
  <conditionalFormatting sqref="C438">
    <cfRule type="cellIs" dxfId="32822" priority="1309" stopIfTrue="1" operator="equal">
      <formula>"1 Modify"</formula>
    </cfRule>
  </conditionalFormatting>
  <conditionalFormatting sqref="C438">
    <cfRule type="cellIs" dxfId="32821" priority="1310" stopIfTrue="1" operator="equal">
      <formula>"2 Add"</formula>
    </cfRule>
  </conditionalFormatting>
  <conditionalFormatting sqref="C438">
    <cfRule type="cellIs" dxfId="32820" priority="1311" stopIfTrue="1" operator="equal">
      <formula>"3 Delete"</formula>
    </cfRule>
  </conditionalFormatting>
  <conditionalFormatting sqref="C439">
    <cfRule type="cellIs" dxfId="32819" priority="1312" stopIfTrue="1" operator="equal">
      <formula>"1 Modify"</formula>
    </cfRule>
  </conditionalFormatting>
  <conditionalFormatting sqref="C439">
    <cfRule type="cellIs" dxfId="32818" priority="1313" stopIfTrue="1" operator="equal">
      <formula>"2 Add"</formula>
    </cfRule>
  </conditionalFormatting>
  <conditionalFormatting sqref="C439">
    <cfRule type="cellIs" dxfId="32817" priority="1314" stopIfTrue="1" operator="equal">
      <formula>"3 Delete"</formula>
    </cfRule>
  </conditionalFormatting>
  <conditionalFormatting sqref="C440">
    <cfRule type="cellIs" dxfId="32816" priority="1315" stopIfTrue="1" operator="equal">
      <formula>"1 Modify"</formula>
    </cfRule>
  </conditionalFormatting>
  <conditionalFormatting sqref="C440">
    <cfRule type="cellIs" dxfId="32815" priority="1316" stopIfTrue="1" operator="equal">
      <formula>"2 Add"</formula>
    </cfRule>
  </conditionalFormatting>
  <conditionalFormatting sqref="C440">
    <cfRule type="cellIs" dxfId="32814" priority="1317" stopIfTrue="1" operator="equal">
      <formula>"3 Delete"</formula>
    </cfRule>
  </conditionalFormatting>
  <conditionalFormatting sqref="C441">
    <cfRule type="cellIs" dxfId="32813" priority="1318" stopIfTrue="1" operator="equal">
      <formula>"1 Modify"</formula>
    </cfRule>
  </conditionalFormatting>
  <conditionalFormatting sqref="C441">
    <cfRule type="cellIs" dxfId="32812" priority="1319" stopIfTrue="1" operator="equal">
      <formula>"2 Add"</formula>
    </cfRule>
  </conditionalFormatting>
  <conditionalFormatting sqref="C441">
    <cfRule type="cellIs" dxfId="32811" priority="1320" stopIfTrue="1" operator="equal">
      <formula>"3 Delete"</formula>
    </cfRule>
  </conditionalFormatting>
  <conditionalFormatting sqref="C442">
    <cfRule type="cellIs" dxfId="32810" priority="1321" stopIfTrue="1" operator="equal">
      <formula>"1 Modify"</formula>
    </cfRule>
  </conditionalFormatting>
  <conditionalFormatting sqref="C442">
    <cfRule type="cellIs" dxfId="32809" priority="1322" stopIfTrue="1" operator="equal">
      <formula>"2 Add"</formula>
    </cfRule>
  </conditionalFormatting>
  <conditionalFormatting sqref="C442">
    <cfRule type="cellIs" dxfId="32808" priority="1323" stopIfTrue="1" operator="equal">
      <formula>"3 Delete"</formula>
    </cfRule>
  </conditionalFormatting>
  <conditionalFormatting sqref="C443">
    <cfRule type="cellIs" dxfId="32807" priority="1324" stopIfTrue="1" operator="equal">
      <formula>"1 Modify"</formula>
    </cfRule>
  </conditionalFormatting>
  <conditionalFormatting sqref="C443">
    <cfRule type="cellIs" dxfId="32806" priority="1325" stopIfTrue="1" operator="equal">
      <formula>"2 Add"</formula>
    </cfRule>
  </conditionalFormatting>
  <conditionalFormatting sqref="C443">
    <cfRule type="cellIs" dxfId="32805" priority="1326" stopIfTrue="1" operator="equal">
      <formula>"3 Delete"</formula>
    </cfRule>
  </conditionalFormatting>
  <conditionalFormatting sqref="C444">
    <cfRule type="cellIs" dxfId="32804" priority="1327" stopIfTrue="1" operator="equal">
      <formula>"1 Modify"</formula>
    </cfRule>
  </conditionalFormatting>
  <conditionalFormatting sqref="C444">
    <cfRule type="cellIs" dxfId="32803" priority="1328" stopIfTrue="1" operator="equal">
      <formula>"2 Add"</formula>
    </cfRule>
  </conditionalFormatting>
  <conditionalFormatting sqref="C444">
    <cfRule type="cellIs" dxfId="32802" priority="1329" stopIfTrue="1" operator="equal">
      <formula>"3 Delete"</formula>
    </cfRule>
  </conditionalFormatting>
  <conditionalFormatting sqref="C445">
    <cfRule type="cellIs" dxfId="32801" priority="1330" stopIfTrue="1" operator="equal">
      <formula>"1 Modify"</formula>
    </cfRule>
  </conditionalFormatting>
  <conditionalFormatting sqref="C445">
    <cfRule type="cellIs" dxfId="32800" priority="1331" stopIfTrue="1" operator="equal">
      <formula>"2 Add"</formula>
    </cfRule>
  </conditionalFormatting>
  <conditionalFormatting sqref="C445">
    <cfRule type="cellIs" dxfId="32799" priority="1332" stopIfTrue="1" operator="equal">
      <formula>"3 Delete"</formula>
    </cfRule>
  </conditionalFormatting>
  <conditionalFormatting sqref="C446">
    <cfRule type="cellIs" dxfId="32798" priority="1333" stopIfTrue="1" operator="equal">
      <formula>"1 Modify"</formula>
    </cfRule>
  </conditionalFormatting>
  <conditionalFormatting sqref="C446">
    <cfRule type="cellIs" dxfId="32797" priority="1334" stopIfTrue="1" operator="equal">
      <formula>"2 Add"</formula>
    </cfRule>
  </conditionalFormatting>
  <conditionalFormatting sqref="C446">
    <cfRule type="cellIs" dxfId="32796" priority="1335" stopIfTrue="1" operator="equal">
      <formula>"3 Delete"</formula>
    </cfRule>
  </conditionalFormatting>
  <conditionalFormatting sqref="C447">
    <cfRule type="cellIs" dxfId="32795" priority="1336" stopIfTrue="1" operator="equal">
      <formula>"1 Modify"</formula>
    </cfRule>
  </conditionalFormatting>
  <conditionalFormatting sqref="C447">
    <cfRule type="cellIs" dxfId="32794" priority="1337" stopIfTrue="1" operator="equal">
      <formula>"2 Add"</formula>
    </cfRule>
  </conditionalFormatting>
  <conditionalFormatting sqref="C447">
    <cfRule type="cellIs" dxfId="32793" priority="1338" stopIfTrue="1" operator="equal">
      <formula>"3 Delete"</formula>
    </cfRule>
  </conditionalFormatting>
  <conditionalFormatting sqref="C448">
    <cfRule type="cellIs" dxfId="32792" priority="1339" stopIfTrue="1" operator="equal">
      <formula>"1 Modify"</formula>
    </cfRule>
  </conditionalFormatting>
  <conditionalFormatting sqref="C448">
    <cfRule type="cellIs" dxfId="32791" priority="1340" stopIfTrue="1" operator="equal">
      <formula>"2 Add"</formula>
    </cfRule>
  </conditionalFormatting>
  <conditionalFormatting sqref="C448">
    <cfRule type="cellIs" dxfId="32790" priority="1341" stopIfTrue="1" operator="equal">
      <formula>"3 Delete"</formula>
    </cfRule>
  </conditionalFormatting>
  <conditionalFormatting sqref="C449">
    <cfRule type="cellIs" dxfId="32789" priority="1342" stopIfTrue="1" operator="equal">
      <formula>"1 Modify"</formula>
    </cfRule>
  </conditionalFormatting>
  <conditionalFormatting sqref="C449">
    <cfRule type="cellIs" dxfId="32788" priority="1343" stopIfTrue="1" operator="equal">
      <formula>"2 Add"</formula>
    </cfRule>
  </conditionalFormatting>
  <conditionalFormatting sqref="C449">
    <cfRule type="cellIs" dxfId="32787" priority="1344" stopIfTrue="1" operator="equal">
      <formula>"3 Delete"</formula>
    </cfRule>
  </conditionalFormatting>
  <conditionalFormatting sqref="C450">
    <cfRule type="cellIs" dxfId="32786" priority="1345" stopIfTrue="1" operator="equal">
      <formula>"1 Modify"</formula>
    </cfRule>
  </conditionalFormatting>
  <conditionalFormatting sqref="C450">
    <cfRule type="cellIs" dxfId="32785" priority="1346" stopIfTrue="1" operator="equal">
      <formula>"2 Add"</formula>
    </cfRule>
  </conditionalFormatting>
  <conditionalFormatting sqref="C450">
    <cfRule type="cellIs" dxfId="32784" priority="1347" stopIfTrue="1" operator="equal">
      <formula>"3 Delete"</formula>
    </cfRule>
  </conditionalFormatting>
  <conditionalFormatting sqref="C451">
    <cfRule type="cellIs" dxfId="32783" priority="1348" stopIfTrue="1" operator="equal">
      <formula>"1 Modify"</formula>
    </cfRule>
  </conditionalFormatting>
  <conditionalFormatting sqref="C451">
    <cfRule type="cellIs" dxfId="32782" priority="1349" stopIfTrue="1" operator="equal">
      <formula>"2 Add"</formula>
    </cfRule>
  </conditionalFormatting>
  <conditionalFormatting sqref="C451">
    <cfRule type="cellIs" dxfId="32781" priority="1350" stopIfTrue="1" operator="equal">
      <formula>"3 Delete"</formula>
    </cfRule>
  </conditionalFormatting>
  <conditionalFormatting sqref="C452">
    <cfRule type="cellIs" dxfId="32780" priority="1351" stopIfTrue="1" operator="equal">
      <formula>"1 Modify"</formula>
    </cfRule>
  </conditionalFormatting>
  <conditionalFormatting sqref="C452">
    <cfRule type="cellIs" dxfId="32779" priority="1352" stopIfTrue="1" operator="equal">
      <formula>"2 Add"</formula>
    </cfRule>
  </conditionalFormatting>
  <conditionalFormatting sqref="C452">
    <cfRule type="cellIs" dxfId="32778" priority="1353" stopIfTrue="1" operator="equal">
      <formula>"3 Delete"</formula>
    </cfRule>
  </conditionalFormatting>
  <conditionalFormatting sqref="C453">
    <cfRule type="cellIs" dxfId="32777" priority="1354" stopIfTrue="1" operator="equal">
      <formula>"1 Modify"</formula>
    </cfRule>
  </conditionalFormatting>
  <conditionalFormatting sqref="C453">
    <cfRule type="cellIs" dxfId="32776" priority="1355" stopIfTrue="1" operator="equal">
      <formula>"2 Add"</formula>
    </cfRule>
  </conditionalFormatting>
  <conditionalFormatting sqref="C453">
    <cfRule type="cellIs" dxfId="32775" priority="1356" stopIfTrue="1" operator="equal">
      <formula>"3 Delete"</formula>
    </cfRule>
  </conditionalFormatting>
  <conditionalFormatting sqref="C454">
    <cfRule type="cellIs" dxfId="32774" priority="1357" stopIfTrue="1" operator="equal">
      <formula>"1 Modify"</formula>
    </cfRule>
  </conditionalFormatting>
  <conditionalFormatting sqref="C454">
    <cfRule type="cellIs" dxfId="32773" priority="1358" stopIfTrue="1" operator="equal">
      <formula>"2 Add"</formula>
    </cfRule>
  </conditionalFormatting>
  <conditionalFormatting sqref="C454">
    <cfRule type="cellIs" dxfId="32772" priority="1359" stopIfTrue="1" operator="equal">
      <formula>"3 Delete"</formula>
    </cfRule>
  </conditionalFormatting>
  <conditionalFormatting sqref="C455">
    <cfRule type="cellIs" dxfId="32771" priority="1360" stopIfTrue="1" operator="equal">
      <formula>"1 Modify"</formula>
    </cfRule>
  </conditionalFormatting>
  <conditionalFormatting sqref="C455">
    <cfRule type="cellIs" dxfId="32770" priority="1361" stopIfTrue="1" operator="equal">
      <formula>"2 Add"</formula>
    </cfRule>
  </conditionalFormatting>
  <conditionalFormatting sqref="C455">
    <cfRule type="cellIs" dxfId="32769" priority="1362" stopIfTrue="1" operator="equal">
      <formula>"3 Delete"</formula>
    </cfRule>
  </conditionalFormatting>
  <conditionalFormatting sqref="C456">
    <cfRule type="cellIs" dxfId="32768" priority="1363" stopIfTrue="1" operator="equal">
      <formula>"1 Modify"</formula>
    </cfRule>
  </conditionalFormatting>
  <conditionalFormatting sqref="C456">
    <cfRule type="cellIs" dxfId="32767" priority="1364" stopIfTrue="1" operator="equal">
      <formula>"2 Add"</formula>
    </cfRule>
  </conditionalFormatting>
  <conditionalFormatting sqref="C456">
    <cfRule type="cellIs" dxfId="32766" priority="1365" stopIfTrue="1" operator="equal">
      <formula>"3 Delete"</formula>
    </cfRule>
  </conditionalFormatting>
  <conditionalFormatting sqref="C457">
    <cfRule type="cellIs" dxfId="32765" priority="1366" stopIfTrue="1" operator="equal">
      <formula>"1 Modify"</formula>
    </cfRule>
  </conditionalFormatting>
  <conditionalFormatting sqref="C457">
    <cfRule type="cellIs" dxfId="32764" priority="1367" stopIfTrue="1" operator="equal">
      <formula>"2 Add"</formula>
    </cfRule>
  </conditionalFormatting>
  <conditionalFormatting sqref="C457">
    <cfRule type="cellIs" dxfId="32763" priority="1368" stopIfTrue="1" operator="equal">
      <formula>"3 Delete"</formula>
    </cfRule>
  </conditionalFormatting>
  <conditionalFormatting sqref="C458">
    <cfRule type="cellIs" dxfId="32762" priority="1369" stopIfTrue="1" operator="equal">
      <formula>"1 Modify"</formula>
    </cfRule>
  </conditionalFormatting>
  <conditionalFormatting sqref="C458">
    <cfRule type="cellIs" dxfId="32761" priority="1370" stopIfTrue="1" operator="equal">
      <formula>"2 Add"</formula>
    </cfRule>
  </conditionalFormatting>
  <conditionalFormatting sqref="C458">
    <cfRule type="cellIs" dxfId="32760" priority="1371" stopIfTrue="1" operator="equal">
      <formula>"3 Delete"</formula>
    </cfRule>
  </conditionalFormatting>
  <conditionalFormatting sqref="C459">
    <cfRule type="cellIs" dxfId="32759" priority="1372" stopIfTrue="1" operator="equal">
      <formula>"1 Modify"</formula>
    </cfRule>
  </conditionalFormatting>
  <conditionalFormatting sqref="C459">
    <cfRule type="cellIs" dxfId="32758" priority="1373" stopIfTrue="1" operator="equal">
      <formula>"2 Add"</formula>
    </cfRule>
  </conditionalFormatting>
  <conditionalFormatting sqref="C459">
    <cfRule type="cellIs" dxfId="32757" priority="1374" stopIfTrue="1" operator="equal">
      <formula>"3 Delete"</formula>
    </cfRule>
  </conditionalFormatting>
  <conditionalFormatting sqref="C460">
    <cfRule type="cellIs" dxfId="32756" priority="1375" stopIfTrue="1" operator="equal">
      <formula>"1 Modify"</formula>
    </cfRule>
  </conditionalFormatting>
  <conditionalFormatting sqref="C460">
    <cfRule type="cellIs" dxfId="32755" priority="1376" stopIfTrue="1" operator="equal">
      <formula>"2 Add"</formula>
    </cfRule>
  </conditionalFormatting>
  <conditionalFormatting sqref="C460">
    <cfRule type="cellIs" dxfId="32754" priority="1377" stopIfTrue="1" operator="equal">
      <formula>"3 Delete"</formula>
    </cfRule>
  </conditionalFormatting>
  <conditionalFormatting sqref="C461">
    <cfRule type="cellIs" dxfId="32753" priority="1378" stopIfTrue="1" operator="equal">
      <formula>"1 Modify"</formula>
    </cfRule>
  </conditionalFormatting>
  <conditionalFormatting sqref="C461">
    <cfRule type="cellIs" dxfId="32752" priority="1379" stopIfTrue="1" operator="equal">
      <formula>"2 Add"</formula>
    </cfRule>
  </conditionalFormatting>
  <conditionalFormatting sqref="C461">
    <cfRule type="cellIs" dxfId="32751" priority="1380" stopIfTrue="1" operator="equal">
      <formula>"3 Delete"</formula>
    </cfRule>
  </conditionalFormatting>
  <conditionalFormatting sqref="C462">
    <cfRule type="cellIs" dxfId="32750" priority="1381" stopIfTrue="1" operator="equal">
      <formula>"1 Modify"</formula>
    </cfRule>
  </conditionalFormatting>
  <conditionalFormatting sqref="C462">
    <cfRule type="cellIs" dxfId="32749" priority="1382" stopIfTrue="1" operator="equal">
      <formula>"2 Add"</formula>
    </cfRule>
  </conditionalFormatting>
  <conditionalFormatting sqref="C462">
    <cfRule type="cellIs" dxfId="32748" priority="1383" stopIfTrue="1" operator="equal">
      <formula>"3 Delete"</formula>
    </cfRule>
  </conditionalFormatting>
  <conditionalFormatting sqref="C463">
    <cfRule type="cellIs" dxfId="32747" priority="1384" stopIfTrue="1" operator="equal">
      <formula>"1 Modify"</formula>
    </cfRule>
  </conditionalFormatting>
  <conditionalFormatting sqref="C463">
    <cfRule type="cellIs" dxfId="32746" priority="1385" stopIfTrue="1" operator="equal">
      <formula>"2 Add"</formula>
    </cfRule>
  </conditionalFormatting>
  <conditionalFormatting sqref="C463">
    <cfRule type="cellIs" dxfId="32745" priority="1386" stopIfTrue="1" operator="equal">
      <formula>"3 Delete"</formula>
    </cfRule>
  </conditionalFormatting>
  <conditionalFormatting sqref="C464">
    <cfRule type="cellIs" dxfId="32744" priority="1387" stopIfTrue="1" operator="equal">
      <formula>"1 Modify"</formula>
    </cfRule>
  </conditionalFormatting>
  <conditionalFormatting sqref="C464">
    <cfRule type="cellIs" dxfId="32743" priority="1388" stopIfTrue="1" operator="equal">
      <formula>"2 Add"</formula>
    </cfRule>
  </conditionalFormatting>
  <conditionalFormatting sqref="C464">
    <cfRule type="cellIs" dxfId="32742" priority="1389" stopIfTrue="1" operator="equal">
      <formula>"3 Delete"</formula>
    </cfRule>
  </conditionalFormatting>
  <conditionalFormatting sqref="C465">
    <cfRule type="cellIs" dxfId="32741" priority="1390" stopIfTrue="1" operator="equal">
      <formula>"1 Modify"</formula>
    </cfRule>
  </conditionalFormatting>
  <conditionalFormatting sqref="C465">
    <cfRule type="cellIs" dxfId="32740" priority="1391" stopIfTrue="1" operator="equal">
      <formula>"2 Add"</formula>
    </cfRule>
  </conditionalFormatting>
  <conditionalFormatting sqref="C465">
    <cfRule type="cellIs" dxfId="32739" priority="1392" stopIfTrue="1" operator="equal">
      <formula>"3 Delete"</formula>
    </cfRule>
  </conditionalFormatting>
  <conditionalFormatting sqref="C466">
    <cfRule type="cellIs" dxfId="32738" priority="1393" stopIfTrue="1" operator="equal">
      <formula>"1 Modify"</formula>
    </cfRule>
  </conditionalFormatting>
  <conditionalFormatting sqref="C466">
    <cfRule type="cellIs" dxfId="32737" priority="1394" stopIfTrue="1" operator="equal">
      <formula>"2 Add"</formula>
    </cfRule>
  </conditionalFormatting>
  <conditionalFormatting sqref="C466">
    <cfRule type="cellIs" dxfId="32736" priority="1395" stopIfTrue="1" operator="equal">
      <formula>"3 Delete"</formula>
    </cfRule>
  </conditionalFormatting>
  <conditionalFormatting sqref="C467">
    <cfRule type="cellIs" dxfId="32735" priority="1396" stopIfTrue="1" operator="equal">
      <formula>"1 Modify"</formula>
    </cfRule>
  </conditionalFormatting>
  <conditionalFormatting sqref="C467">
    <cfRule type="cellIs" dxfId="32734" priority="1397" stopIfTrue="1" operator="equal">
      <formula>"2 Add"</formula>
    </cfRule>
  </conditionalFormatting>
  <conditionalFormatting sqref="C467">
    <cfRule type="cellIs" dxfId="32733" priority="1398" stopIfTrue="1" operator="equal">
      <formula>"3 Delete"</formula>
    </cfRule>
  </conditionalFormatting>
  <conditionalFormatting sqref="C468">
    <cfRule type="cellIs" dxfId="32732" priority="1399" stopIfTrue="1" operator="equal">
      <formula>"1 Modify"</formula>
    </cfRule>
  </conditionalFormatting>
  <conditionalFormatting sqref="C468">
    <cfRule type="cellIs" dxfId="32731" priority="1400" stopIfTrue="1" operator="equal">
      <formula>"2 Add"</formula>
    </cfRule>
  </conditionalFormatting>
  <conditionalFormatting sqref="C468">
    <cfRule type="cellIs" dxfId="32730" priority="1401" stopIfTrue="1" operator="equal">
      <formula>"3 Delete"</formula>
    </cfRule>
  </conditionalFormatting>
  <conditionalFormatting sqref="C469">
    <cfRule type="cellIs" dxfId="32729" priority="1402" stopIfTrue="1" operator="equal">
      <formula>"1 Modify"</formula>
    </cfRule>
  </conditionalFormatting>
  <conditionalFormatting sqref="C469">
    <cfRule type="cellIs" dxfId="32728" priority="1403" stopIfTrue="1" operator="equal">
      <formula>"2 Add"</formula>
    </cfRule>
  </conditionalFormatting>
  <conditionalFormatting sqref="C469">
    <cfRule type="cellIs" dxfId="32727" priority="1404" stopIfTrue="1" operator="equal">
      <formula>"3 Delete"</formula>
    </cfRule>
  </conditionalFormatting>
  <conditionalFormatting sqref="C470">
    <cfRule type="cellIs" dxfId="32726" priority="1405" stopIfTrue="1" operator="equal">
      <formula>"1 Modify"</formula>
    </cfRule>
  </conditionalFormatting>
  <conditionalFormatting sqref="C470">
    <cfRule type="cellIs" dxfId="32725" priority="1406" stopIfTrue="1" operator="equal">
      <formula>"2 Add"</formula>
    </cfRule>
  </conditionalFormatting>
  <conditionalFormatting sqref="C470">
    <cfRule type="cellIs" dxfId="32724" priority="1407" stopIfTrue="1" operator="equal">
      <formula>"3 Delete"</formula>
    </cfRule>
  </conditionalFormatting>
  <conditionalFormatting sqref="C471">
    <cfRule type="cellIs" dxfId="32723" priority="1408" stopIfTrue="1" operator="equal">
      <formula>"1 Modify"</formula>
    </cfRule>
  </conditionalFormatting>
  <conditionalFormatting sqref="C471">
    <cfRule type="cellIs" dxfId="32722" priority="1409" stopIfTrue="1" operator="equal">
      <formula>"2 Add"</formula>
    </cfRule>
  </conditionalFormatting>
  <conditionalFormatting sqref="C471">
    <cfRule type="cellIs" dxfId="32721" priority="1410" stopIfTrue="1" operator="equal">
      <formula>"3 Delete"</formula>
    </cfRule>
  </conditionalFormatting>
  <conditionalFormatting sqref="C472">
    <cfRule type="cellIs" dxfId="32720" priority="1411" stopIfTrue="1" operator="equal">
      <formula>"1 Modify"</formula>
    </cfRule>
  </conditionalFormatting>
  <conditionalFormatting sqref="C472">
    <cfRule type="cellIs" dxfId="32719" priority="1412" stopIfTrue="1" operator="equal">
      <formula>"2 Add"</formula>
    </cfRule>
  </conditionalFormatting>
  <conditionalFormatting sqref="C472">
    <cfRule type="cellIs" dxfId="32718" priority="1413" stopIfTrue="1" operator="equal">
      <formula>"3 Delete"</formula>
    </cfRule>
  </conditionalFormatting>
  <conditionalFormatting sqref="C473">
    <cfRule type="cellIs" dxfId="32717" priority="1414" stopIfTrue="1" operator="equal">
      <formula>"1 Modify"</formula>
    </cfRule>
  </conditionalFormatting>
  <conditionalFormatting sqref="C473">
    <cfRule type="cellIs" dxfId="32716" priority="1415" stopIfTrue="1" operator="equal">
      <formula>"2 Add"</formula>
    </cfRule>
  </conditionalFormatting>
  <conditionalFormatting sqref="C473">
    <cfRule type="cellIs" dxfId="32715" priority="1416" stopIfTrue="1" operator="equal">
      <formula>"3 Delete"</formula>
    </cfRule>
  </conditionalFormatting>
  <conditionalFormatting sqref="C474">
    <cfRule type="cellIs" dxfId="32714" priority="1417" stopIfTrue="1" operator="equal">
      <formula>"1 Modify"</formula>
    </cfRule>
  </conditionalFormatting>
  <conditionalFormatting sqref="C474">
    <cfRule type="cellIs" dxfId="32713" priority="1418" stopIfTrue="1" operator="equal">
      <formula>"2 Add"</formula>
    </cfRule>
  </conditionalFormatting>
  <conditionalFormatting sqref="C474">
    <cfRule type="cellIs" dxfId="32712" priority="1419" stopIfTrue="1" operator="equal">
      <formula>"3 Delete"</formula>
    </cfRule>
  </conditionalFormatting>
  <conditionalFormatting sqref="C475">
    <cfRule type="cellIs" dxfId="32711" priority="1420" stopIfTrue="1" operator="equal">
      <formula>"1 Modify"</formula>
    </cfRule>
  </conditionalFormatting>
  <conditionalFormatting sqref="C475">
    <cfRule type="cellIs" dxfId="32710" priority="1421" stopIfTrue="1" operator="equal">
      <formula>"2 Add"</formula>
    </cfRule>
  </conditionalFormatting>
  <conditionalFormatting sqref="C475">
    <cfRule type="cellIs" dxfId="32709" priority="1422" stopIfTrue="1" operator="equal">
      <formula>"3 Delete"</formula>
    </cfRule>
  </conditionalFormatting>
  <conditionalFormatting sqref="C476">
    <cfRule type="cellIs" dxfId="32708" priority="1423" stopIfTrue="1" operator="equal">
      <formula>"1 Modify"</formula>
    </cfRule>
  </conditionalFormatting>
  <conditionalFormatting sqref="C476">
    <cfRule type="cellIs" dxfId="32707" priority="1424" stopIfTrue="1" operator="equal">
      <formula>"2 Add"</formula>
    </cfRule>
  </conditionalFormatting>
  <conditionalFormatting sqref="C476">
    <cfRule type="cellIs" dxfId="32706" priority="1425" stopIfTrue="1" operator="equal">
      <formula>"3 Delete"</formula>
    </cfRule>
  </conditionalFormatting>
  <conditionalFormatting sqref="C477">
    <cfRule type="cellIs" dxfId="32705" priority="1426" stopIfTrue="1" operator="equal">
      <formula>"1 Modify"</formula>
    </cfRule>
  </conditionalFormatting>
  <conditionalFormatting sqref="C477">
    <cfRule type="cellIs" dxfId="32704" priority="1427" stopIfTrue="1" operator="equal">
      <formula>"2 Add"</formula>
    </cfRule>
  </conditionalFormatting>
  <conditionalFormatting sqref="C477">
    <cfRule type="cellIs" dxfId="32703" priority="1428" stopIfTrue="1" operator="equal">
      <formula>"3 Delete"</formula>
    </cfRule>
  </conditionalFormatting>
  <conditionalFormatting sqref="C478">
    <cfRule type="cellIs" dxfId="32702" priority="1429" stopIfTrue="1" operator="equal">
      <formula>"1 Modify"</formula>
    </cfRule>
  </conditionalFormatting>
  <conditionalFormatting sqref="C478">
    <cfRule type="cellIs" dxfId="32701" priority="1430" stopIfTrue="1" operator="equal">
      <formula>"2 Add"</formula>
    </cfRule>
  </conditionalFormatting>
  <conditionalFormatting sqref="C478">
    <cfRule type="cellIs" dxfId="32700" priority="1431" stopIfTrue="1" operator="equal">
      <formula>"3 Delete"</formula>
    </cfRule>
  </conditionalFormatting>
  <conditionalFormatting sqref="C479">
    <cfRule type="cellIs" dxfId="32699" priority="1432" stopIfTrue="1" operator="equal">
      <formula>"1 Modify"</formula>
    </cfRule>
  </conditionalFormatting>
  <conditionalFormatting sqref="C479">
    <cfRule type="cellIs" dxfId="32698" priority="1433" stopIfTrue="1" operator="equal">
      <formula>"2 Add"</formula>
    </cfRule>
  </conditionalFormatting>
  <conditionalFormatting sqref="C479">
    <cfRule type="cellIs" dxfId="32697" priority="1434" stopIfTrue="1" operator="equal">
      <formula>"3 Delete"</formula>
    </cfRule>
  </conditionalFormatting>
  <conditionalFormatting sqref="C480">
    <cfRule type="cellIs" dxfId="32696" priority="1435" stopIfTrue="1" operator="equal">
      <formula>"1 Modify"</formula>
    </cfRule>
  </conditionalFormatting>
  <conditionalFormatting sqref="C480">
    <cfRule type="cellIs" dxfId="32695" priority="1436" stopIfTrue="1" operator="equal">
      <formula>"2 Add"</formula>
    </cfRule>
  </conditionalFormatting>
  <conditionalFormatting sqref="C480">
    <cfRule type="cellIs" dxfId="32694" priority="1437" stopIfTrue="1" operator="equal">
      <formula>"3 Delete"</formula>
    </cfRule>
  </conditionalFormatting>
  <conditionalFormatting sqref="C481">
    <cfRule type="cellIs" dxfId="32693" priority="1438" stopIfTrue="1" operator="equal">
      <formula>"1 Modify"</formula>
    </cfRule>
  </conditionalFormatting>
  <conditionalFormatting sqref="C481">
    <cfRule type="cellIs" dxfId="32692" priority="1439" stopIfTrue="1" operator="equal">
      <formula>"2 Add"</formula>
    </cfRule>
  </conditionalFormatting>
  <conditionalFormatting sqref="C481">
    <cfRule type="cellIs" dxfId="32691" priority="1440" stopIfTrue="1" operator="equal">
      <formula>"3 Delete"</formula>
    </cfRule>
  </conditionalFormatting>
  <conditionalFormatting sqref="C482">
    <cfRule type="cellIs" dxfId="32690" priority="1441" stopIfTrue="1" operator="equal">
      <formula>"1 Modify"</formula>
    </cfRule>
  </conditionalFormatting>
  <conditionalFormatting sqref="C482">
    <cfRule type="cellIs" dxfId="32689" priority="1442" stopIfTrue="1" operator="equal">
      <formula>"2 Add"</formula>
    </cfRule>
  </conditionalFormatting>
  <conditionalFormatting sqref="C482">
    <cfRule type="cellIs" dxfId="32688" priority="1443" stopIfTrue="1" operator="equal">
      <formula>"3 Delete"</formula>
    </cfRule>
  </conditionalFormatting>
  <conditionalFormatting sqref="C483">
    <cfRule type="cellIs" dxfId="32687" priority="1444" stopIfTrue="1" operator="equal">
      <formula>"1 Modify"</formula>
    </cfRule>
  </conditionalFormatting>
  <conditionalFormatting sqref="C483">
    <cfRule type="cellIs" dxfId="32686" priority="1445" stopIfTrue="1" operator="equal">
      <formula>"2 Add"</formula>
    </cfRule>
  </conditionalFormatting>
  <conditionalFormatting sqref="C483">
    <cfRule type="cellIs" dxfId="32685" priority="1446" stopIfTrue="1" operator="equal">
      <formula>"3 Delete"</formula>
    </cfRule>
  </conditionalFormatting>
  <conditionalFormatting sqref="C484">
    <cfRule type="cellIs" dxfId="32684" priority="1447" stopIfTrue="1" operator="equal">
      <formula>"1 Modify"</formula>
    </cfRule>
  </conditionalFormatting>
  <conditionalFormatting sqref="C484">
    <cfRule type="cellIs" dxfId="32683" priority="1448" stopIfTrue="1" operator="equal">
      <formula>"2 Add"</formula>
    </cfRule>
  </conditionalFormatting>
  <conditionalFormatting sqref="C484">
    <cfRule type="cellIs" dxfId="32682" priority="1449" stopIfTrue="1" operator="equal">
      <formula>"3 Delete"</formula>
    </cfRule>
  </conditionalFormatting>
  <conditionalFormatting sqref="C485">
    <cfRule type="cellIs" dxfId="32681" priority="1450" stopIfTrue="1" operator="equal">
      <formula>"1 Modify"</formula>
    </cfRule>
  </conditionalFormatting>
  <conditionalFormatting sqref="C485">
    <cfRule type="cellIs" dxfId="32680" priority="1451" stopIfTrue="1" operator="equal">
      <formula>"2 Add"</formula>
    </cfRule>
  </conditionalFormatting>
  <conditionalFormatting sqref="C485">
    <cfRule type="cellIs" dxfId="32679" priority="1452" stopIfTrue="1" operator="equal">
      <formula>"3 Delete"</formula>
    </cfRule>
  </conditionalFormatting>
  <conditionalFormatting sqref="C486">
    <cfRule type="cellIs" dxfId="32678" priority="1453" stopIfTrue="1" operator="equal">
      <formula>"1 Modify"</formula>
    </cfRule>
  </conditionalFormatting>
  <conditionalFormatting sqref="C486">
    <cfRule type="cellIs" dxfId="32677" priority="1454" stopIfTrue="1" operator="equal">
      <formula>"2 Add"</formula>
    </cfRule>
  </conditionalFormatting>
  <conditionalFormatting sqref="C486">
    <cfRule type="cellIs" dxfId="32676" priority="1455" stopIfTrue="1" operator="equal">
      <formula>"3 Delete"</formula>
    </cfRule>
  </conditionalFormatting>
  <conditionalFormatting sqref="C487">
    <cfRule type="cellIs" dxfId="32675" priority="1456" stopIfTrue="1" operator="equal">
      <formula>"1 Modify"</formula>
    </cfRule>
  </conditionalFormatting>
  <conditionalFormatting sqref="C487">
    <cfRule type="cellIs" dxfId="32674" priority="1457" stopIfTrue="1" operator="equal">
      <formula>"2 Add"</formula>
    </cfRule>
  </conditionalFormatting>
  <conditionalFormatting sqref="C487">
    <cfRule type="cellIs" dxfId="32673" priority="1458" stopIfTrue="1" operator="equal">
      <formula>"3 Delete"</formula>
    </cfRule>
  </conditionalFormatting>
  <conditionalFormatting sqref="C488">
    <cfRule type="cellIs" dxfId="32672" priority="1459" stopIfTrue="1" operator="equal">
      <formula>"1 Modify"</formula>
    </cfRule>
  </conditionalFormatting>
  <conditionalFormatting sqref="C488">
    <cfRule type="cellIs" dxfId="32671" priority="1460" stopIfTrue="1" operator="equal">
      <formula>"2 Add"</formula>
    </cfRule>
  </conditionalFormatting>
  <conditionalFormatting sqref="C488">
    <cfRule type="cellIs" dxfId="32670" priority="1461" stopIfTrue="1" operator="equal">
      <formula>"3 Delete"</formula>
    </cfRule>
  </conditionalFormatting>
  <conditionalFormatting sqref="C489">
    <cfRule type="cellIs" dxfId="32669" priority="1462" stopIfTrue="1" operator="equal">
      <formula>"1 Modify"</formula>
    </cfRule>
  </conditionalFormatting>
  <conditionalFormatting sqref="C489">
    <cfRule type="cellIs" dxfId="32668" priority="1463" stopIfTrue="1" operator="equal">
      <formula>"2 Add"</formula>
    </cfRule>
  </conditionalFormatting>
  <conditionalFormatting sqref="C489">
    <cfRule type="cellIs" dxfId="32667" priority="1464" stopIfTrue="1" operator="equal">
      <formula>"3 Delete"</formula>
    </cfRule>
  </conditionalFormatting>
  <conditionalFormatting sqref="C490">
    <cfRule type="cellIs" dxfId="32666" priority="1465" stopIfTrue="1" operator="equal">
      <formula>"1 Modify"</formula>
    </cfRule>
  </conditionalFormatting>
  <conditionalFormatting sqref="C490">
    <cfRule type="cellIs" dxfId="32665" priority="1466" stopIfTrue="1" operator="equal">
      <formula>"2 Add"</formula>
    </cfRule>
  </conditionalFormatting>
  <conditionalFormatting sqref="C490">
    <cfRule type="cellIs" dxfId="32664" priority="1467" stopIfTrue="1" operator="equal">
      <formula>"3 Delete"</formula>
    </cfRule>
  </conditionalFormatting>
  <conditionalFormatting sqref="C491">
    <cfRule type="cellIs" dxfId="32663" priority="1468" stopIfTrue="1" operator="equal">
      <formula>"1 Modify"</formula>
    </cfRule>
  </conditionalFormatting>
  <conditionalFormatting sqref="C491">
    <cfRule type="cellIs" dxfId="32662" priority="1469" stopIfTrue="1" operator="equal">
      <formula>"2 Add"</formula>
    </cfRule>
  </conditionalFormatting>
  <conditionalFormatting sqref="C491">
    <cfRule type="cellIs" dxfId="32661" priority="1470" stopIfTrue="1" operator="equal">
      <formula>"3 Delete"</formula>
    </cfRule>
  </conditionalFormatting>
  <conditionalFormatting sqref="C492">
    <cfRule type="cellIs" dxfId="32660" priority="1471" stopIfTrue="1" operator="equal">
      <formula>"1 Modify"</formula>
    </cfRule>
  </conditionalFormatting>
  <conditionalFormatting sqref="C492">
    <cfRule type="cellIs" dxfId="32659" priority="1472" stopIfTrue="1" operator="equal">
      <formula>"2 Add"</formula>
    </cfRule>
  </conditionalFormatting>
  <conditionalFormatting sqref="C492">
    <cfRule type="cellIs" dxfId="32658" priority="1473" stopIfTrue="1" operator="equal">
      <formula>"3 Delete"</formula>
    </cfRule>
  </conditionalFormatting>
  <conditionalFormatting sqref="C493">
    <cfRule type="cellIs" dxfId="32657" priority="1474" stopIfTrue="1" operator="equal">
      <formula>"1 Modify"</formula>
    </cfRule>
  </conditionalFormatting>
  <conditionalFormatting sqref="C493">
    <cfRule type="cellIs" dxfId="32656" priority="1475" stopIfTrue="1" operator="equal">
      <formula>"2 Add"</formula>
    </cfRule>
  </conditionalFormatting>
  <conditionalFormatting sqref="C493">
    <cfRule type="cellIs" dxfId="32655" priority="1476" stopIfTrue="1" operator="equal">
      <formula>"3 Delete"</formula>
    </cfRule>
  </conditionalFormatting>
  <conditionalFormatting sqref="C494">
    <cfRule type="cellIs" dxfId="32654" priority="1477" stopIfTrue="1" operator="equal">
      <formula>"1 Modify"</formula>
    </cfRule>
  </conditionalFormatting>
  <conditionalFormatting sqref="C494">
    <cfRule type="cellIs" dxfId="32653" priority="1478" stopIfTrue="1" operator="equal">
      <formula>"2 Add"</formula>
    </cfRule>
  </conditionalFormatting>
  <conditionalFormatting sqref="C494">
    <cfRule type="cellIs" dxfId="32652" priority="1479" stopIfTrue="1" operator="equal">
      <formula>"3 Delete"</formula>
    </cfRule>
  </conditionalFormatting>
  <conditionalFormatting sqref="C495">
    <cfRule type="cellIs" dxfId="32651" priority="1480" stopIfTrue="1" operator="equal">
      <formula>"1 Modify"</formula>
    </cfRule>
  </conditionalFormatting>
  <conditionalFormatting sqref="C495">
    <cfRule type="cellIs" dxfId="32650" priority="1481" stopIfTrue="1" operator="equal">
      <formula>"2 Add"</formula>
    </cfRule>
  </conditionalFormatting>
  <conditionalFormatting sqref="C495">
    <cfRule type="cellIs" dxfId="32649" priority="1482" stopIfTrue="1" operator="equal">
      <formula>"3 Delete"</formula>
    </cfRule>
  </conditionalFormatting>
  <conditionalFormatting sqref="C496">
    <cfRule type="cellIs" dxfId="32648" priority="1483" stopIfTrue="1" operator="equal">
      <formula>"1 Modify"</formula>
    </cfRule>
  </conditionalFormatting>
  <conditionalFormatting sqref="C496">
    <cfRule type="cellIs" dxfId="32647" priority="1484" stopIfTrue="1" operator="equal">
      <formula>"2 Add"</formula>
    </cfRule>
  </conditionalFormatting>
  <conditionalFormatting sqref="C496">
    <cfRule type="cellIs" dxfId="32646" priority="1485" stopIfTrue="1" operator="equal">
      <formula>"3 Delete"</formula>
    </cfRule>
  </conditionalFormatting>
  <conditionalFormatting sqref="C497">
    <cfRule type="cellIs" dxfId="32645" priority="1486" stopIfTrue="1" operator="equal">
      <formula>"1 Modify"</formula>
    </cfRule>
  </conditionalFormatting>
  <conditionalFormatting sqref="C497">
    <cfRule type="cellIs" dxfId="32644" priority="1487" stopIfTrue="1" operator="equal">
      <formula>"2 Add"</formula>
    </cfRule>
  </conditionalFormatting>
  <conditionalFormatting sqref="C497">
    <cfRule type="cellIs" dxfId="32643" priority="1488" stopIfTrue="1" operator="equal">
      <formula>"3 Delete"</formula>
    </cfRule>
  </conditionalFormatting>
  <conditionalFormatting sqref="C498">
    <cfRule type="cellIs" dxfId="32642" priority="1489" stopIfTrue="1" operator="equal">
      <formula>"1 Modify"</formula>
    </cfRule>
  </conditionalFormatting>
  <conditionalFormatting sqref="C498">
    <cfRule type="cellIs" dxfId="32641" priority="1490" stopIfTrue="1" operator="equal">
      <formula>"2 Add"</formula>
    </cfRule>
  </conditionalFormatting>
  <conditionalFormatting sqref="C498">
    <cfRule type="cellIs" dxfId="32640" priority="1491" stopIfTrue="1" operator="equal">
      <formula>"3 Delete"</formula>
    </cfRule>
  </conditionalFormatting>
  <conditionalFormatting sqref="C499">
    <cfRule type="cellIs" dxfId="32639" priority="1492" stopIfTrue="1" operator="equal">
      <formula>"1 Modify"</formula>
    </cfRule>
  </conditionalFormatting>
  <conditionalFormatting sqref="C499">
    <cfRule type="cellIs" dxfId="32638" priority="1493" stopIfTrue="1" operator="equal">
      <formula>"2 Add"</formula>
    </cfRule>
  </conditionalFormatting>
  <conditionalFormatting sqref="C499">
    <cfRule type="cellIs" dxfId="32637" priority="1494" stopIfTrue="1" operator="equal">
      <formula>"3 Delete"</formula>
    </cfRule>
  </conditionalFormatting>
  <conditionalFormatting sqref="C500">
    <cfRule type="cellIs" dxfId="32636" priority="1495" stopIfTrue="1" operator="equal">
      <formula>"1 Modify"</formula>
    </cfRule>
  </conditionalFormatting>
  <conditionalFormatting sqref="C500">
    <cfRule type="cellIs" dxfId="32635" priority="1496" stopIfTrue="1" operator="equal">
      <formula>"2 Add"</formula>
    </cfRule>
  </conditionalFormatting>
  <conditionalFormatting sqref="C500">
    <cfRule type="cellIs" dxfId="32634" priority="1497" stopIfTrue="1" operator="equal">
      <formula>"3 Delete"</formula>
    </cfRule>
  </conditionalFormatting>
  <conditionalFormatting sqref="C501">
    <cfRule type="cellIs" dxfId="32633" priority="1498" stopIfTrue="1" operator="equal">
      <formula>"1 Modify"</formula>
    </cfRule>
  </conditionalFormatting>
  <conditionalFormatting sqref="C501">
    <cfRule type="cellIs" dxfId="32632" priority="1499" stopIfTrue="1" operator="equal">
      <formula>"2 Add"</formula>
    </cfRule>
  </conditionalFormatting>
  <conditionalFormatting sqref="C501">
    <cfRule type="cellIs" dxfId="32631" priority="1500" stopIfTrue="1" operator="equal">
      <formula>"3 Delete"</formula>
    </cfRule>
  </conditionalFormatting>
  <conditionalFormatting sqref="C502">
    <cfRule type="cellIs" dxfId="32630" priority="1501" stopIfTrue="1" operator="equal">
      <formula>"1 Modify"</formula>
    </cfRule>
  </conditionalFormatting>
  <conditionalFormatting sqref="C502">
    <cfRule type="cellIs" dxfId="32629" priority="1502" stopIfTrue="1" operator="equal">
      <formula>"2 Add"</formula>
    </cfRule>
  </conditionalFormatting>
  <conditionalFormatting sqref="C502">
    <cfRule type="cellIs" dxfId="32628" priority="1503" stopIfTrue="1" operator="equal">
      <formula>"3 Delete"</formula>
    </cfRule>
  </conditionalFormatting>
  <conditionalFormatting sqref="C503">
    <cfRule type="cellIs" dxfId="32627" priority="1504" stopIfTrue="1" operator="equal">
      <formula>"1 Modify"</formula>
    </cfRule>
  </conditionalFormatting>
  <conditionalFormatting sqref="C503">
    <cfRule type="cellIs" dxfId="32626" priority="1505" stopIfTrue="1" operator="equal">
      <formula>"2 Add"</formula>
    </cfRule>
  </conditionalFormatting>
  <conditionalFormatting sqref="C503">
    <cfRule type="cellIs" dxfId="32625" priority="1506" stopIfTrue="1" operator="equal">
      <formula>"3 Delete"</formula>
    </cfRule>
  </conditionalFormatting>
  <conditionalFormatting sqref="C504">
    <cfRule type="cellIs" dxfId="32624" priority="1507" stopIfTrue="1" operator="equal">
      <formula>"1 Modify"</formula>
    </cfRule>
  </conditionalFormatting>
  <conditionalFormatting sqref="C504">
    <cfRule type="cellIs" dxfId="32623" priority="1508" stopIfTrue="1" operator="equal">
      <formula>"2 Add"</formula>
    </cfRule>
  </conditionalFormatting>
  <conditionalFormatting sqref="C504">
    <cfRule type="cellIs" dxfId="32622" priority="1509" stopIfTrue="1" operator="equal">
      <formula>"3 Delete"</formula>
    </cfRule>
  </conditionalFormatting>
  <conditionalFormatting sqref="C505">
    <cfRule type="cellIs" dxfId="32621" priority="1510" stopIfTrue="1" operator="equal">
      <formula>"1 Modify"</formula>
    </cfRule>
  </conditionalFormatting>
  <conditionalFormatting sqref="C505">
    <cfRule type="cellIs" dxfId="32620" priority="1511" stopIfTrue="1" operator="equal">
      <formula>"2 Add"</formula>
    </cfRule>
  </conditionalFormatting>
  <conditionalFormatting sqref="C505">
    <cfRule type="cellIs" dxfId="32619" priority="1512" stopIfTrue="1" operator="equal">
      <formula>"3 Delete"</formula>
    </cfRule>
  </conditionalFormatting>
  <conditionalFormatting sqref="C506">
    <cfRule type="cellIs" dxfId="32618" priority="1513" stopIfTrue="1" operator="equal">
      <formula>"1 Modify"</formula>
    </cfRule>
  </conditionalFormatting>
  <conditionalFormatting sqref="C506">
    <cfRule type="cellIs" dxfId="32617" priority="1514" stopIfTrue="1" operator="equal">
      <formula>"2 Add"</formula>
    </cfRule>
  </conditionalFormatting>
  <conditionalFormatting sqref="C506">
    <cfRule type="cellIs" dxfId="32616" priority="1515" stopIfTrue="1" operator="equal">
      <formula>"3 Delete"</formula>
    </cfRule>
  </conditionalFormatting>
  <conditionalFormatting sqref="C507">
    <cfRule type="cellIs" dxfId="32615" priority="1516" stopIfTrue="1" operator="equal">
      <formula>"1 Modify"</formula>
    </cfRule>
  </conditionalFormatting>
  <conditionalFormatting sqref="C507">
    <cfRule type="cellIs" dxfId="32614" priority="1517" stopIfTrue="1" operator="equal">
      <formula>"2 Add"</formula>
    </cfRule>
  </conditionalFormatting>
  <conditionalFormatting sqref="C507">
    <cfRule type="cellIs" dxfId="32613" priority="1518" stopIfTrue="1" operator="equal">
      <formula>"3 Delete"</formula>
    </cfRule>
  </conditionalFormatting>
  <conditionalFormatting sqref="C508">
    <cfRule type="cellIs" dxfId="32612" priority="1519" stopIfTrue="1" operator="equal">
      <formula>"1 Modify"</formula>
    </cfRule>
  </conditionalFormatting>
  <conditionalFormatting sqref="C508">
    <cfRule type="cellIs" dxfId="32611" priority="1520" stopIfTrue="1" operator="equal">
      <formula>"2 Add"</formula>
    </cfRule>
  </conditionalFormatting>
  <conditionalFormatting sqref="C508">
    <cfRule type="cellIs" dxfId="32610" priority="1521" stopIfTrue="1" operator="equal">
      <formula>"3 Delete"</formula>
    </cfRule>
  </conditionalFormatting>
  <conditionalFormatting sqref="C509">
    <cfRule type="cellIs" dxfId="32609" priority="1522" stopIfTrue="1" operator="equal">
      <formula>"1 Modify"</formula>
    </cfRule>
  </conditionalFormatting>
  <conditionalFormatting sqref="C509">
    <cfRule type="cellIs" dxfId="32608" priority="1523" stopIfTrue="1" operator="equal">
      <formula>"2 Add"</formula>
    </cfRule>
  </conditionalFormatting>
  <conditionalFormatting sqref="C509">
    <cfRule type="cellIs" dxfId="32607" priority="1524" stopIfTrue="1" operator="equal">
      <formula>"3 Delete"</formula>
    </cfRule>
  </conditionalFormatting>
  <conditionalFormatting sqref="C510">
    <cfRule type="cellIs" dxfId="32606" priority="1525" stopIfTrue="1" operator="equal">
      <formula>"1 Modify"</formula>
    </cfRule>
  </conditionalFormatting>
  <conditionalFormatting sqref="C510">
    <cfRule type="cellIs" dxfId="32605" priority="1526" stopIfTrue="1" operator="equal">
      <formula>"2 Add"</formula>
    </cfRule>
  </conditionalFormatting>
  <conditionalFormatting sqref="C510">
    <cfRule type="cellIs" dxfId="32604" priority="1527" stopIfTrue="1" operator="equal">
      <formula>"3 Delete"</formula>
    </cfRule>
  </conditionalFormatting>
  <conditionalFormatting sqref="C511">
    <cfRule type="cellIs" dxfId="32603" priority="1528" stopIfTrue="1" operator="equal">
      <formula>"1 Modify"</formula>
    </cfRule>
  </conditionalFormatting>
  <conditionalFormatting sqref="C511">
    <cfRule type="cellIs" dxfId="32602" priority="1529" stopIfTrue="1" operator="equal">
      <formula>"2 Add"</formula>
    </cfRule>
  </conditionalFormatting>
  <conditionalFormatting sqref="C511">
    <cfRule type="cellIs" dxfId="32601" priority="1530" stopIfTrue="1" operator="equal">
      <formula>"3 Delete"</formula>
    </cfRule>
  </conditionalFormatting>
  <conditionalFormatting sqref="C512">
    <cfRule type="cellIs" dxfId="32600" priority="1531" stopIfTrue="1" operator="equal">
      <formula>"1 Modify"</formula>
    </cfRule>
  </conditionalFormatting>
  <conditionalFormatting sqref="C512">
    <cfRule type="cellIs" dxfId="32599" priority="1532" stopIfTrue="1" operator="equal">
      <formula>"2 Add"</formula>
    </cfRule>
  </conditionalFormatting>
  <conditionalFormatting sqref="C512">
    <cfRule type="cellIs" dxfId="32598" priority="1533" stopIfTrue="1" operator="equal">
      <formula>"3 Delete"</formula>
    </cfRule>
  </conditionalFormatting>
  <conditionalFormatting sqref="C513">
    <cfRule type="cellIs" dxfId="32597" priority="1534" stopIfTrue="1" operator="equal">
      <formula>"1 Modify"</formula>
    </cfRule>
  </conditionalFormatting>
  <conditionalFormatting sqref="C513">
    <cfRule type="cellIs" dxfId="32596" priority="1535" stopIfTrue="1" operator="equal">
      <formula>"2 Add"</formula>
    </cfRule>
  </conditionalFormatting>
  <conditionalFormatting sqref="C513">
    <cfRule type="cellIs" dxfId="32595" priority="1536" stopIfTrue="1" operator="equal">
      <formula>"3 Delete"</formula>
    </cfRule>
  </conditionalFormatting>
  <conditionalFormatting sqref="C514">
    <cfRule type="cellIs" dxfId="32594" priority="1537" stopIfTrue="1" operator="equal">
      <formula>"1 Modify"</formula>
    </cfRule>
  </conditionalFormatting>
  <conditionalFormatting sqref="C514">
    <cfRule type="cellIs" dxfId="32593" priority="1538" stopIfTrue="1" operator="equal">
      <formula>"2 Add"</formula>
    </cfRule>
  </conditionalFormatting>
  <conditionalFormatting sqref="C514">
    <cfRule type="cellIs" dxfId="32592" priority="1539" stopIfTrue="1" operator="equal">
      <formula>"3 Delete"</formula>
    </cfRule>
  </conditionalFormatting>
  <conditionalFormatting sqref="C515">
    <cfRule type="cellIs" dxfId="32591" priority="1540" stopIfTrue="1" operator="equal">
      <formula>"1 Modify"</formula>
    </cfRule>
  </conditionalFormatting>
  <conditionalFormatting sqref="C515">
    <cfRule type="cellIs" dxfId="32590" priority="1541" stopIfTrue="1" operator="equal">
      <formula>"2 Add"</formula>
    </cfRule>
  </conditionalFormatting>
  <conditionalFormatting sqref="C515">
    <cfRule type="cellIs" dxfId="32589" priority="1542" stopIfTrue="1" operator="equal">
      <formula>"3 Delete"</formula>
    </cfRule>
  </conditionalFormatting>
  <conditionalFormatting sqref="C516">
    <cfRule type="cellIs" dxfId="32588" priority="1543" stopIfTrue="1" operator="equal">
      <formula>"1 Modify"</formula>
    </cfRule>
  </conditionalFormatting>
  <conditionalFormatting sqref="C516">
    <cfRule type="cellIs" dxfId="32587" priority="1544" stopIfTrue="1" operator="equal">
      <formula>"2 Add"</formula>
    </cfRule>
  </conditionalFormatting>
  <conditionalFormatting sqref="C516">
    <cfRule type="cellIs" dxfId="32586" priority="1545" stopIfTrue="1" operator="equal">
      <formula>"3 Delete"</formula>
    </cfRule>
  </conditionalFormatting>
  <conditionalFormatting sqref="C517">
    <cfRule type="cellIs" dxfId="32585" priority="1546" stopIfTrue="1" operator="equal">
      <formula>"1 Modify"</formula>
    </cfRule>
  </conditionalFormatting>
  <conditionalFormatting sqref="C517">
    <cfRule type="cellIs" dxfId="32584" priority="1547" stopIfTrue="1" operator="equal">
      <formula>"2 Add"</formula>
    </cfRule>
  </conditionalFormatting>
  <conditionalFormatting sqref="C517">
    <cfRule type="cellIs" dxfId="32583" priority="1548" stopIfTrue="1" operator="equal">
      <formula>"3 Delete"</formula>
    </cfRule>
  </conditionalFormatting>
  <conditionalFormatting sqref="C518">
    <cfRule type="cellIs" dxfId="32582" priority="1549" stopIfTrue="1" operator="equal">
      <formula>"1 Modify"</formula>
    </cfRule>
  </conditionalFormatting>
  <conditionalFormatting sqref="C518">
    <cfRule type="cellIs" dxfId="32581" priority="1550" stopIfTrue="1" operator="equal">
      <formula>"2 Add"</formula>
    </cfRule>
  </conditionalFormatting>
  <conditionalFormatting sqref="C518">
    <cfRule type="cellIs" dxfId="32580" priority="1551" stopIfTrue="1" operator="equal">
      <formula>"3 Delete"</formula>
    </cfRule>
  </conditionalFormatting>
  <conditionalFormatting sqref="C519">
    <cfRule type="cellIs" dxfId="32579" priority="1552" stopIfTrue="1" operator="equal">
      <formula>"1 Modify"</formula>
    </cfRule>
  </conditionalFormatting>
  <conditionalFormatting sqref="C519">
    <cfRule type="cellIs" dxfId="32578" priority="1553" stopIfTrue="1" operator="equal">
      <formula>"2 Add"</formula>
    </cfRule>
  </conditionalFormatting>
  <conditionalFormatting sqref="C519">
    <cfRule type="cellIs" dxfId="32577" priority="1554" stopIfTrue="1" operator="equal">
      <formula>"3 Delete"</formula>
    </cfRule>
  </conditionalFormatting>
  <conditionalFormatting sqref="C520">
    <cfRule type="cellIs" dxfId="32576" priority="1555" stopIfTrue="1" operator="equal">
      <formula>"1 Modify"</formula>
    </cfRule>
  </conditionalFormatting>
  <conditionalFormatting sqref="C520">
    <cfRule type="cellIs" dxfId="32575" priority="1556" stopIfTrue="1" operator="equal">
      <formula>"2 Add"</formula>
    </cfRule>
  </conditionalFormatting>
  <conditionalFormatting sqref="C520">
    <cfRule type="cellIs" dxfId="32574" priority="1557" stopIfTrue="1" operator="equal">
      <formula>"3 Delete"</formula>
    </cfRule>
  </conditionalFormatting>
  <conditionalFormatting sqref="C521">
    <cfRule type="cellIs" dxfId="32573" priority="1558" stopIfTrue="1" operator="equal">
      <formula>"1 Modify"</formula>
    </cfRule>
  </conditionalFormatting>
  <conditionalFormatting sqref="C521">
    <cfRule type="cellIs" dxfId="32572" priority="1559" stopIfTrue="1" operator="equal">
      <formula>"2 Add"</formula>
    </cfRule>
  </conditionalFormatting>
  <conditionalFormatting sqref="C521">
    <cfRule type="cellIs" dxfId="32571" priority="1560" stopIfTrue="1" operator="equal">
      <formula>"3 Delete"</formula>
    </cfRule>
  </conditionalFormatting>
  <conditionalFormatting sqref="C522">
    <cfRule type="cellIs" dxfId="32570" priority="1561" stopIfTrue="1" operator="equal">
      <formula>"1 Modify"</formula>
    </cfRule>
  </conditionalFormatting>
  <conditionalFormatting sqref="C522">
    <cfRule type="cellIs" dxfId="32569" priority="1562" stopIfTrue="1" operator="equal">
      <formula>"2 Add"</formula>
    </cfRule>
  </conditionalFormatting>
  <conditionalFormatting sqref="C522">
    <cfRule type="cellIs" dxfId="32568" priority="1563" stopIfTrue="1" operator="equal">
      <formula>"3 Delete"</formula>
    </cfRule>
  </conditionalFormatting>
  <conditionalFormatting sqref="C523">
    <cfRule type="cellIs" dxfId="32567" priority="1564" stopIfTrue="1" operator="equal">
      <formula>"1 Modify"</formula>
    </cfRule>
  </conditionalFormatting>
  <conditionalFormatting sqref="C523">
    <cfRule type="cellIs" dxfId="32566" priority="1565" stopIfTrue="1" operator="equal">
      <formula>"2 Add"</formula>
    </cfRule>
  </conditionalFormatting>
  <conditionalFormatting sqref="C523">
    <cfRule type="cellIs" dxfId="32565" priority="1566" stopIfTrue="1" operator="equal">
      <formula>"3 Delete"</formula>
    </cfRule>
  </conditionalFormatting>
  <conditionalFormatting sqref="C524">
    <cfRule type="cellIs" dxfId="32564" priority="1567" stopIfTrue="1" operator="equal">
      <formula>"1 Modify"</formula>
    </cfRule>
  </conditionalFormatting>
  <conditionalFormatting sqref="C524">
    <cfRule type="cellIs" dxfId="32563" priority="1568" stopIfTrue="1" operator="equal">
      <formula>"2 Add"</formula>
    </cfRule>
  </conditionalFormatting>
  <conditionalFormatting sqref="C524">
    <cfRule type="cellIs" dxfId="32562" priority="1569" stopIfTrue="1" operator="equal">
      <formula>"3 Delete"</formula>
    </cfRule>
  </conditionalFormatting>
  <conditionalFormatting sqref="C525">
    <cfRule type="cellIs" dxfId="32561" priority="1570" stopIfTrue="1" operator="equal">
      <formula>"1 Modify"</formula>
    </cfRule>
  </conditionalFormatting>
  <conditionalFormatting sqref="C525">
    <cfRule type="cellIs" dxfId="32560" priority="1571" stopIfTrue="1" operator="equal">
      <formula>"2 Add"</formula>
    </cfRule>
  </conditionalFormatting>
  <conditionalFormatting sqref="C525">
    <cfRule type="cellIs" dxfId="32559" priority="1572" stopIfTrue="1" operator="equal">
      <formula>"3 Delete"</formula>
    </cfRule>
  </conditionalFormatting>
  <conditionalFormatting sqref="C526">
    <cfRule type="cellIs" dxfId="32558" priority="1573" stopIfTrue="1" operator="equal">
      <formula>"1 Modify"</formula>
    </cfRule>
  </conditionalFormatting>
  <conditionalFormatting sqref="C526">
    <cfRule type="cellIs" dxfId="32557" priority="1574" stopIfTrue="1" operator="equal">
      <formula>"2 Add"</formula>
    </cfRule>
  </conditionalFormatting>
  <conditionalFormatting sqref="C526">
    <cfRule type="cellIs" dxfId="32556" priority="1575" stopIfTrue="1" operator="equal">
      <formula>"3 Delete"</formula>
    </cfRule>
  </conditionalFormatting>
  <conditionalFormatting sqref="C527">
    <cfRule type="cellIs" dxfId="32555" priority="1576" stopIfTrue="1" operator="equal">
      <formula>"1 Modify"</formula>
    </cfRule>
  </conditionalFormatting>
  <conditionalFormatting sqref="C527">
    <cfRule type="cellIs" dxfId="32554" priority="1577" stopIfTrue="1" operator="equal">
      <formula>"2 Add"</formula>
    </cfRule>
  </conditionalFormatting>
  <conditionalFormatting sqref="C527">
    <cfRule type="cellIs" dxfId="32553" priority="1578" stopIfTrue="1" operator="equal">
      <formula>"3 Delete"</formula>
    </cfRule>
  </conditionalFormatting>
  <conditionalFormatting sqref="C528">
    <cfRule type="cellIs" dxfId="32552" priority="1579" stopIfTrue="1" operator="equal">
      <formula>"1 Modify"</formula>
    </cfRule>
  </conditionalFormatting>
  <conditionalFormatting sqref="C528">
    <cfRule type="cellIs" dxfId="32551" priority="1580" stopIfTrue="1" operator="equal">
      <formula>"2 Add"</formula>
    </cfRule>
  </conditionalFormatting>
  <conditionalFormatting sqref="C528">
    <cfRule type="cellIs" dxfId="32550" priority="1581" stopIfTrue="1" operator="equal">
      <formula>"3 Delete"</formula>
    </cfRule>
  </conditionalFormatting>
  <conditionalFormatting sqref="C529">
    <cfRule type="cellIs" dxfId="32549" priority="1582" stopIfTrue="1" operator="equal">
      <formula>"1 Modify"</formula>
    </cfRule>
  </conditionalFormatting>
  <conditionalFormatting sqref="C529">
    <cfRule type="cellIs" dxfId="32548" priority="1583" stopIfTrue="1" operator="equal">
      <formula>"2 Add"</formula>
    </cfRule>
  </conditionalFormatting>
  <conditionalFormatting sqref="C529">
    <cfRule type="cellIs" dxfId="32547" priority="1584" stopIfTrue="1" operator="equal">
      <formula>"3 Delete"</formula>
    </cfRule>
  </conditionalFormatting>
  <conditionalFormatting sqref="C530">
    <cfRule type="cellIs" dxfId="32546" priority="1585" stopIfTrue="1" operator="equal">
      <formula>"1 Modify"</formula>
    </cfRule>
  </conditionalFormatting>
  <conditionalFormatting sqref="C530">
    <cfRule type="cellIs" dxfId="32545" priority="1586" stopIfTrue="1" operator="equal">
      <formula>"2 Add"</formula>
    </cfRule>
  </conditionalFormatting>
  <conditionalFormatting sqref="C530">
    <cfRule type="cellIs" dxfId="32544" priority="1587" stopIfTrue="1" operator="equal">
      <formula>"3 Delete"</formula>
    </cfRule>
  </conditionalFormatting>
  <conditionalFormatting sqref="C531">
    <cfRule type="cellIs" dxfId="32543" priority="1588" stopIfTrue="1" operator="equal">
      <formula>"1 Modify"</formula>
    </cfRule>
  </conditionalFormatting>
  <conditionalFormatting sqref="C531">
    <cfRule type="cellIs" dxfId="32542" priority="1589" stopIfTrue="1" operator="equal">
      <formula>"2 Add"</formula>
    </cfRule>
  </conditionalFormatting>
  <conditionalFormatting sqref="C531">
    <cfRule type="cellIs" dxfId="32541" priority="1590" stopIfTrue="1" operator="equal">
      <formula>"3 Delete"</formula>
    </cfRule>
  </conditionalFormatting>
  <conditionalFormatting sqref="C532">
    <cfRule type="cellIs" dxfId="32540" priority="1591" stopIfTrue="1" operator="equal">
      <formula>"1 Modify"</formula>
    </cfRule>
  </conditionalFormatting>
  <conditionalFormatting sqref="C532">
    <cfRule type="cellIs" dxfId="32539" priority="1592" stopIfTrue="1" operator="equal">
      <formula>"2 Add"</formula>
    </cfRule>
  </conditionalFormatting>
  <conditionalFormatting sqref="C532">
    <cfRule type="cellIs" dxfId="32538" priority="1593" stopIfTrue="1" operator="equal">
      <formula>"3 Delete"</formula>
    </cfRule>
  </conditionalFormatting>
  <conditionalFormatting sqref="C533">
    <cfRule type="cellIs" dxfId="32537" priority="1594" stopIfTrue="1" operator="equal">
      <formula>"1 Modify"</formula>
    </cfRule>
  </conditionalFormatting>
  <conditionalFormatting sqref="C533">
    <cfRule type="cellIs" dxfId="32536" priority="1595" stopIfTrue="1" operator="equal">
      <formula>"2 Add"</formula>
    </cfRule>
  </conditionalFormatting>
  <conditionalFormatting sqref="C533">
    <cfRule type="cellIs" dxfId="32535" priority="1596" stopIfTrue="1" operator="equal">
      <formula>"3 Delete"</formula>
    </cfRule>
  </conditionalFormatting>
  <conditionalFormatting sqref="C534">
    <cfRule type="cellIs" dxfId="32534" priority="1597" stopIfTrue="1" operator="equal">
      <formula>"1 Modify"</formula>
    </cfRule>
  </conditionalFormatting>
  <conditionalFormatting sqref="C534">
    <cfRule type="cellIs" dxfId="32533" priority="1598" stopIfTrue="1" operator="equal">
      <formula>"2 Add"</formula>
    </cfRule>
  </conditionalFormatting>
  <conditionalFormatting sqref="C534">
    <cfRule type="cellIs" dxfId="32532" priority="1599" stopIfTrue="1" operator="equal">
      <formula>"3 Delete"</formula>
    </cfRule>
  </conditionalFormatting>
  <conditionalFormatting sqref="C535">
    <cfRule type="cellIs" dxfId="32531" priority="1600" stopIfTrue="1" operator="equal">
      <formula>"1 Modify"</formula>
    </cfRule>
  </conditionalFormatting>
  <conditionalFormatting sqref="C535">
    <cfRule type="cellIs" dxfId="32530" priority="1601" stopIfTrue="1" operator="equal">
      <formula>"2 Add"</formula>
    </cfRule>
  </conditionalFormatting>
  <conditionalFormatting sqref="C535">
    <cfRule type="cellIs" dxfId="32529" priority="1602" stopIfTrue="1" operator="equal">
      <formula>"3 Delete"</formula>
    </cfRule>
  </conditionalFormatting>
  <conditionalFormatting sqref="C536">
    <cfRule type="cellIs" dxfId="32528" priority="1603" stopIfTrue="1" operator="equal">
      <formula>"1 Modify"</formula>
    </cfRule>
  </conditionalFormatting>
  <conditionalFormatting sqref="C536">
    <cfRule type="cellIs" dxfId="32527" priority="1604" stopIfTrue="1" operator="equal">
      <formula>"2 Add"</formula>
    </cfRule>
  </conditionalFormatting>
  <conditionalFormatting sqref="C536">
    <cfRule type="cellIs" dxfId="32526" priority="1605" stopIfTrue="1" operator="equal">
      <formula>"3 Delete"</formula>
    </cfRule>
  </conditionalFormatting>
  <conditionalFormatting sqref="C537">
    <cfRule type="cellIs" dxfId="32525" priority="1606" stopIfTrue="1" operator="equal">
      <formula>"1 Modify"</formula>
    </cfRule>
  </conditionalFormatting>
  <conditionalFormatting sqref="C537">
    <cfRule type="cellIs" dxfId="32524" priority="1607" stopIfTrue="1" operator="equal">
      <formula>"2 Add"</formula>
    </cfRule>
  </conditionalFormatting>
  <conditionalFormatting sqref="C537">
    <cfRule type="cellIs" dxfId="32523" priority="1608" stopIfTrue="1" operator="equal">
      <formula>"3 Delete"</formula>
    </cfRule>
  </conditionalFormatting>
  <conditionalFormatting sqref="C538">
    <cfRule type="cellIs" dxfId="32522" priority="1609" stopIfTrue="1" operator="equal">
      <formula>"1 Modify"</formula>
    </cfRule>
  </conditionalFormatting>
  <conditionalFormatting sqref="C538">
    <cfRule type="cellIs" dxfId="32521" priority="1610" stopIfTrue="1" operator="equal">
      <formula>"2 Add"</formula>
    </cfRule>
  </conditionalFormatting>
  <conditionalFormatting sqref="C538">
    <cfRule type="cellIs" dxfId="32520" priority="1611" stopIfTrue="1" operator="equal">
      <formula>"3 Delete"</formula>
    </cfRule>
  </conditionalFormatting>
  <conditionalFormatting sqref="C539">
    <cfRule type="cellIs" dxfId="32519" priority="1612" stopIfTrue="1" operator="equal">
      <formula>"1 Modify"</formula>
    </cfRule>
  </conditionalFormatting>
  <conditionalFormatting sqref="C539">
    <cfRule type="cellIs" dxfId="32518" priority="1613" stopIfTrue="1" operator="equal">
      <formula>"2 Add"</formula>
    </cfRule>
  </conditionalFormatting>
  <conditionalFormatting sqref="C539">
    <cfRule type="cellIs" dxfId="32517" priority="1614" stopIfTrue="1" operator="equal">
      <formula>"3 Delete"</formula>
    </cfRule>
  </conditionalFormatting>
  <conditionalFormatting sqref="C540">
    <cfRule type="cellIs" dxfId="32516" priority="1615" stopIfTrue="1" operator="equal">
      <formula>"1 Modify"</formula>
    </cfRule>
  </conditionalFormatting>
  <conditionalFormatting sqref="C540">
    <cfRule type="cellIs" dxfId="32515" priority="1616" stopIfTrue="1" operator="equal">
      <formula>"2 Add"</formula>
    </cfRule>
  </conditionalFormatting>
  <conditionalFormatting sqref="C540">
    <cfRule type="cellIs" dxfId="32514" priority="1617" stopIfTrue="1" operator="equal">
      <formula>"3 Delete"</formula>
    </cfRule>
  </conditionalFormatting>
  <conditionalFormatting sqref="C541">
    <cfRule type="cellIs" dxfId="32513" priority="1618" stopIfTrue="1" operator="equal">
      <formula>"1 Modify"</formula>
    </cfRule>
  </conditionalFormatting>
  <conditionalFormatting sqref="C541">
    <cfRule type="cellIs" dxfId="32512" priority="1619" stopIfTrue="1" operator="equal">
      <formula>"2 Add"</formula>
    </cfRule>
  </conditionalFormatting>
  <conditionalFormatting sqref="C541">
    <cfRule type="cellIs" dxfId="32511" priority="1620" stopIfTrue="1" operator="equal">
      <formula>"3 Delete"</formula>
    </cfRule>
  </conditionalFormatting>
  <conditionalFormatting sqref="C542">
    <cfRule type="cellIs" dxfId="32510" priority="1621" stopIfTrue="1" operator="equal">
      <formula>"1 Modify"</formula>
    </cfRule>
  </conditionalFormatting>
  <conditionalFormatting sqref="C542">
    <cfRule type="cellIs" dxfId="32509" priority="1622" stopIfTrue="1" operator="equal">
      <formula>"2 Add"</formula>
    </cfRule>
  </conditionalFormatting>
  <conditionalFormatting sqref="C542">
    <cfRule type="cellIs" dxfId="32508" priority="1623" stopIfTrue="1" operator="equal">
      <formula>"3 Delete"</formula>
    </cfRule>
  </conditionalFormatting>
  <conditionalFormatting sqref="C543">
    <cfRule type="cellIs" dxfId="32507" priority="1624" stopIfTrue="1" operator="equal">
      <formula>"1 Modify"</formula>
    </cfRule>
  </conditionalFormatting>
  <conditionalFormatting sqref="C543">
    <cfRule type="cellIs" dxfId="32506" priority="1625" stopIfTrue="1" operator="equal">
      <formula>"2 Add"</formula>
    </cfRule>
  </conditionalFormatting>
  <conditionalFormatting sqref="C543">
    <cfRule type="cellIs" dxfId="32505" priority="1626" stopIfTrue="1" operator="equal">
      <formula>"3 Delete"</formula>
    </cfRule>
  </conditionalFormatting>
  <conditionalFormatting sqref="C544">
    <cfRule type="cellIs" dxfId="32504" priority="1627" stopIfTrue="1" operator="equal">
      <formula>"1 Modify"</formula>
    </cfRule>
  </conditionalFormatting>
  <conditionalFormatting sqref="C544">
    <cfRule type="cellIs" dxfId="32503" priority="1628" stopIfTrue="1" operator="equal">
      <formula>"2 Add"</formula>
    </cfRule>
  </conditionalFormatting>
  <conditionalFormatting sqref="C544">
    <cfRule type="cellIs" dxfId="32502" priority="1629" stopIfTrue="1" operator="equal">
      <formula>"3 Delete"</formula>
    </cfRule>
  </conditionalFormatting>
  <conditionalFormatting sqref="C545">
    <cfRule type="cellIs" dxfId="32501" priority="1630" stopIfTrue="1" operator="equal">
      <formula>"1 Modify"</formula>
    </cfRule>
  </conditionalFormatting>
  <conditionalFormatting sqref="C545">
    <cfRule type="cellIs" dxfId="32500" priority="1631" stopIfTrue="1" operator="equal">
      <formula>"2 Add"</formula>
    </cfRule>
  </conditionalFormatting>
  <conditionalFormatting sqref="C545">
    <cfRule type="cellIs" dxfId="32499" priority="1632" stopIfTrue="1" operator="equal">
      <formula>"3 Delete"</formula>
    </cfRule>
  </conditionalFormatting>
  <conditionalFormatting sqref="C546">
    <cfRule type="cellIs" dxfId="32498" priority="1633" stopIfTrue="1" operator="equal">
      <formula>"1 Modify"</formula>
    </cfRule>
  </conditionalFormatting>
  <conditionalFormatting sqref="C546">
    <cfRule type="cellIs" dxfId="32497" priority="1634" stopIfTrue="1" operator="equal">
      <formula>"2 Add"</formula>
    </cfRule>
  </conditionalFormatting>
  <conditionalFormatting sqref="C546">
    <cfRule type="cellIs" dxfId="32496" priority="1635" stopIfTrue="1" operator="equal">
      <formula>"3 Delete"</formula>
    </cfRule>
  </conditionalFormatting>
  <conditionalFormatting sqref="C547">
    <cfRule type="cellIs" dxfId="32495" priority="1636" stopIfTrue="1" operator="equal">
      <formula>"1 Modify"</formula>
    </cfRule>
  </conditionalFormatting>
  <conditionalFormatting sqref="C547">
    <cfRule type="cellIs" dxfId="32494" priority="1637" stopIfTrue="1" operator="equal">
      <formula>"2 Add"</formula>
    </cfRule>
  </conditionalFormatting>
  <conditionalFormatting sqref="C547">
    <cfRule type="cellIs" dxfId="32493" priority="1638" stopIfTrue="1" operator="equal">
      <formula>"3 Delete"</formula>
    </cfRule>
  </conditionalFormatting>
  <conditionalFormatting sqref="C548">
    <cfRule type="cellIs" dxfId="32492" priority="1639" stopIfTrue="1" operator="equal">
      <formula>"1 Modify"</formula>
    </cfRule>
  </conditionalFormatting>
  <conditionalFormatting sqref="C548">
    <cfRule type="cellIs" dxfId="32491" priority="1640" stopIfTrue="1" operator="equal">
      <formula>"2 Add"</formula>
    </cfRule>
  </conditionalFormatting>
  <conditionalFormatting sqref="C548">
    <cfRule type="cellIs" dxfId="32490" priority="1641" stopIfTrue="1" operator="equal">
      <formula>"3 Delete"</formula>
    </cfRule>
  </conditionalFormatting>
  <conditionalFormatting sqref="C549">
    <cfRule type="cellIs" dxfId="32489" priority="1642" stopIfTrue="1" operator="equal">
      <formula>"1 Modify"</formula>
    </cfRule>
  </conditionalFormatting>
  <conditionalFormatting sqref="C549">
    <cfRule type="cellIs" dxfId="32488" priority="1643" stopIfTrue="1" operator="equal">
      <formula>"2 Add"</formula>
    </cfRule>
  </conditionalFormatting>
  <conditionalFormatting sqref="C549">
    <cfRule type="cellIs" dxfId="32487" priority="1644" stopIfTrue="1" operator="equal">
      <formula>"3 Delete"</formula>
    </cfRule>
  </conditionalFormatting>
  <conditionalFormatting sqref="C550">
    <cfRule type="cellIs" dxfId="32486" priority="1645" stopIfTrue="1" operator="equal">
      <formula>"1 Modify"</formula>
    </cfRule>
  </conditionalFormatting>
  <conditionalFormatting sqref="C550">
    <cfRule type="cellIs" dxfId="32485" priority="1646" stopIfTrue="1" operator="equal">
      <formula>"2 Add"</formula>
    </cfRule>
  </conditionalFormatting>
  <conditionalFormatting sqref="C550">
    <cfRule type="cellIs" dxfId="32484" priority="1647" stopIfTrue="1" operator="equal">
      <formula>"3 Delete"</formula>
    </cfRule>
  </conditionalFormatting>
  <conditionalFormatting sqref="C551">
    <cfRule type="cellIs" dxfId="32483" priority="1648" stopIfTrue="1" operator="equal">
      <formula>"1 Modify"</formula>
    </cfRule>
  </conditionalFormatting>
  <conditionalFormatting sqref="C551">
    <cfRule type="cellIs" dxfId="32482" priority="1649" stopIfTrue="1" operator="equal">
      <formula>"2 Add"</formula>
    </cfRule>
  </conditionalFormatting>
  <conditionalFormatting sqref="C551">
    <cfRule type="cellIs" dxfId="32481" priority="1650" stopIfTrue="1" operator="equal">
      <formula>"3 Delete"</formula>
    </cfRule>
  </conditionalFormatting>
  <conditionalFormatting sqref="C552">
    <cfRule type="cellIs" dxfId="32480" priority="1651" stopIfTrue="1" operator="equal">
      <formula>"1 Modify"</formula>
    </cfRule>
  </conditionalFormatting>
  <conditionalFormatting sqref="C552">
    <cfRule type="cellIs" dxfId="32479" priority="1652" stopIfTrue="1" operator="equal">
      <formula>"2 Add"</formula>
    </cfRule>
  </conditionalFormatting>
  <conditionalFormatting sqref="C552">
    <cfRule type="cellIs" dxfId="32478" priority="1653" stopIfTrue="1" operator="equal">
      <formula>"3 Delete"</formula>
    </cfRule>
  </conditionalFormatting>
  <conditionalFormatting sqref="C553">
    <cfRule type="cellIs" dxfId="32477" priority="1654" stopIfTrue="1" operator="equal">
      <formula>"1 Modify"</formula>
    </cfRule>
  </conditionalFormatting>
  <conditionalFormatting sqref="C553">
    <cfRule type="cellIs" dxfId="32476" priority="1655" stopIfTrue="1" operator="equal">
      <formula>"2 Add"</formula>
    </cfRule>
  </conditionalFormatting>
  <conditionalFormatting sqref="C553">
    <cfRule type="cellIs" dxfId="32475" priority="1656" stopIfTrue="1" operator="equal">
      <formula>"3 Delete"</formula>
    </cfRule>
  </conditionalFormatting>
  <conditionalFormatting sqref="C554">
    <cfRule type="cellIs" dxfId="32474" priority="1657" stopIfTrue="1" operator="equal">
      <formula>"1 Modify"</formula>
    </cfRule>
  </conditionalFormatting>
  <conditionalFormatting sqref="C554">
    <cfRule type="cellIs" dxfId="32473" priority="1658" stopIfTrue="1" operator="equal">
      <formula>"2 Add"</formula>
    </cfRule>
  </conditionalFormatting>
  <conditionalFormatting sqref="C554">
    <cfRule type="cellIs" dxfId="32472" priority="1659" stopIfTrue="1" operator="equal">
      <formula>"3 Delete"</formula>
    </cfRule>
  </conditionalFormatting>
  <conditionalFormatting sqref="C555">
    <cfRule type="cellIs" dxfId="32471" priority="1660" stopIfTrue="1" operator="equal">
      <formula>"1 Modify"</formula>
    </cfRule>
  </conditionalFormatting>
  <conditionalFormatting sqref="C555">
    <cfRule type="cellIs" dxfId="32470" priority="1661" stopIfTrue="1" operator="equal">
      <formula>"2 Add"</formula>
    </cfRule>
  </conditionalFormatting>
  <conditionalFormatting sqref="C555">
    <cfRule type="cellIs" dxfId="32469" priority="1662" stopIfTrue="1" operator="equal">
      <formula>"3 Delete"</formula>
    </cfRule>
  </conditionalFormatting>
  <conditionalFormatting sqref="C556">
    <cfRule type="cellIs" dxfId="32468" priority="1663" stopIfTrue="1" operator="equal">
      <formula>"1 Modify"</formula>
    </cfRule>
  </conditionalFormatting>
  <conditionalFormatting sqref="C556">
    <cfRule type="cellIs" dxfId="32467" priority="1664" stopIfTrue="1" operator="equal">
      <formula>"2 Add"</formula>
    </cfRule>
  </conditionalFormatting>
  <conditionalFormatting sqref="C556">
    <cfRule type="cellIs" dxfId="32466" priority="1665" stopIfTrue="1" operator="equal">
      <formula>"3 Delete"</formula>
    </cfRule>
  </conditionalFormatting>
  <conditionalFormatting sqref="C557">
    <cfRule type="cellIs" dxfId="32465" priority="1666" stopIfTrue="1" operator="equal">
      <formula>"1 Modify"</formula>
    </cfRule>
  </conditionalFormatting>
  <conditionalFormatting sqref="C557">
    <cfRule type="cellIs" dxfId="32464" priority="1667" stopIfTrue="1" operator="equal">
      <formula>"2 Add"</formula>
    </cfRule>
  </conditionalFormatting>
  <conditionalFormatting sqref="C557">
    <cfRule type="cellIs" dxfId="32463" priority="1668" stopIfTrue="1" operator="equal">
      <formula>"3 Delete"</formula>
    </cfRule>
  </conditionalFormatting>
  <conditionalFormatting sqref="C558">
    <cfRule type="cellIs" dxfId="32462" priority="1669" stopIfTrue="1" operator="equal">
      <formula>"1 Modify"</formula>
    </cfRule>
  </conditionalFormatting>
  <conditionalFormatting sqref="C558">
    <cfRule type="cellIs" dxfId="32461" priority="1670" stopIfTrue="1" operator="equal">
      <formula>"2 Add"</formula>
    </cfRule>
  </conditionalFormatting>
  <conditionalFormatting sqref="C558">
    <cfRule type="cellIs" dxfId="32460" priority="1671" stopIfTrue="1" operator="equal">
      <formula>"3 Delete"</formula>
    </cfRule>
  </conditionalFormatting>
  <conditionalFormatting sqref="C559">
    <cfRule type="cellIs" dxfId="32459" priority="1672" stopIfTrue="1" operator="equal">
      <formula>"1 Modify"</formula>
    </cfRule>
  </conditionalFormatting>
  <conditionalFormatting sqref="C559">
    <cfRule type="cellIs" dxfId="32458" priority="1673" stopIfTrue="1" operator="equal">
      <formula>"2 Add"</formula>
    </cfRule>
  </conditionalFormatting>
  <conditionalFormatting sqref="C559">
    <cfRule type="cellIs" dxfId="32457" priority="1674" stopIfTrue="1" operator="equal">
      <formula>"3 Delete"</formula>
    </cfRule>
  </conditionalFormatting>
  <conditionalFormatting sqref="C560">
    <cfRule type="cellIs" dxfId="32456" priority="1675" stopIfTrue="1" operator="equal">
      <formula>"1 Modify"</formula>
    </cfRule>
  </conditionalFormatting>
  <conditionalFormatting sqref="C560">
    <cfRule type="cellIs" dxfId="32455" priority="1676" stopIfTrue="1" operator="equal">
      <formula>"2 Add"</formula>
    </cfRule>
  </conditionalFormatting>
  <conditionalFormatting sqref="C560">
    <cfRule type="cellIs" dxfId="32454" priority="1677" stopIfTrue="1" operator="equal">
      <formula>"3 Delete"</formula>
    </cfRule>
  </conditionalFormatting>
  <conditionalFormatting sqref="C561">
    <cfRule type="cellIs" dxfId="32453" priority="1678" stopIfTrue="1" operator="equal">
      <formula>"1 Modify"</formula>
    </cfRule>
  </conditionalFormatting>
  <conditionalFormatting sqref="C561">
    <cfRule type="cellIs" dxfId="32452" priority="1679" stopIfTrue="1" operator="equal">
      <formula>"2 Add"</formula>
    </cfRule>
  </conditionalFormatting>
  <conditionalFormatting sqref="C561">
    <cfRule type="cellIs" dxfId="32451" priority="1680" stopIfTrue="1" operator="equal">
      <formula>"3 Delete"</formula>
    </cfRule>
  </conditionalFormatting>
  <conditionalFormatting sqref="C562">
    <cfRule type="cellIs" dxfId="32450" priority="1681" stopIfTrue="1" operator="equal">
      <formula>"1 Modify"</formula>
    </cfRule>
  </conditionalFormatting>
  <conditionalFormatting sqref="C562">
    <cfRule type="cellIs" dxfId="32449" priority="1682" stopIfTrue="1" operator="equal">
      <formula>"2 Add"</formula>
    </cfRule>
  </conditionalFormatting>
  <conditionalFormatting sqref="C562">
    <cfRule type="cellIs" dxfId="32448" priority="1683" stopIfTrue="1" operator="equal">
      <formula>"3 Delete"</formula>
    </cfRule>
  </conditionalFormatting>
  <conditionalFormatting sqref="C563">
    <cfRule type="cellIs" dxfId="32447" priority="1684" stopIfTrue="1" operator="equal">
      <formula>"1 Modify"</formula>
    </cfRule>
  </conditionalFormatting>
  <conditionalFormatting sqref="C563">
    <cfRule type="cellIs" dxfId="32446" priority="1685" stopIfTrue="1" operator="equal">
      <formula>"2 Add"</formula>
    </cfRule>
  </conditionalFormatting>
  <conditionalFormatting sqref="C563">
    <cfRule type="cellIs" dxfId="32445" priority="1686" stopIfTrue="1" operator="equal">
      <formula>"3 Delete"</formula>
    </cfRule>
  </conditionalFormatting>
  <conditionalFormatting sqref="C564">
    <cfRule type="cellIs" dxfId="32444" priority="1687" stopIfTrue="1" operator="equal">
      <formula>"1 Modify"</formula>
    </cfRule>
  </conditionalFormatting>
  <conditionalFormatting sqref="C564">
    <cfRule type="cellIs" dxfId="32443" priority="1688" stopIfTrue="1" operator="equal">
      <formula>"2 Add"</formula>
    </cfRule>
  </conditionalFormatting>
  <conditionalFormatting sqref="C564">
    <cfRule type="cellIs" dxfId="32442" priority="1689" stopIfTrue="1" operator="equal">
      <formula>"3 Delete"</formula>
    </cfRule>
  </conditionalFormatting>
  <conditionalFormatting sqref="C565">
    <cfRule type="cellIs" dxfId="32441" priority="1690" stopIfTrue="1" operator="equal">
      <formula>"1 Modify"</formula>
    </cfRule>
  </conditionalFormatting>
  <conditionalFormatting sqref="C565">
    <cfRule type="cellIs" dxfId="32440" priority="1691" stopIfTrue="1" operator="equal">
      <formula>"2 Add"</formula>
    </cfRule>
  </conditionalFormatting>
  <conditionalFormatting sqref="C565">
    <cfRule type="cellIs" dxfId="32439" priority="1692" stopIfTrue="1" operator="equal">
      <formula>"3 Delete"</formula>
    </cfRule>
  </conditionalFormatting>
  <conditionalFormatting sqref="C566">
    <cfRule type="cellIs" dxfId="32438" priority="1693" stopIfTrue="1" operator="equal">
      <formula>"1 Modify"</formula>
    </cfRule>
  </conditionalFormatting>
  <conditionalFormatting sqref="C566">
    <cfRule type="cellIs" dxfId="32437" priority="1694" stopIfTrue="1" operator="equal">
      <formula>"2 Add"</formula>
    </cfRule>
  </conditionalFormatting>
  <conditionalFormatting sqref="C566">
    <cfRule type="cellIs" dxfId="32436" priority="1695" stopIfTrue="1" operator="equal">
      <formula>"3 Delete"</formula>
    </cfRule>
  </conditionalFormatting>
  <conditionalFormatting sqref="C567">
    <cfRule type="cellIs" dxfId="32435" priority="1696" stopIfTrue="1" operator="equal">
      <formula>"1 Modify"</formula>
    </cfRule>
  </conditionalFormatting>
  <conditionalFormatting sqref="C567">
    <cfRule type="cellIs" dxfId="32434" priority="1697" stopIfTrue="1" operator="equal">
      <formula>"2 Add"</formula>
    </cfRule>
  </conditionalFormatting>
  <conditionalFormatting sqref="C567">
    <cfRule type="cellIs" dxfId="32433" priority="1698" stopIfTrue="1" operator="equal">
      <formula>"3 Delete"</formula>
    </cfRule>
  </conditionalFormatting>
  <conditionalFormatting sqref="C568">
    <cfRule type="cellIs" dxfId="32432" priority="1699" stopIfTrue="1" operator="equal">
      <formula>"1 Modify"</formula>
    </cfRule>
  </conditionalFormatting>
  <conditionalFormatting sqref="C568">
    <cfRule type="cellIs" dxfId="32431" priority="1700" stopIfTrue="1" operator="equal">
      <formula>"2 Add"</formula>
    </cfRule>
  </conditionalFormatting>
  <conditionalFormatting sqref="C568">
    <cfRule type="cellIs" dxfId="32430" priority="1701" stopIfTrue="1" operator="equal">
      <formula>"3 Delete"</formula>
    </cfRule>
  </conditionalFormatting>
  <conditionalFormatting sqref="C569">
    <cfRule type="cellIs" dxfId="32429" priority="1702" stopIfTrue="1" operator="equal">
      <formula>"1 Modify"</formula>
    </cfRule>
  </conditionalFormatting>
  <conditionalFormatting sqref="C569">
    <cfRule type="cellIs" dxfId="32428" priority="1703" stopIfTrue="1" operator="equal">
      <formula>"2 Add"</formula>
    </cfRule>
  </conditionalFormatting>
  <conditionalFormatting sqref="C569">
    <cfRule type="cellIs" dxfId="32427" priority="1704" stopIfTrue="1" operator="equal">
      <formula>"3 Delete"</formula>
    </cfRule>
  </conditionalFormatting>
  <conditionalFormatting sqref="C570">
    <cfRule type="cellIs" dxfId="32426" priority="1705" stopIfTrue="1" operator="equal">
      <formula>"1 Modify"</formula>
    </cfRule>
  </conditionalFormatting>
  <conditionalFormatting sqref="C570">
    <cfRule type="cellIs" dxfId="32425" priority="1706" stopIfTrue="1" operator="equal">
      <formula>"2 Add"</formula>
    </cfRule>
  </conditionalFormatting>
  <conditionalFormatting sqref="C570">
    <cfRule type="cellIs" dxfId="32424" priority="1707" stopIfTrue="1" operator="equal">
      <formula>"3 Delete"</formula>
    </cfRule>
  </conditionalFormatting>
  <conditionalFormatting sqref="C571">
    <cfRule type="cellIs" dxfId="32423" priority="1708" stopIfTrue="1" operator="equal">
      <formula>"1 Modify"</formula>
    </cfRule>
  </conditionalFormatting>
  <conditionalFormatting sqref="C571">
    <cfRule type="cellIs" dxfId="32422" priority="1709" stopIfTrue="1" operator="equal">
      <formula>"2 Add"</formula>
    </cfRule>
  </conditionalFormatting>
  <conditionalFormatting sqref="C571">
    <cfRule type="cellIs" dxfId="32421" priority="1710" stopIfTrue="1" operator="equal">
      <formula>"3 Delete"</formula>
    </cfRule>
  </conditionalFormatting>
  <conditionalFormatting sqref="C572">
    <cfRule type="cellIs" dxfId="32420" priority="1711" stopIfTrue="1" operator="equal">
      <formula>"1 Modify"</formula>
    </cfRule>
  </conditionalFormatting>
  <conditionalFormatting sqref="C572">
    <cfRule type="cellIs" dxfId="32419" priority="1712" stopIfTrue="1" operator="equal">
      <formula>"2 Add"</formula>
    </cfRule>
  </conditionalFormatting>
  <conditionalFormatting sqref="C572">
    <cfRule type="cellIs" dxfId="32418" priority="1713" stopIfTrue="1" operator="equal">
      <formula>"3 Delete"</formula>
    </cfRule>
  </conditionalFormatting>
  <conditionalFormatting sqref="C573">
    <cfRule type="cellIs" dxfId="32417" priority="1714" stopIfTrue="1" operator="equal">
      <formula>"1 Modify"</formula>
    </cfRule>
  </conditionalFormatting>
  <conditionalFormatting sqref="C573">
    <cfRule type="cellIs" dxfId="32416" priority="1715" stopIfTrue="1" operator="equal">
      <formula>"2 Add"</formula>
    </cfRule>
  </conditionalFormatting>
  <conditionalFormatting sqref="C573">
    <cfRule type="cellIs" dxfId="32415" priority="1716" stopIfTrue="1" operator="equal">
      <formula>"3 Delete"</formula>
    </cfRule>
  </conditionalFormatting>
  <conditionalFormatting sqref="C574">
    <cfRule type="cellIs" dxfId="32414" priority="1717" stopIfTrue="1" operator="equal">
      <formula>"1 Modify"</formula>
    </cfRule>
  </conditionalFormatting>
  <conditionalFormatting sqref="C574">
    <cfRule type="cellIs" dxfId="32413" priority="1718" stopIfTrue="1" operator="equal">
      <formula>"2 Add"</formula>
    </cfRule>
  </conditionalFormatting>
  <conditionalFormatting sqref="C574">
    <cfRule type="cellIs" dxfId="32412" priority="1719" stopIfTrue="1" operator="equal">
      <formula>"3 Delete"</formula>
    </cfRule>
  </conditionalFormatting>
  <conditionalFormatting sqref="C575">
    <cfRule type="cellIs" dxfId="32411" priority="1720" stopIfTrue="1" operator="equal">
      <formula>"1 Modify"</formula>
    </cfRule>
  </conditionalFormatting>
  <conditionalFormatting sqref="C575">
    <cfRule type="cellIs" dxfId="32410" priority="1721" stopIfTrue="1" operator="equal">
      <formula>"2 Add"</formula>
    </cfRule>
  </conditionalFormatting>
  <conditionalFormatting sqref="C575">
    <cfRule type="cellIs" dxfId="32409" priority="1722" stopIfTrue="1" operator="equal">
      <formula>"3 Delete"</formula>
    </cfRule>
  </conditionalFormatting>
  <conditionalFormatting sqref="C576">
    <cfRule type="cellIs" dxfId="32408" priority="1723" stopIfTrue="1" operator="equal">
      <formula>"1 Modify"</formula>
    </cfRule>
  </conditionalFormatting>
  <conditionalFormatting sqref="C576">
    <cfRule type="cellIs" dxfId="32407" priority="1724" stopIfTrue="1" operator="equal">
      <formula>"2 Add"</formula>
    </cfRule>
  </conditionalFormatting>
  <conditionalFormatting sqref="C576">
    <cfRule type="cellIs" dxfId="32406" priority="1725" stopIfTrue="1" operator="equal">
      <formula>"3 Delete"</formula>
    </cfRule>
  </conditionalFormatting>
  <conditionalFormatting sqref="C577">
    <cfRule type="cellIs" dxfId="32405" priority="1726" stopIfTrue="1" operator="equal">
      <formula>"1 Modify"</formula>
    </cfRule>
  </conditionalFormatting>
  <conditionalFormatting sqref="C577">
    <cfRule type="cellIs" dxfId="32404" priority="1727" stopIfTrue="1" operator="equal">
      <formula>"2 Add"</formula>
    </cfRule>
  </conditionalFormatting>
  <conditionalFormatting sqref="C577">
    <cfRule type="cellIs" dxfId="32403" priority="1728" stopIfTrue="1" operator="equal">
      <formula>"3 Delete"</formula>
    </cfRule>
  </conditionalFormatting>
  <conditionalFormatting sqref="C578">
    <cfRule type="cellIs" dxfId="32402" priority="1729" stopIfTrue="1" operator="equal">
      <formula>"1 Modify"</formula>
    </cfRule>
  </conditionalFormatting>
  <conditionalFormatting sqref="C578">
    <cfRule type="cellIs" dxfId="32401" priority="1730" stopIfTrue="1" operator="equal">
      <formula>"2 Add"</formula>
    </cfRule>
  </conditionalFormatting>
  <conditionalFormatting sqref="C578">
    <cfRule type="cellIs" dxfId="32400" priority="1731" stopIfTrue="1" operator="equal">
      <formula>"3 Delete"</formula>
    </cfRule>
  </conditionalFormatting>
  <conditionalFormatting sqref="C579">
    <cfRule type="cellIs" dxfId="32399" priority="1732" stopIfTrue="1" operator="equal">
      <formula>"1 Modify"</formula>
    </cfRule>
  </conditionalFormatting>
  <conditionalFormatting sqref="C579">
    <cfRule type="cellIs" dxfId="32398" priority="1733" stopIfTrue="1" operator="equal">
      <formula>"2 Add"</formula>
    </cfRule>
  </conditionalFormatting>
  <conditionalFormatting sqref="C579">
    <cfRule type="cellIs" dxfId="32397" priority="1734" stopIfTrue="1" operator="equal">
      <formula>"3 Delete"</formula>
    </cfRule>
  </conditionalFormatting>
  <conditionalFormatting sqref="C580">
    <cfRule type="cellIs" dxfId="32396" priority="1735" stopIfTrue="1" operator="equal">
      <formula>"1 Modify"</formula>
    </cfRule>
  </conditionalFormatting>
  <conditionalFormatting sqref="C580">
    <cfRule type="cellIs" dxfId="32395" priority="1736" stopIfTrue="1" operator="equal">
      <formula>"2 Add"</formula>
    </cfRule>
  </conditionalFormatting>
  <conditionalFormatting sqref="C580">
    <cfRule type="cellIs" dxfId="32394" priority="1737" stopIfTrue="1" operator="equal">
      <formula>"3 Delete"</formula>
    </cfRule>
  </conditionalFormatting>
  <conditionalFormatting sqref="C581">
    <cfRule type="cellIs" dxfId="32393" priority="1738" stopIfTrue="1" operator="equal">
      <formula>"1 Modify"</formula>
    </cfRule>
  </conditionalFormatting>
  <conditionalFormatting sqref="C581">
    <cfRule type="cellIs" dxfId="32392" priority="1739" stopIfTrue="1" operator="equal">
      <formula>"2 Add"</formula>
    </cfRule>
  </conditionalFormatting>
  <conditionalFormatting sqref="C581">
    <cfRule type="cellIs" dxfId="32391" priority="1740" stopIfTrue="1" operator="equal">
      <formula>"3 Delete"</formula>
    </cfRule>
  </conditionalFormatting>
  <conditionalFormatting sqref="C582">
    <cfRule type="cellIs" dxfId="32390" priority="1741" stopIfTrue="1" operator="equal">
      <formula>"1 Modify"</formula>
    </cfRule>
  </conditionalFormatting>
  <conditionalFormatting sqref="C582">
    <cfRule type="cellIs" dxfId="32389" priority="1742" stopIfTrue="1" operator="equal">
      <formula>"2 Add"</formula>
    </cfRule>
  </conditionalFormatting>
  <conditionalFormatting sqref="C582">
    <cfRule type="cellIs" dxfId="32388" priority="1743" stopIfTrue="1" operator="equal">
      <formula>"3 Delete"</formula>
    </cfRule>
  </conditionalFormatting>
  <conditionalFormatting sqref="C583">
    <cfRule type="cellIs" dxfId="32387" priority="1744" stopIfTrue="1" operator="equal">
      <formula>"1 Modify"</formula>
    </cfRule>
  </conditionalFormatting>
  <conditionalFormatting sqref="C583">
    <cfRule type="cellIs" dxfId="32386" priority="1745" stopIfTrue="1" operator="equal">
      <formula>"2 Add"</formula>
    </cfRule>
  </conditionalFormatting>
  <conditionalFormatting sqref="C583">
    <cfRule type="cellIs" dxfId="32385" priority="1746" stopIfTrue="1" operator="equal">
      <formula>"3 Delete"</formula>
    </cfRule>
  </conditionalFormatting>
  <conditionalFormatting sqref="C584">
    <cfRule type="cellIs" dxfId="32384" priority="1747" stopIfTrue="1" operator="equal">
      <formula>"1 Modify"</formula>
    </cfRule>
  </conditionalFormatting>
  <conditionalFormatting sqref="C584">
    <cfRule type="cellIs" dxfId="32383" priority="1748" stopIfTrue="1" operator="equal">
      <formula>"2 Add"</formula>
    </cfRule>
  </conditionalFormatting>
  <conditionalFormatting sqref="C584">
    <cfRule type="cellIs" dxfId="32382" priority="1749" stopIfTrue="1" operator="equal">
      <formula>"3 Delete"</formula>
    </cfRule>
  </conditionalFormatting>
  <conditionalFormatting sqref="C585">
    <cfRule type="cellIs" dxfId="32381" priority="1750" stopIfTrue="1" operator="equal">
      <formula>"1 Modify"</formula>
    </cfRule>
  </conditionalFormatting>
  <conditionalFormatting sqref="C585">
    <cfRule type="cellIs" dxfId="32380" priority="1751" stopIfTrue="1" operator="equal">
      <formula>"2 Add"</formula>
    </cfRule>
  </conditionalFormatting>
  <conditionalFormatting sqref="C585">
    <cfRule type="cellIs" dxfId="32379" priority="1752" stopIfTrue="1" operator="equal">
      <formula>"3 Delete"</formula>
    </cfRule>
  </conditionalFormatting>
  <conditionalFormatting sqref="C586">
    <cfRule type="cellIs" dxfId="32378" priority="1753" stopIfTrue="1" operator="equal">
      <formula>"1 Modify"</formula>
    </cfRule>
  </conditionalFormatting>
  <conditionalFormatting sqref="C586">
    <cfRule type="cellIs" dxfId="32377" priority="1754" stopIfTrue="1" operator="equal">
      <formula>"2 Add"</formula>
    </cfRule>
  </conditionalFormatting>
  <conditionalFormatting sqref="C586">
    <cfRule type="cellIs" dxfId="32376" priority="1755" stopIfTrue="1" operator="equal">
      <formula>"3 Delete"</formula>
    </cfRule>
  </conditionalFormatting>
  <conditionalFormatting sqref="C587">
    <cfRule type="cellIs" dxfId="32375" priority="1756" stopIfTrue="1" operator="equal">
      <formula>"1 Modify"</formula>
    </cfRule>
  </conditionalFormatting>
  <conditionalFormatting sqref="C587">
    <cfRule type="cellIs" dxfId="32374" priority="1757" stopIfTrue="1" operator="equal">
      <formula>"2 Add"</formula>
    </cfRule>
  </conditionalFormatting>
  <conditionalFormatting sqref="C587">
    <cfRule type="cellIs" dxfId="32373" priority="1758" stopIfTrue="1" operator="equal">
      <formula>"3 Delete"</formula>
    </cfRule>
  </conditionalFormatting>
  <conditionalFormatting sqref="C588">
    <cfRule type="cellIs" dxfId="32372" priority="1759" stopIfTrue="1" operator="equal">
      <formula>"1 Modify"</formula>
    </cfRule>
  </conditionalFormatting>
  <conditionalFormatting sqref="C588">
    <cfRule type="cellIs" dxfId="32371" priority="1760" stopIfTrue="1" operator="equal">
      <formula>"2 Add"</formula>
    </cfRule>
  </conditionalFormatting>
  <conditionalFormatting sqref="C588">
    <cfRule type="cellIs" dxfId="32370" priority="1761" stopIfTrue="1" operator="equal">
      <formula>"3 Delete"</formula>
    </cfRule>
  </conditionalFormatting>
  <conditionalFormatting sqref="C589">
    <cfRule type="cellIs" dxfId="32369" priority="1762" stopIfTrue="1" operator="equal">
      <formula>"1 Modify"</formula>
    </cfRule>
  </conditionalFormatting>
  <conditionalFormatting sqref="C589">
    <cfRule type="cellIs" dxfId="32368" priority="1763" stopIfTrue="1" operator="equal">
      <formula>"2 Add"</formula>
    </cfRule>
  </conditionalFormatting>
  <conditionalFormatting sqref="C589">
    <cfRule type="cellIs" dxfId="32367" priority="1764" stopIfTrue="1" operator="equal">
      <formula>"3 Delete"</formula>
    </cfRule>
  </conditionalFormatting>
  <conditionalFormatting sqref="C590">
    <cfRule type="cellIs" dxfId="32366" priority="1765" stopIfTrue="1" operator="equal">
      <formula>"1 Modify"</formula>
    </cfRule>
  </conditionalFormatting>
  <conditionalFormatting sqref="C590">
    <cfRule type="cellIs" dxfId="32365" priority="1766" stopIfTrue="1" operator="equal">
      <formula>"2 Add"</formula>
    </cfRule>
  </conditionalFormatting>
  <conditionalFormatting sqref="C590">
    <cfRule type="cellIs" dxfId="32364" priority="1767" stopIfTrue="1" operator="equal">
      <formula>"3 Delete"</formula>
    </cfRule>
  </conditionalFormatting>
  <conditionalFormatting sqref="C591">
    <cfRule type="cellIs" dxfId="32363" priority="1768" stopIfTrue="1" operator="equal">
      <formula>"1 Modify"</formula>
    </cfRule>
  </conditionalFormatting>
  <conditionalFormatting sqref="C591">
    <cfRule type="cellIs" dxfId="32362" priority="1769" stopIfTrue="1" operator="equal">
      <formula>"2 Add"</formula>
    </cfRule>
  </conditionalFormatting>
  <conditionalFormatting sqref="C591">
    <cfRule type="cellIs" dxfId="32361" priority="1770" stopIfTrue="1" operator="equal">
      <formula>"3 Delete"</formula>
    </cfRule>
  </conditionalFormatting>
  <conditionalFormatting sqref="C592">
    <cfRule type="cellIs" dxfId="32360" priority="1771" stopIfTrue="1" operator="equal">
      <formula>"1 Modify"</formula>
    </cfRule>
  </conditionalFormatting>
  <conditionalFormatting sqref="C592">
    <cfRule type="cellIs" dxfId="32359" priority="1772" stopIfTrue="1" operator="equal">
      <formula>"2 Add"</formula>
    </cfRule>
  </conditionalFormatting>
  <conditionalFormatting sqref="C592">
    <cfRule type="cellIs" dxfId="32358" priority="1773" stopIfTrue="1" operator="equal">
      <formula>"3 Delete"</formula>
    </cfRule>
  </conditionalFormatting>
  <conditionalFormatting sqref="C593">
    <cfRule type="cellIs" dxfId="32357" priority="1774" stopIfTrue="1" operator="equal">
      <formula>"1 Modify"</formula>
    </cfRule>
  </conditionalFormatting>
  <conditionalFormatting sqref="C593">
    <cfRule type="cellIs" dxfId="32356" priority="1775" stopIfTrue="1" operator="equal">
      <formula>"2 Add"</formula>
    </cfRule>
  </conditionalFormatting>
  <conditionalFormatting sqref="C593">
    <cfRule type="cellIs" dxfId="32355" priority="1776" stopIfTrue="1" operator="equal">
      <formula>"3 Delete"</formula>
    </cfRule>
  </conditionalFormatting>
  <conditionalFormatting sqref="C594">
    <cfRule type="cellIs" dxfId="32354" priority="1777" stopIfTrue="1" operator="equal">
      <formula>"1 Modify"</formula>
    </cfRule>
  </conditionalFormatting>
  <conditionalFormatting sqref="C594">
    <cfRule type="cellIs" dxfId="32353" priority="1778" stopIfTrue="1" operator="equal">
      <formula>"2 Add"</formula>
    </cfRule>
  </conditionalFormatting>
  <conditionalFormatting sqref="C594">
    <cfRule type="cellIs" dxfId="32352" priority="1779" stopIfTrue="1" operator="equal">
      <formula>"3 Delete"</formula>
    </cfRule>
  </conditionalFormatting>
  <conditionalFormatting sqref="C595">
    <cfRule type="cellIs" dxfId="32351" priority="1780" stopIfTrue="1" operator="equal">
      <formula>"1 Modify"</formula>
    </cfRule>
  </conditionalFormatting>
  <conditionalFormatting sqref="C595">
    <cfRule type="cellIs" dxfId="32350" priority="1781" stopIfTrue="1" operator="equal">
      <formula>"2 Add"</formula>
    </cfRule>
  </conditionalFormatting>
  <conditionalFormatting sqref="C595">
    <cfRule type="cellIs" dxfId="32349" priority="1782" stopIfTrue="1" operator="equal">
      <formula>"3 Delete"</formula>
    </cfRule>
  </conditionalFormatting>
  <conditionalFormatting sqref="C596">
    <cfRule type="cellIs" dxfId="32348" priority="1783" stopIfTrue="1" operator="equal">
      <formula>"1 Modify"</formula>
    </cfRule>
  </conditionalFormatting>
  <conditionalFormatting sqref="C596">
    <cfRule type="cellIs" dxfId="32347" priority="1784" stopIfTrue="1" operator="equal">
      <formula>"2 Add"</formula>
    </cfRule>
  </conditionalFormatting>
  <conditionalFormatting sqref="C596">
    <cfRule type="cellIs" dxfId="32346" priority="1785" stopIfTrue="1" operator="equal">
      <formula>"3 Delete"</formula>
    </cfRule>
  </conditionalFormatting>
  <conditionalFormatting sqref="C597">
    <cfRule type="cellIs" dxfId="32345" priority="1786" stopIfTrue="1" operator="equal">
      <formula>"1 Modify"</formula>
    </cfRule>
  </conditionalFormatting>
  <conditionalFormatting sqref="C597">
    <cfRule type="cellIs" dxfId="32344" priority="1787" stopIfTrue="1" operator="equal">
      <formula>"2 Add"</formula>
    </cfRule>
  </conditionalFormatting>
  <conditionalFormatting sqref="C597">
    <cfRule type="cellIs" dxfId="32343" priority="1788" stopIfTrue="1" operator="equal">
      <formula>"3 Delete"</formula>
    </cfRule>
  </conditionalFormatting>
  <conditionalFormatting sqref="C598">
    <cfRule type="cellIs" dxfId="32342" priority="1789" stopIfTrue="1" operator="equal">
      <formula>"1 Modify"</formula>
    </cfRule>
  </conditionalFormatting>
  <conditionalFormatting sqref="C598">
    <cfRule type="cellIs" dxfId="32341" priority="1790" stopIfTrue="1" operator="equal">
      <formula>"2 Add"</formula>
    </cfRule>
  </conditionalFormatting>
  <conditionalFormatting sqref="C598">
    <cfRule type="cellIs" dxfId="32340" priority="1791" stopIfTrue="1" operator="equal">
      <formula>"3 Delete"</formula>
    </cfRule>
  </conditionalFormatting>
  <conditionalFormatting sqref="C599">
    <cfRule type="cellIs" dxfId="32339" priority="1792" stopIfTrue="1" operator="equal">
      <formula>"1 Modify"</formula>
    </cfRule>
  </conditionalFormatting>
  <conditionalFormatting sqref="C599">
    <cfRule type="cellIs" dxfId="32338" priority="1793" stopIfTrue="1" operator="equal">
      <formula>"2 Add"</formula>
    </cfRule>
  </conditionalFormatting>
  <conditionalFormatting sqref="C599">
    <cfRule type="cellIs" dxfId="32337" priority="1794" stopIfTrue="1" operator="equal">
      <formula>"3 Delete"</formula>
    </cfRule>
  </conditionalFormatting>
  <conditionalFormatting sqref="C600">
    <cfRule type="cellIs" dxfId="32336" priority="1795" stopIfTrue="1" operator="equal">
      <formula>"1 Modify"</formula>
    </cfRule>
  </conditionalFormatting>
  <conditionalFormatting sqref="C600">
    <cfRule type="cellIs" dxfId="32335" priority="1796" stopIfTrue="1" operator="equal">
      <formula>"2 Add"</formula>
    </cfRule>
  </conditionalFormatting>
  <conditionalFormatting sqref="C600">
    <cfRule type="cellIs" dxfId="32334" priority="1797" stopIfTrue="1" operator="equal">
      <formula>"3 Delete"</formula>
    </cfRule>
  </conditionalFormatting>
  <conditionalFormatting sqref="C601">
    <cfRule type="cellIs" dxfId="32333" priority="1798" stopIfTrue="1" operator="equal">
      <formula>"1 Modify"</formula>
    </cfRule>
  </conditionalFormatting>
  <conditionalFormatting sqref="C601">
    <cfRule type="cellIs" dxfId="32332" priority="1799" stopIfTrue="1" operator="equal">
      <formula>"2 Add"</formula>
    </cfRule>
  </conditionalFormatting>
  <conditionalFormatting sqref="C601">
    <cfRule type="cellIs" dxfId="32331" priority="1800" stopIfTrue="1" operator="equal">
      <formula>"3 Delete"</formula>
    </cfRule>
  </conditionalFormatting>
  <conditionalFormatting sqref="C602">
    <cfRule type="cellIs" dxfId="32330" priority="1801" stopIfTrue="1" operator="equal">
      <formula>"1 Modify"</formula>
    </cfRule>
  </conditionalFormatting>
  <conditionalFormatting sqref="C602">
    <cfRule type="cellIs" dxfId="32329" priority="1802" stopIfTrue="1" operator="equal">
      <formula>"2 Add"</formula>
    </cfRule>
  </conditionalFormatting>
  <conditionalFormatting sqref="C602">
    <cfRule type="cellIs" dxfId="32328" priority="1803" stopIfTrue="1" operator="equal">
      <formula>"3 Delete"</formula>
    </cfRule>
  </conditionalFormatting>
  <conditionalFormatting sqref="C603">
    <cfRule type="cellIs" dxfId="32327" priority="1804" stopIfTrue="1" operator="equal">
      <formula>"1 Modify"</formula>
    </cfRule>
  </conditionalFormatting>
  <conditionalFormatting sqref="C603">
    <cfRule type="cellIs" dxfId="32326" priority="1805" stopIfTrue="1" operator="equal">
      <formula>"2 Add"</formula>
    </cfRule>
  </conditionalFormatting>
  <conditionalFormatting sqref="C603">
    <cfRule type="cellIs" dxfId="32325" priority="1806" stopIfTrue="1" operator="equal">
      <formula>"3 Delete"</formula>
    </cfRule>
  </conditionalFormatting>
  <conditionalFormatting sqref="C604">
    <cfRule type="cellIs" dxfId="32324" priority="1807" stopIfTrue="1" operator="equal">
      <formula>"1 Modify"</formula>
    </cfRule>
  </conditionalFormatting>
  <conditionalFormatting sqref="C604">
    <cfRule type="cellIs" dxfId="32323" priority="1808" stopIfTrue="1" operator="equal">
      <formula>"2 Add"</formula>
    </cfRule>
  </conditionalFormatting>
  <conditionalFormatting sqref="C604">
    <cfRule type="cellIs" dxfId="32322" priority="1809" stopIfTrue="1" operator="equal">
      <formula>"3 Delete"</formula>
    </cfRule>
  </conditionalFormatting>
  <conditionalFormatting sqref="C605">
    <cfRule type="cellIs" dxfId="32321" priority="1810" stopIfTrue="1" operator="equal">
      <formula>"1 Modify"</formula>
    </cfRule>
  </conditionalFormatting>
  <conditionalFormatting sqref="C605">
    <cfRule type="cellIs" dxfId="32320" priority="1811" stopIfTrue="1" operator="equal">
      <formula>"2 Add"</formula>
    </cfRule>
  </conditionalFormatting>
  <conditionalFormatting sqref="C605">
    <cfRule type="cellIs" dxfId="32319" priority="1812" stopIfTrue="1" operator="equal">
      <formula>"3 Delete"</formula>
    </cfRule>
  </conditionalFormatting>
  <conditionalFormatting sqref="C606">
    <cfRule type="cellIs" dxfId="32318" priority="1813" stopIfTrue="1" operator="equal">
      <formula>"1 Modify"</formula>
    </cfRule>
  </conditionalFormatting>
  <conditionalFormatting sqref="C606">
    <cfRule type="cellIs" dxfId="32317" priority="1814" stopIfTrue="1" operator="equal">
      <formula>"2 Add"</formula>
    </cfRule>
  </conditionalFormatting>
  <conditionalFormatting sqref="C606">
    <cfRule type="cellIs" dxfId="32316" priority="1815" stopIfTrue="1" operator="equal">
      <formula>"3 Delete"</formula>
    </cfRule>
  </conditionalFormatting>
  <conditionalFormatting sqref="C607">
    <cfRule type="cellIs" dxfId="32315" priority="1816" stopIfTrue="1" operator="equal">
      <formula>"1 Modify"</formula>
    </cfRule>
  </conditionalFormatting>
  <conditionalFormatting sqref="C607">
    <cfRule type="cellIs" dxfId="32314" priority="1817" stopIfTrue="1" operator="equal">
      <formula>"2 Add"</formula>
    </cfRule>
  </conditionalFormatting>
  <conditionalFormatting sqref="C607">
    <cfRule type="cellIs" dxfId="32313" priority="1818" stopIfTrue="1" operator="equal">
      <formula>"3 Delete"</formula>
    </cfRule>
  </conditionalFormatting>
  <conditionalFormatting sqref="C608">
    <cfRule type="cellIs" dxfId="32312" priority="1819" stopIfTrue="1" operator="equal">
      <formula>"1 Modify"</formula>
    </cfRule>
  </conditionalFormatting>
  <conditionalFormatting sqref="C608">
    <cfRule type="cellIs" dxfId="32311" priority="1820" stopIfTrue="1" operator="equal">
      <formula>"2 Add"</formula>
    </cfRule>
  </conditionalFormatting>
  <conditionalFormatting sqref="C608">
    <cfRule type="cellIs" dxfId="32310" priority="1821" stopIfTrue="1" operator="equal">
      <formula>"3 Delete"</formula>
    </cfRule>
  </conditionalFormatting>
  <conditionalFormatting sqref="C609">
    <cfRule type="cellIs" dxfId="32309" priority="1822" stopIfTrue="1" operator="equal">
      <formula>"1 Modify"</formula>
    </cfRule>
  </conditionalFormatting>
  <conditionalFormatting sqref="C609">
    <cfRule type="cellIs" dxfId="32308" priority="1823" stopIfTrue="1" operator="equal">
      <formula>"2 Add"</formula>
    </cfRule>
  </conditionalFormatting>
  <conditionalFormatting sqref="C609">
    <cfRule type="cellIs" dxfId="32307" priority="1824" stopIfTrue="1" operator="equal">
      <formula>"3 Delete"</formula>
    </cfRule>
  </conditionalFormatting>
  <conditionalFormatting sqref="C610">
    <cfRule type="cellIs" dxfId="32306" priority="1825" stopIfTrue="1" operator="equal">
      <formula>"1 Modify"</formula>
    </cfRule>
  </conditionalFormatting>
  <conditionalFormatting sqref="C610">
    <cfRule type="cellIs" dxfId="32305" priority="1826" stopIfTrue="1" operator="equal">
      <formula>"2 Add"</formula>
    </cfRule>
  </conditionalFormatting>
  <conditionalFormatting sqref="C610">
    <cfRule type="cellIs" dxfId="32304" priority="1827" stopIfTrue="1" operator="equal">
      <formula>"3 Delete"</formula>
    </cfRule>
  </conditionalFormatting>
  <conditionalFormatting sqref="C611">
    <cfRule type="cellIs" dxfId="32303" priority="1828" stopIfTrue="1" operator="equal">
      <formula>"1 Modify"</formula>
    </cfRule>
  </conditionalFormatting>
  <conditionalFormatting sqref="C611">
    <cfRule type="cellIs" dxfId="32302" priority="1829" stopIfTrue="1" operator="equal">
      <formula>"2 Add"</formula>
    </cfRule>
  </conditionalFormatting>
  <conditionalFormatting sqref="C611">
    <cfRule type="cellIs" dxfId="32301" priority="1830" stopIfTrue="1" operator="equal">
      <formula>"3 Delete"</formula>
    </cfRule>
  </conditionalFormatting>
  <conditionalFormatting sqref="C612">
    <cfRule type="cellIs" dxfId="32300" priority="1831" stopIfTrue="1" operator="equal">
      <formula>"1 Modify"</formula>
    </cfRule>
  </conditionalFormatting>
  <conditionalFormatting sqref="C612">
    <cfRule type="cellIs" dxfId="32299" priority="1832" stopIfTrue="1" operator="equal">
      <formula>"2 Add"</formula>
    </cfRule>
  </conditionalFormatting>
  <conditionalFormatting sqref="C612">
    <cfRule type="cellIs" dxfId="32298" priority="1833" stopIfTrue="1" operator="equal">
      <formula>"3 Delete"</formula>
    </cfRule>
  </conditionalFormatting>
  <conditionalFormatting sqref="C613">
    <cfRule type="cellIs" dxfId="32297" priority="1834" stopIfTrue="1" operator="equal">
      <formula>"1 Modify"</formula>
    </cfRule>
  </conditionalFormatting>
  <conditionalFormatting sqref="C613">
    <cfRule type="cellIs" dxfId="32296" priority="1835" stopIfTrue="1" operator="equal">
      <formula>"2 Add"</formula>
    </cfRule>
  </conditionalFormatting>
  <conditionalFormatting sqref="C613">
    <cfRule type="cellIs" dxfId="32295" priority="1836" stopIfTrue="1" operator="equal">
      <formula>"3 Delete"</formula>
    </cfRule>
  </conditionalFormatting>
  <conditionalFormatting sqref="C614">
    <cfRule type="cellIs" dxfId="32294" priority="1837" stopIfTrue="1" operator="equal">
      <formula>"1 Modify"</formula>
    </cfRule>
  </conditionalFormatting>
  <conditionalFormatting sqref="C614">
    <cfRule type="cellIs" dxfId="32293" priority="1838" stopIfTrue="1" operator="equal">
      <formula>"2 Add"</formula>
    </cfRule>
  </conditionalFormatting>
  <conditionalFormatting sqref="C614">
    <cfRule type="cellIs" dxfId="32292" priority="1839" stopIfTrue="1" operator="equal">
      <formula>"3 Delete"</formula>
    </cfRule>
  </conditionalFormatting>
  <conditionalFormatting sqref="C615">
    <cfRule type="cellIs" dxfId="32291" priority="1840" stopIfTrue="1" operator="equal">
      <formula>"1 Modify"</formula>
    </cfRule>
  </conditionalFormatting>
  <conditionalFormatting sqref="C615">
    <cfRule type="cellIs" dxfId="32290" priority="1841" stopIfTrue="1" operator="equal">
      <formula>"2 Add"</formula>
    </cfRule>
  </conditionalFormatting>
  <conditionalFormatting sqref="C615">
    <cfRule type="cellIs" dxfId="32289" priority="1842" stopIfTrue="1" operator="equal">
      <formula>"3 Delete"</formula>
    </cfRule>
  </conditionalFormatting>
  <conditionalFormatting sqref="C616">
    <cfRule type="cellIs" dxfId="32288" priority="1843" stopIfTrue="1" operator="equal">
      <formula>"1 Modify"</formula>
    </cfRule>
  </conditionalFormatting>
  <conditionalFormatting sqref="C616">
    <cfRule type="cellIs" dxfId="32287" priority="1844" stopIfTrue="1" operator="equal">
      <formula>"2 Add"</formula>
    </cfRule>
  </conditionalFormatting>
  <conditionalFormatting sqref="C616">
    <cfRule type="cellIs" dxfId="32286" priority="1845" stopIfTrue="1" operator="equal">
      <formula>"3 Delete"</formula>
    </cfRule>
  </conditionalFormatting>
  <conditionalFormatting sqref="C617">
    <cfRule type="cellIs" dxfId="32285" priority="1846" stopIfTrue="1" operator="equal">
      <formula>"1 Modify"</formula>
    </cfRule>
  </conditionalFormatting>
  <conditionalFormatting sqref="C617">
    <cfRule type="cellIs" dxfId="32284" priority="1847" stopIfTrue="1" operator="equal">
      <formula>"2 Add"</formula>
    </cfRule>
  </conditionalFormatting>
  <conditionalFormatting sqref="C617">
    <cfRule type="cellIs" dxfId="32283" priority="1848" stopIfTrue="1" operator="equal">
      <formula>"3 Delete"</formula>
    </cfRule>
  </conditionalFormatting>
  <conditionalFormatting sqref="C618">
    <cfRule type="cellIs" dxfId="32282" priority="1849" stopIfTrue="1" operator="equal">
      <formula>"1 Modify"</formula>
    </cfRule>
  </conditionalFormatting>
  <conditionalFormatting sqref="C618">
    <cfRule type="cellIs" dxfId="32281" priority="1850" stopIfTrue="1" operator="equal">
      <formula>"2 Add"</formula>
    </cfRule>
  </conditionalFormatting>
  <conditionalFormatting sqref="C618">
    <cfRule type="cellIs" dxfId="32280" priority="1851" stopIfTrue="1" operator="equal">
      <formula>"3 Delete"</formula>
    </cfRule>
  </conditionalFormatting>
  <conditionalFormatting sqref="C619">
    <cfRule type="cellIs" dxfId="32279" priority="1852" stopIfTrue="1" operator="equal">
      <formula>"1 Modify"</formula>
    </cfRule>
  </conditionalFormatting>
  <conditionalFormatting sqref="C619">
    <cfRule type="cellIs" dxfId="32278" priority="1853" stopIfTrue="1" operator="equal">
      <formula>"2 Add"</formula>
    </cfRule>
  </conditionalFormatting>
  <conditionalFormatting sqref="C619">
    <cfRule type="cellIs" dxfId="32277" priority="1854" stopIfTrue="1" operator="equal">
      <formula>"3 Delete"</formula>
    </cfRule>
  </conditionalFormatting>
  <conditionalFormatting sqref="C620">
    <cfRule type="cellIs" dxfId="32276" priority="1855" stopIfTrue="1" operator="equal">
      <formula>"1 Modify"</formula>
    </cfRule>
  </conditionalFormatting>
  <conditionalFormatting sqref="C620">
    <cfRule type="cellIs" dxfId="32275" priority="1856" stopIfTrue="1" operator="equal">
      <formula>"2 Add"</formula>
    </cfRule>
  </conditionalFormatting>
  <conditionalFormatting sqref="C620">
    <cfRule type="cellIs" dxfId="32274" priority="1857" stopIfTrue="1" operator="equal">
      <formula>"3 Delete"</formula>
    </cfRule>
  </conditionalFormatting>
  <conditionalFormatting sqref="C621">
    <cfRule type="cellIs" dxfId="32273" priority="1858" stopIfTrue="1" operator="equal">
      <formula>"1 Modify"</formula>
    </cfRule>
  </conditionalFormatting>
  <conditionalFormatting sqref="C621">
    <cfRule type="cellIs" dxfId="32272" priority="1859" stopIfTrue="1" operator="equal">
      <formula>"2 Add"</formula>
    </cfRule>
  </conditionalFormatting>
  <conditionalFormatting sqref="C621">
    <cfRule type="cellIs" dxfId="32271" priority="1860" stopIfTrue="1" operator="equal">
      <formula>"3 Delete"</formula>
    </cfRule>
  </conditionalFormatting>
  <conditionalFormatting sqref="C622">
    <cfRule type="cellIs" dxfId="32270" priority="1861" stopIfTrue="1" operator="equal">
      <formula>"1 Modify"</formula>
    </cfRule>
  </conditionalFormatting>
  <conditionalFormatting sqref="C622">
    <cfRule type="cellIs" dxfId="32269" priority="1862" stopIfTrue="1" operator="equal">
      <formula>"2 Add"</formula>
    </cfRule>
  </conditionalFormatting>
  <conditionalFormatting sqref="C622">
    <cfRule type="cellIs" dxfId="32268" priority="1863" stopIfTrue="1" operator="equal">
      <formula>"3 Delete"</formula>
    </cfRule>
  </conditionalFormatting>
  <conditionalFormatting sqref="C623">
    <cfRule type="cellIs" dxfId="32267" priority="1864" stopIfTrue="1" operator="equal">
      <formula>"1 Modify"</formula>
    </cfRule>
  </conditionalFormatting>
  <conditionalFormatting sqref="C623">
    <cfRule type="cellIs" dxfId="32266" priority="1865" stopIfTrue="1" operator="equal">
      <formula>"2 Add"</formula>
    </cfRule>
  </conditionalFormatting>
  <conditionalFormatting sqref="C623">
    <cfRule type="cellIs" dxfId="32265" priority="1866" stopIfTrue="1" operator="equal">
      <formula>"3 Delete"</formula>
    </cfRule>
  </conditionalFormatting>
  <conditionalFormatting sqref="C624">
    <cfRule type="cellIs" dxfId="32264" priority="1867" stopIfTrue="1" operator="equal">
      <formula>"1 Modify"</formula>
    </cfRule>
  </conditionalFormatting>
  <conditionalFormatting sqref="C624">
    <cfRule type="cellIs" dxfId="32263" priority="1868" stopIfTrue="1" operator="equal">
      <formula>"2 Add"</formula>
    </cfRule>
  </conditionalFormatting>
  <conditionalFormatting sqref="C624">
    <cfRule type="cellIs" dxfId="32262" priority="1869" stopIfTrue="1" operator="equal">
      <formula>"3 Delete"</formula>
    </cfRule>
  </conditionalFormatting>
  <conditionalFormatting sqref="C625">
    <cfRule type="cellIs" dxfId="32261" priority="1870" stopIfTrue="1" operator="equal">
      <formula>"1 Modify"</formula>
    </cfRule>
  </conditionalFormatting>
  <conditionalFormatting sqref="C625">
    <cfRule type="cellIs" dxfId="32260" priority="1871" stopIfTrue="1" operator="equal">
      <formula>"2 Add"</formula>
    </cfRule>
  </conditionalFormatting>
  <conditionalFormatting sqref="C625">
    <cfRule type="cellIs" dxfId="32259" priority="1872" stopIfTrue="1" operator="equal">
      <formula>"3 Delete"</formula>
    </cfRule>
  </conditionalFormatting>
  <conditionalFormatting sqref="C626">
    <cfRule type="cellIs" dxfId="32258" priority="1873" stopIfTrue="1" operator="equal">
      <formula>"1 Modify"</formula>
    </cfRule>
  </conditionalFormatting>
  <conditionalFormatting sqref="C626">
    <cfRule type="cellIs" dxfId="32257" priority="1874" stopIfTrue="1" operator="equal">
      <formula>"2 Add"</formula>
    </cfRule>
  </conditionalFormatting>
  <conditionalFormatting sqref="C626">
    <cfRule type="cellIs" dxfId="32256" priority="1875" stopIfTrue="1" operator="equal">
      <formula>"3 Delete"</formula>
    </cfRule>
  </conditionalFormatting>
  <conditionalFormatting sqref="C627">
    <cfRule type="cellIs" dxfId="32255" priority="1876" stopIfTrue="1" operator="equal">
      <formula>"1 Modify"</formula>
    </cfRule>
  </conditionalFormatting>
  <conditionalFormatting sqref="C627">
    <cfRule type="cellIs" dxfId="32254" priority="1877" stopIfTrue="1" operator="equal">
      <formula>"2 Add"</formula>
    </cfRule>
  </conditionalFormatting>
  <conditionalFormatting sqref="C627">
    <cfRule type="cellIs" dxfId="32253" priority="1878" stopIfTrue="1" operator="equal">
      <formula>"3 Delete"</formula>
    </cfRule>
  </conditionalFormatting>
  <conditionalFormatting sqref="C628">
    <cfRule type="cellIs" dxfId="32252" priority="1879" stopIfTrue="1" operator="equal">
      <formula>"1 Modify"</formula>
    </cfRule>
  </conditionalFormatting>
  <conditionalFormatting sqref="C628">
    <cfRule type="cellIs" dxfId="32251" priority="1880" stopIfTrue="1" operator="equal">
      <formula>"2 Add"</formula>
    </cfRule>
  </conditionalFormatting>
  <conditionalFormatting sqref="C628">
    <cfRule type="cellIs" dxfId="32250" priority="1881" stopIfTrue="1" operator="equal">
      <formula>"3 Delete"</formula>
    </cfRule>
  </conditionalFormatting>
  <conditionalFormatting sqref="C629">
    <cfRule type="cellIs" dxfId="32249" priority="1882" stopIfTrue="1" operator="equal">
      <formula>"1 Modify"</formula>
    </cfRule>
  </conditionalFormatting>
  <conditionalFormatting sqref="C629">
    <cfRule type="cellIs" dxfId="32248" priority="1883" stopIfTrue="1" operator="equal">
      <formula>"2 Add"</formula>
    </cfRule>
  </conditionalFormatting>
  <conditionalFormatting sqref="C629">
    <cfRule type="cellIs" dxfId="32247" priority="1884" stopIfTrue="1" operator="equal">
      <formula>"3 Delete"</formula>
    </cfRule>
  </conditionalFormatting>
  <conditionalFormatting sqref="C630">
    <cfRule type="cellIs" dxfId="32246" priority="1885" stopIfTrue="1" operator="equal">
      <formula>"1 Modify"</formula>
    </cfRule>
  </conditionalFormatting>
  <conditionalFormatting sqref="C630">
    <cfRule type="cellIs" dxfId="32245" priority="1886" stopIfTrue="1" operator="equal">
      <formula>"2 Add"</formula>
    </cfRule>
  </conditionalFormatting>
  <conditionalFormatting sqref="C630">
    <cfRule type="cellIs" dxfId="32244" priority="1887" stopIfTrue="1" operator="equal">
      <formula>"3 Delete"</formula>
    </cfRule>
  </conditionalFormatting>
  <conditionalFormatting sqref="C631">
    <cfRule type="cellIs" dxfId="32243" priority="1888" stopIfTrue="1" operator="equal">
      <formula>"1 Modify"</formula>
    </cfRule>
  </conditionalFormatting>
  <conditionalFormatting sqref="C631">
    <cfRule type="cellIs" dxfId="32242" priority="1889" stopIfTrue="1" operator="equal">
      <formula>"2 Add"</formula>
    </cfRule>
  </conditionalFormatting>
  <conditionalFormatting sqref="C631">
    <cfRule type="cellIs" dxfId="32241" priority="1890" stopIfTrue="1" operator="equal">
      <formula>"3 Delete"</formula>
    </cfRule>
  </conditionalFormatting>
  <conditionalFormatting sqref="C632">
    <cfRule type="cellIs" dxfId="32240" priority="1891" stopIfTrue="1" operator="equal">
      <formula>"1 Modify"</formula>
    </cfRule>
  </conditionalFormatting>
  <conditionalFormatting sqref="C632">
    <cfRule type="cellIs" dxfId="32239" priority="1892" stopIfTrue="1" operator="equal">
      <formula>"2 Add"</formula>
    </cfRule>
  </conditionalFormatting>
  <conditionalFormatting sqref="C632">
    <cfRule type="cellIs" dxfId="32238" priority="1893" stopIfTrue="1" operator="equal">
      <formula>"3 Delete"</formula>
    </cfRule>
  </conditionalFormatting>
  <conditionalFormatting sqref="C633">
    <cfRule type="cellIs" dxfId="32237" priority="1894" stopIfTrue="1" operator="equal">
      <formula>"1 Modify"</formula>
    </cfRule>
  </conditionalFormatting>
  <conditionalFormatting sqref="C633">
    <cfRule type="cellIs" dxfId="32236" priority="1895" stopIfTrue="1" operator="equal">
      <formula>"2 Add"</formula>
    </cfRule>
  </conditionalFormatting>
  <conditionalFormatting sqref="C633">
    <cfRule type="cellIs" dxfId="32235" priority="1896" stopIfTrue="1" operator="equal">
      <formula>"3 Delete"</formula>
    </cfRule>
  </conditionalFormatting>
  <conditionalFormatting sqref="C634">
    <cfRule type="cellIs" dxfId="32234" priority="1897" stopIfTrue="1" operator="equal">
      <formula>"1 Modify"</formula>
    </cfRule>
  </conditionalFormatting>
  <conditionalFormatting sqref="C634">
    <cfRule type="cellIs" dxfId="32233" priority="1898" stopIfTrue="1" operator="equal">
      <formula>"2 Add"</formula>
    </cfRule>
  </conditionalFormatting>
  <conditionalFormatting sqref="C634">
    <cfRule type="cellIs" dxfId="32232" priority="1899" stopIfTrue="1" operator="equal">
      <formula>"3 Delete"</formula>
    </cfRule>
  </conditionalFormatting>
  <conditionalFormatting sqref="C635">
    <cfRule type="cellIs" dxfId="32231" priority="1900" stopIfTrue="1" operator="equal">
      <formula>"1 Modify"</formula>
    </cfRule>
  </conditionalFormatting>
  <conditionalFormatting sqref="C635">
    <cfRule type="cellIs" dxfId="32230" priority="1901" stopIfTrue="1" operator="equal">
      <formula>"2 Add"</formula>
    </cfRule>
  </conditionalFormatting>
  <conditionalFormatting sqref="C635">
    <cfRule type="cellIs" dxfId="32229" priority="1902" stopIfTrue="1" operator="equal">
      <formula>"3 Delete"</formula>
    </cfRule>
  </conditionalFormatting>
  <conditionalFormatting sqref="C636">
    <cfRule type="cellIs" dxfId="32228" priority="1903" stopIfTrue="1" operator="equal">
      <formula>"1 Modify"</formula>
    </cfRule>
  </conditionalFormatting>
  <conditionalFormatting sqref="C636">
    <cfRule type="cellIs" dxfId="32227" priority="1904" stopIfTrue="1" operator="equal">
      <formula>"2 Add"</formula>
    </cfRule>
  </conditionalFormatting>
  <conditionalFormatting sqref="C636">
    <cfRule type="cellIs" dxfId="32226" priority="1905" stopIfTrue="1" operator="equal">
      <formula>"3 Delete"</formula>
    </cfRule>
  </conditionalFormatting>
  <conditionalFormatting sqref="C637">
    <cfRule type="cellIs" dxfId="32225" priority="1906" stopIfTrue="1" operator="equal">
      <formula>"1 Modify"</formula>
    </cfRule>
  </conditionalFormatting>
  <conditionalFormatting sqref="C637">
    <cfRule type="cellIs" dxfId="32224" priority="1907" stopIfTrue="1" operator="equal">
      <formula>"2 Add"</formula>
    </cfRule>
  </conditionalFormatting>
  <conditionalFormatting sqref="C637">
    <cfRule type="cellIs" dxfId="32223" priority="1908" stopIfTrue="1" operator="equal">
      <formula>"3 Delete"</formula>
    </cfRule>
  </conditionalFormatting>
  <conditionalFormatting sqref="C638">
    <cfRule type="cellIs" dxfId="32222" priority="1909" stopIfTrue="1" operator="equal">
      <formula>"1 Modify"</formula>
    </cfRule>
  </conditionalFormatting>
  <conditionalFormatting sqref="C638">
    <cfRule type="cellIs" dxfId="32221" priority="1910" stopIfTrue="1" operator="equal">
      <formula>"2 Add"</formula>
    </cfRule>
  </conditionalFormatting>
  <conditionalFormatting sqref="C638">
    <cfRule type="cellIs" dxfId="32220" priority="1911" stopIfTrue="1" operator="equal">
      <formula>"3 Delete"</formula>
    </cfRule>
  </conditionalFormatting>
  <conditionalFormatting sqref="C639">
    <cfRule type="cellIs" dxfId="32219" priority="1912" stopIfTrue="1" operator="equal">
      <formula>"1 Modify"</formula>
    </cfRule>
  </conditionalFormatting>
  <conditionalFormatting sqref="C639">
    <cfRule type="cellIs" dxfId="32218" priority="1913" stopIfTrue="1" operator="equal">
      <formula>"2 Add"</formula>
    </cfRule>
  </conditionalFormatting>
  <conditionalFormatting sqref="C639">
    <cfRule type="cellIs" dxfId="32217" priority="1914" stopIfTrue="1" operator="equal">
      <formula>"3 Delete"</formula>
    </cfRule>
  </conditionalFormatting>
  <conditionalFormatting sqref="C640">
    <cfRule type="cellIs" dxfId="32216" priority="1915" stopIfTrue="1" operator="equal">
      <formula>"1 Modify"</formula>
    </cfRule>
  </conditionalFormatting>
  <conditionalFormatting sqref="C640">
    <cfRule type="cellIs" dxfId="32215" priority="1916" stopIfTrue="1" operator="equal">
      <formula>"2 Add"</formula>
    </cfRule>
  </conditionalFormatting>
  <conditionalFormatting sqref="C640">
    <cfRule type="cellIs" dxfId="32214" priority="1917" stopIfTrue="1" operator="equal">
      <formula>"3 Delete"</formula>
    </cfRule>
  </conditionalFormatting>
  <conditionalFormatting sqref="C641">
    <cfRule type="cellIs" dxfId="32213" priority="1918" stopIfTrue="1" operator="equal">
      <formula>"1 Modify"</formula>
    </cfRule>
  </conditionalFormatting>
  <conditionalFormatting sqref="C641">
    <cfRule type="cellIs" dxfId="32212" priority="1919" stopIfTrue="1" operator="equal">
      <formula>"2 Add"</formula>
    </cfRule>
  </conditionalFormatting>
  <conditionalFormatting sqref="C641">
    <cfRule type="cellIs" dxfId="32211" priority="1920" stopIfTrue="1" operator="equal">
      <formula>"3 Delete"</formula>
    </cfRule>
  </conditionalFormatting>
  <conditionalFormatting sqref="C642">
    <cfRule type="cellIs" dxfId="32210" priority="1921" stopIfTrue="1" operator="equal">
      <formula>"1 Modify"</formula>
    </cfRule>
  </conditionalFormatting>
  <conditionalFormatting sqref="C642">
    <cfRule type="cellIs" dxfId="32209" priority="1922" stopIfTrue="1" operator="equal">
      <formula>"2 Add"</formula>
    </cfRule>
  </conditionalFormatting>
  <conditionalFormatting sqref="C642">
    <cfRule type="cellIs" dxfId="32208" priority="1923" stopIfTrue="1" operator="equal">
      <formula>"3 Delete"</formula>
    </cfRule>
  </conditionalFormatting>
  <conditionalFormatting sqref="C643">
    <cfRule type="cellIs" dxfId="32207" priority="1924" stopIfTrue="1" operator="equal">
      <formula>"1 Modify"</formula>
    </cfRule>
  </conditionalFormatting>
  <conditionalFormatting sqref="C643">
    <cfRule type="cellIs" dxfId="32206" priority="1925" stopIfTrue="1" operator="equal">
      <formula>"2 Add"</formula>
    </cfRule>
  </conditionalFormatting>
  <conditionalFormatting sqref="C643">
    <cfRule type="cellIs" dxfId="32205" priority="1926" stopIfTrue="1" operator="equal">
      <formula>"3 Delete"</formula>
    </cfRule>
  </conditionalFormatting>
  <conditionalFormatting sqref="C644">
    <cfRule type="cellIs" dxfId="32204" priority="1927" stopIfTrue="1" operator="equal">
      <formula>"1 Modify"</formula>
    </cfRule>
  </conditionalFormatting>
  <conditionalFormatting sqref="C644">
    <cfRule type="cellIs" dxfId="32203" priority="1928" stopIfTrue="1" operator="equal">
      <formula>"2 Add"</formula>
    </cfRule>
  </conditionalFormatting>
  <conditionalFormatting sqref="C644">
    <cfRule type="cellIs" dxfId="32202" priority="1929" stopIfTrue="1" operator="equal">
      <formula>"3 Delete"</formula>
    </cfRule>
  </conditionalFormatting>
  <conditionalFormatting sqref="C645">
    <cfRule type="cellIs" dxfId="32201" priority="1930" stopIfTrue="1" operator="equal">
      <formula>"1 Modify"</formula>
    </cfRule>
  </conditionalFormatting>
  <conditionalFormatting sqref="C645">
    <cfRule type="cellIs" dxfId="32200" priority="1931" stopIfTrue="1" operator="equal">
      <formula>"2 Add"</formula>
    </cfRule>
  </conditionalFormatting>
  <conditionalFormatting sqref="C645">
    <cfRule type="cellIs" dxfId="32199" priority="1932" stopIfTrue="1" operator="equal">
      <formula>"3 Delete"</formula>
    </cfRule>
  </conditionalFormatting>
  <conditionalFormatting sqref="C646">
    <cfRule type="cellIs" dxfId="32198" priority="1933" stopIfTrue="1" operator="equal">
      <formula>"1 Modify"</formula>
    </cfRule>
  </conditionalFormatting>
  <conditionalFormatting sqref="C646">
    <cfRule type="cellIs" dxfId="32197" priority="1934" stopIfTrue="1" operator="equal">
      <formula>"2 Add"</formula>
    </cfRule>
  </conditionalFormatting>
  <conditionalFormatting sqref="C646">
    <cfRule type="cellIs" dxfId="32196" priority="1935" stopIfTrue="1" operator="equal">
      <formula>"3 Delete"</formula>
    </cfRule>
  </conditionalFormatting>
  <conditionalFormatting sqref="C647">
    <cfRule type="cellIs" dxfId="32195" priority="1936" stopIfTrue="1" operator="equal">
      <formula>"1 Modify"</formula>
    </cfRule>
  </conditionalFormatting>
  <conditionalFormatting sqref="C647">
    <cfRule type="cellIs" dxfId="32194" priority="1937" stopIfTrue="1" operator="equal">
      <formula>"2 Add"</formula>
    </cfRule>
  </conditionalFormatting>
  <conditionalFormatting sqref="C647">
    <cfRule type="cellIs" dxfId="32193" priority="1938" stopIfTrue="1" operator="equal">
      <formula>"3 Delete"</formula>
    </cfRule>
  </conditionalFormatting>
  <conditionalFormatting sqref="C648">
    <cfRule type="cellIs" dxfId="32192" priority="1939" stopIfTrue="1" operator="equal">
      <formula>"1 Modify"</formula>
    </cfRule>
  </conditionalFormatting>
  <conditionalFormatting sqref="C648">
    <cfRule type="cellIs" dxfId="32191" priority="1940" stopIfTrue="1" operator="equal">
      <formula>"2 Add"</formula>
    </cfRule>
  </conditionalFormatting>
  <conditionalFormatting sqref="C648">
    <cfRule type="cellIs" dxfId="32190" priority="1941" stopIfTrue="1" operator="equal">
      <formula>"3 Delete"</formula>
    </cfRule>
  </conditionalFormatting>
  <conditionalFormatting sqref="C649">
    <cfRule type="cellIs" dxfId="32189" priority="1942" stopIfTrue="1" operator="equal">
      <formula>"1 Modify"</formula>
    </cfRule>
  </conditionalFormatting>
  <conditionalFormatting sqref="C649">
    <cfRule type="cellIs" dxfId="32188" priority="1943" stopIfTrue="1" operator="equal">
      <formula>"2 Add"</formula>
    </cfRule>
  </conditionalFormatting>
  <conditionalFormatting sqref="C649">
    <cfRule type="cellIs" dxfId="32187" priority="1944" stopIfTrue="1" operator="equal">
      <formula>"3 Delete"</formula>
    </cfRule>
  </conditionalFormatting>
  <conditionalFormatting sqref="C650">
    <cfRule type="cellIs" dxfId="32186" priority="1945" stopIfTrue="1" operator="equal">
      <formula>"1 Modify"</formula>
    </cfRule>
  </conditionalFormatting>
  <conditionalFormatting sqref="C650">
    <cfRule type="cellIs" dxfId="32185" priority="1946" stopIfTrue="1" operator="equal">
      <formula>"2 Add"</formula>
    </cfRule>
  </conditionalFormatting>
  <conditionalFormatting sqref="C650">
    <cfRule type="cellIs" dxfId="32184" priority="1947" stopIfTrue="1" operator="equal">
      <formula>"3 Delete"</formula>
    </cfRule>
  </conditionalFormatting>
  <conditionalFormatting sqref="C651">
    <cfRule type="cellIs" dxfId="32183" priority="1948" stopIfTrue="1" operator="equal">
      <formula>"1 Modify"</formula>
    </cfRule>
  </conditionalFormatting>
  <conditionalFormatting sqref="C651">
    <cfRule type="cellIs" dxfId="32182" priority="1949" stopIfTrue="1" operator="equal">
      <formula>"2 Add"</formula>
    </cfRule>
  </conditionalFormatting>
  <conditionalFormatting sqref="C651">
    <cfRule type="cellIs" dxfId="32181" priority="1950" stopIfTrue="1" operator="equal">
      <formula>"3 Delete"</formula>
    </cfRule>
  </conditionalFormatting>
  <conditionalFormatting sqref="C652">
    <cfRule type="cellIs" dxfId="32180" priority="1951" stopIfTrue="1" operator="equal">
      <formula>"1 Modify"</formula>
    </cfRule>
  </conditionalFormatting>
  <conditionalFormatting sqref="C652">
    <cfRule type="cellIs" dxfId="32179" priority="1952" stopIfTrue="1" operator="equal">
      <formula>"2 Add"</formula>
    </cfRule>
  </conditionalFormatting>
  <conditionalFormatting sqref="C652">
    <cfRule type="cellIs" dxfId="32178" priority="1953" stopIfTrue="1" operator="equal">
      <formula>"3 Delete"</formula>
    </cfRule>
  </conditionalFormatting>
  <conditionalFormatting sqref="C653">
    <cfRule type="cellIs" dxfId="32177" priority="1954" stopIfTrue="1" operator="equal">
      <formula>"1 Modify"</formula>
    </cfRule>
  </conditionalFormatting>
  <conditionalFormatting sqref="C653">
    <cfRule type="cellIs" dxfId="32176" priority="1955" stopIfTrue="1" operator="equal">
      <formula>"2 Add"</formula>
    </cfRule>
  </conditionalFormatting>
  <conditionalFormatting sqref="C653">
    <cfRule type="cellIs" dxfId="32175" priority="1956" stopIfTrue="1" operator="equal">
      <formula>"3 Delete"</formula>
    </cfRule>
  </conditionalFormatting>
  <conditionalFormatting sqref="C654">
    <cfRule type="cellIs" dxfId="32174" priority="1957" stopIfTrue="1" operator="equal">
      <formula>"1 Modify"</formula>
    </cfRule>
  </conditionalFormatting>
  <conditionalFormatting sqref="C654">
    <cfRule type="cellIs" dxfId="32173" priority="1958" stopIfTrue="1" operator="equal">
      <formula>"2 Add"</formula>
    </cfRule>
  </conditionalFormatting>
  <conditionalFormatting sqref="C654">
    <cfRule type="cellIs" dxfId="32172" priority="1959" stopIfTrue="1" operator="equal">
      <formula>"3 Delete"</formula>
    </cfRule>
  </conditionalFormatting>
  <conditionalFormatting sqref="C655">
    <cfRule type="cellIs" dxfId="32171" priority="1960" stopIfTrue="1" operator="equal">
      <formula>"1 Modify"</formula>
    </cfRule>
  </conditionalFormatting>
  <conditionalFormatting sqref="C655">
    <cfRule type="cellIs" dxfId="32170" priority="1961" stopIfTrue="1" operator="equal">
      <formula>"2 Add"</formula>
    </cfRule>
  </conditionalFormatting>
  <conditionalFormatting sqref="C655">
    <cfRule type="cellIs" dxfId="32169" priority="1962" stopIfTrue="1" operator="equal">
      <formula>"3 Delete"</formula>
    </cfRule>
  </conditionalFormatting>
  <conditionalFormatting sqref="C656">
    <cfRule type="cellIs" dxfId="32168" priority="1963" stopIfTrue="1" operator="equal">
      <formula>"1 Modify"</formula>
    </cfRule>
  </conditionalFormatting>
  <conditionalFormatting sqref="C656">
    <cfRule type="cellIs" dxfId="32167" priority="1964" stopIfTrue="1" operator="equal">
      <formula>"2 Add"</formula>
    </cfRule>
  </conditionalFormatting>
  <conditionalFormatting sqref="C656">
    <cfRule type="cellIs" dxfId="32166" priority="1965" stopIfTrue="1" operator="equal">
      <formula>"3 Delete"</formula>
    </cfRule>
  </conditionalFormatting>
  <conditionalFormatting sqref="C657">
    <cfRule type="cellIs" dxfId="32165" priority="1966" stopIfTrue="1" operator="equal">
      <formula>"1 Modify"</formula>
    </cfRule>
  </conditionalFormatting>
  <conditionalFormatting sqref="C657">
    <cfRule type="cellIs" dxfId="32164" priority="1967" stopIfTrue="1" operator="equal">
      <formula>"2 Add"</formula>
    </cfRule>
  </conditionalFormatting>
  <conditionalFormatting sqref="C657">
    <cfRule type="cellIs" dxfId="32163" priority="1968" stopIfTrue="1" operator="equal">
      <formula>"3 Delete"</formula>
    </cfRule>
  </conditionalFormatting>
  <conditionalFormatting sqref="C658">
    <cfRule type="cellIs" dxfId="32162" priority="1969" stopIfTrue="1" operator="equal">
      <formula>"1 Modify"</formula>
    </cfRule>
  </conditionalFormatting>
  <conditionalFormatting sqref="C658">
    <cfRule type="cellIs" dxfId="32161" priority="1970" stopIfTrue="1" operator="equal">
      <formula>"2 Add"</formula>
    </cfRule>
  </conditionalFormatting>
  <conditionalFormatting sqref="C658">
    <cfRule type="cellIs" dxfId="32160" priority="1971" stopIfTrue="1" operator="equal">
      <formula>"3 Delete"</formula>
    </cfRule>
  </conditionalFormatting>
  <conditionalFormatting sqref="C659">
    <cfRule type="cellIs" dxfId="32159" priority="1972" stopIfTrue="1" operator="equal">
      <formula>"1 Modify"</formula>
    </cfRule>
  </conditionalFormatting>
  <conditionalFormatting sqref="C659">
    <cfRule type="cellIs" dxfId="32158" priority="1973" stopIfTrue="1" operator="equal">
      <formula>"2 Add"</formula>
    </cfRule>
  </conditionalFormatting>
  <conditionalFormatting sqref="C659">
    <cfRule type="cellIs" dxfId="32157" priority="1974" stopIfTrue="1" operator="equal">
      <formula>"3 Delete"</formula>
    </cfRule>
  </conditionalFormatting>
  <conditionalFormatting sqref="C660">
    <cfRule type="cellIs" dxfId="32156" priority="1975" stopIfTrue="1" operator="equal">
      <formula>"1 Modify"</formula>
    </cfRule>
  </conditionalFormatting>
  <conditionalFormatting sqref="C660">
    <cfRule type="cellIs" dxfId="32155" priority="1976" stopIfTrue="1" operator="equal">
      <formula>"2 Add"</formula>
    </cfRule>
  </conditionalFormatting>
  <conditionalFormatting sqref="C660">
    <cfRule type="cellIs" dxfId="32154" priority="1977" stopIfTrue="1" operator="equal">
      <formula>"3 Delete"</formula>
    </cfRule>
  </conditionalFormatting>
  <conditionalFormatting sqref="C661">
    <cfRule type="cellIs" dxfId="32153" priority="1978" stopIfTrue="1" operator="equal">
      <formula>"1 Modify"</formula>
    </cfRule>
  </conditionalFormatting>
  <conditionalFormatting sqref="C661">
    <cfRule type="cellIs" dxfId="32152" priority="1979" stopIfTrue="1" operator="equal">
      <formula>"2 Add"</formula>
    </cfRule>
  </conditionalFormatting>
  <conditionalFormatting sqref="C661">
    <cfRule type="cellIs" dxfId="32151" priority="1980" stopIfTrue="1" operator="equal">
      <formula>"3 Delete"</formula>
    </cfRule>
  </conditionalFormatting>
  <conditionalFormatting sqref="C662">
    <cfRule type="cellIs" dxfId="32150" priority="1981" stopIfTrue="1" operator="equal">
      <formula>"1 Modify"</formula>
    </cfRule>
  </conditionalFormatting>
  <conditionalFormatting sqref="C662">
    <cfRule type="cellIs" dxfId="32149" priority="1982" stopIfTrue="1" operator="equal">
      <formula>"2 Add"</formula>
    </cfRule>
  </conditionalFormatting>
  <conditionalFormatting sqref="C662">
    <cfRule type="cellIs" dxfId="32148" priority="1983" stopIfTrue="1" operator="equal">
      <formula>"3 Delete"</formula>
    </cfRule>
  </conditionalFormatting>
  <conditionalFormatting sqref="C663">
    <cfRule type="cellIs" dxfId="32147" priority="1984" stopIfTrue="1" operator="equal">
      <formula>"1 Modify"</formula>
    </cfRule>
  </conditionalFormatting>
  <conditionalFormatting sqref="C663">
    <cfRule type="cellIs" dxfId="32146" priority="1985" stopIfTrue="1" operator="equal">
      <formula>"2 Add"</formula>
    </cfRule>
  </conditionalFormatting>
  <conditionalFormatting sqref="C663">
    <cfRule type="cellIs" dxfId="32145" priority="1986" stopIfTrue="1" operator="equal">
      <formula>"3 Delete"</formula>
    </cfRule>
  </conditionalFormatting>
  <conditionalFormatting sqref="C664">
    <cfRule type="cellIs" dxfId="32144" priority="1987" stopIfTrue="1" operator="equal">
      <formula>"1 Modify"</formula>
    </cfRule>
  </conditionalFormatting>
  <conditionalFormatting sqref="C664">
    <cfRule type="cellIs" dxfId="32143" priority="1988" stopIfTrue="1" operator="equal">
      <formula>"2 Add"</formula>
    </cfRule>
  </conditionalFormatting>
  <conditionalFormatting sqref="C664">
    <cfRule type="cellIs" dxfId="32142" priority="1989" stopIfTrue="1" operator="equal">
      <formula>"3 Delete"</formula>
    </cfRule>
  </conditionalFormatting>
  <conditionalFormatting sqref="C665">
    <cfRule type="cellIs" dxfId="32141" priority="1990" stopIfTrue="1" operator="equal">
      <formula>"1 Modify"</formula>
    </cfRule>
  </conditionalFormatting>
  <conditionalFormatting sqref="C665">
    <cfRule type="cellIs" dxfId="32140" priority="1991" stopIfTrue="1" operator="equal">
      <formula>"2 Add"</formula>
    </cfRule>
  </conditionalFormatting>
  <conditionalFormatting sqref="C665">
    <cfRule type="cellIs" dxfId="32139" priority="1992" stopIfTrue="1" operator="equal">
      <formula>"3 Delete"</formula>
    </cfRule>
  </conditionalFormatting>
  <conditionalFormatting sqref="C666">
    <cfRule type="cellIs" dxfId="32138" priority="1993" stopIfTrue="1" operator="equal">
      <formula>"1 Modify"</formula>
    </cfRule>
  </conditionalFormatting>
  <conditionalFormatting sqref="C666">
    <cfRule type="cellIs" dxfId="32137" priority="1994" stopIfTrue="1" operator="equal">
      <formula>"2 Add"</formula>
    </cfRule>
  </conditionalFormatting>
  <conditionalFormatting sqref="C666">
    <cfRule type="cellIs" dxfId="32136" priority="1995" stopIfTrue="1" operator="equal">
      <formula>"3 Delete"</formula>
    </cfRule>
  </conditionalFormatting>
  <conditionalFormatting sqref="C667">
    <cfRule type="cellIs" dxfId="32135" priority="1996" stopIfTrue="1" operator="equal">
      <formula>"1 Modify"</formula>
    </cfRule>
  </conditionalFormatting>
  <conditionalFormatting sqref="C667">
    <cfRule type="cellIs" dxfId="32134" priority="1997" stopIfTrue="1" operator="equal">
      <formula>"2 Add"</formula>
    </cfRule>
  </conditionalFormatting>
  <conditionalFormatting sqref="C667">
    <cfRule type="cellIs" dxfId="32133" priority="1998" stopIfTrue="1" operator="equal">
      <formula>"3 Delete"</formula>
    </cfRule>
  </conditionalFormatting>
  <conditionalFormatting sqref="C668">
    <cfRule type="cellIs" dxfId="32132" priority="1999" stopIfTrue="1" operator="equal">
      <formula>"1 Modify"</formula>
    </cfRule>
  </conditionalFormatting>
  <conditionalFormatting sqref="C668">
    <cfRule type="cellIs" dxfId="32131" priority="2000" stopIfTrue="1" operator="equal">
      <formula>"2 Add"</formula>
    </cfRule>
  </conditionalFormatting>
  <conditionalFormatting sqref="C668">
    <cfRule type="cellIs" dxfId="32130" priority="2001" stopIfTrue="1" operator="equal">
      <formula>"3 Delete"</formula>
    </cfRule>
  </conditionalFormatting>
  <conditionalFormatting sqref="C669">
    <cfRule type="cellIs" dxfId="32129" priority="2002" stopIfTrue="1" operator="equal">
      <formula>"1 Modify"</formula>
    </cfRule>
  </conditionalFormatting>
  <conditionalFormatting sqref="C669">
    <cfRule type="cellIs" dxfId="32128" priority="2003" stopIfTrue="1" operator="equal">
      <formula>"2 Add"</formula>
    </cfRule>
  </conditionalFormatting>
  <conditionalFormatting sqref="C669">
    <cfRule type="cellIs" dxfId="32127" priority="2004" stopIfTrue="1" operator="equal">
      <formula>"3 Delete"</formula>
    </cfRule>
  </conditionalFormatting>
  <conditionalFormatting sqref="C670">
    <cfRule type="cellIs" dxfId="32126" priority="2005" stopIfTrue="1" operator="equal">
      <formula>"1 Modify"</formula>
    </cfRule>
  </conditionalFormatting>
  <conditionalFormatting sqref="C670">
    <cfRule type="cellIs" dxfId="32125" priority="2006" stopIfTrue="1" operator="equal">
      <formula>"2 Add"</formula>
    </cfRule>
  </conditionalFormatting>
  <conditionalFormatting sqref="C670">
    <cfRule type="cellIs" dxfId="32124" priority="2007" stopIfTrue="1" operator="equal">
      <formula>"3 Delete"</formula>
    </cfRule>
  </conditionalFormatting>
  <conditionalFormatting sqref="C671">
    <cfRule type="cellIs" dxfId="32123" priority="2008" stopIfTrue="1" operator="equal">
      <formula>"1 Modify"</formula>
    </cfRule>
  </conditionalFormatting>
  <conditionalFormatting sqref="C671">
    <cfRule type="cellIs" dxfId="32122" priority="2009" stopIfTrue="1" operator="equal">
      <formula>"2 Add"</formula>
    </cfRule>
  </conditionalFormatting>
  <conditionalFormatting sqref="C671">
    <cfRule type="cellIs" dxfId="32121" priority="2010" stopIfTrue="1" operator="equal">
      <formula>"3 Delete"</formula>
    </cfRule>
  </conditionalFormatting>
  <conditionalFormatting sqref="C672">
    <cfRule type="cellIs" dxfId="32120" priority="2011" stopIfTrue="1" operator="equal">
      <formula>"1 Modify"</formula>
    </cfRule>
  </conditionalFormatting>
  <conditionalFormatting sqref="C672">
    <cfRule type="cellIs" dxfId="32119" priority="2012" stopIfTrue="1" operator="equal">
      <formula>"2 Add"</formula>
    </cfRule>
  </conditionalFormatting>
  <conditionalFormatting sqref="C672">
    <cfRule type="cellIs" dxfId="32118" priority="2013" stopIfTrue="1" operator="equal">
      <formula>"3 Delete"</formula>
    </cfRule>
  </conditionalFormatting>
  <conditionalFormatting sqref="C673">
    <cfRule type="cellIs" dxfId="32117" priority="2014" stopIfTrue="1" operator="equal">
      <formula>"1 Modify"</formula>
    </cfRule>
  </conditionalFormatting>
  <conditionalFormatting sqref="C673">
    <cfRule type="cellIs" dxfId="32116" priority="2015" stopIfTrue="1" operator="equal">
      <formula>"2 Add"</formula>
    </cfRule>
  </conditionalFormatting>
  <conditionalFormatting sqref="C673">
    <cfRule type="cellIs" dxfId="32115" priority="2016" stopIfTrue="1" operator="equal">
      <formula>"3 Delete"</formula>
    </cfRule>
  </conditionalFormatting>
  <conditionalFormatting sqref="C674">
    <cfRule type="cellIs" dxfId="32114" priority="2017" stopIfTrue="1" operator="equal">
      <formula>"1 Modify"</formula>
    </cfRule>
  </conditionalFormatting>
  <conditionalFormatting sqref="C674">
    <cfRule type="cellIs" dxfId="32113" priority="2018" stopIfTrue="1" operator="equal">
      <formula>"2 Add"</formula>
    </cfRule>
  </conditionalFormatting>
  <conditionalFormatting sqref="C674">
    <cfRule type="cellIs" dxfId="32112" priority="2019" stopIfTrue="1" operator="equal">
      <formula>"3 Delete"</formula>
    </cfRule>
  </conditionalFormatting>
  <conditionalFormatting sqref="C675">
    <cfRule type="cellIs" dxfId="32111" priority="2020" stopIfTrue="1" operator="equal">
      <formula>"1 Modify"</formula>
    </cfRule>
  </conditionalFormatting>
  <conditionalFormatting sqref="C675">
    <cfRule type="cellIs" dxfId="32110" priority="2021" stopIfTrue="1" operator="equal">
      <formula>"2 Add"</formula>
    </cfRule>
  </conditionalFormatting>
  <conditionalFormatting sqref="C675">
    <cfRule type="cellIs" dxfId="32109" priority="2022" stopIfTrue="1" operator="equal">
      <formula>"3 Delete"</formula>
    </cfRule>
  </conditionalFormatting>
  <conditionalFormatting sqref="C676">
    <cfRule type="cellIs" dxfId="32108" priority="2023" stopIfTrue="1" operator="equal">
      <formula>"1 Modify"</formula>
    </cfRule>
  </conditionalFormatting>
  <conditionalFormatting sqref="C676">
    <cfRule type="cellIs" dxfId="32107" priority="2024" stopIfTrue="1" operator="equal">
      <formula>"2 Add"</formula>
    </cfRule>
  </conditionalFormatting>
  <conditionalFormatting sqref="C676">
    <cfRule type="cellIs" dxfId="32106" priority="2025" stopIfTrue="1" operator="equal">
      <formula>"3 Delete"</formula>
    </cfRule>
  </conditionalFormatting>
  <conditionalFormatting sqref="C677">
    <cfRule type="cellIs" dxfId="32105" priority="2026" stopIfTrue="1" operator="equal">
      <formula>"1 Modify"</formula>
    </cfRule>
  </conditionalFormatting>
  <conditionalFormatting sqref="C677">
    <cfRule type="cellIs" dxfId="32104" priority="2027" stopIfTrue="1" operator="equal">
      <formula>"2 Add"</formula>
    </cfRule>
  </conditionalFormatting>
  <conditionalFormatting sqref="C677">
    <cfRule type="cellIs" dxfId="32103" priority="2028" stopIfTrue="1" operator="equal">
      <formula>"3 Delete"</formula>
    </cfRule>
  </conditionalFormatting>
  <conditionalFormatting sqref="C678">
    <cfRule type="cellIs" dxfId="32102" priority="2029" stopIfTrue="1" operator="equal">
      <formula>"1 Modify"</formula>
    </cfRule>
  </conditionalFormatting>
  <conditionalFormatting sqref="C678">
    <cfRule type="cellIs" dxfId="32101" priority="2030" stopIfTrue="1" operator="equal">
      <formula>"2 Add"</formula>
    </cfRule>
  </conditionalFormatting>
  <conditionalFormatting sqref="C678">
    <cfRule type="cellIs" dxfId="32100" priority="2031" stopIfTrue="1" operator="equal">
      <formula>"3 Delete"</formula>
    </cfRule>
  </conditionalFormatting>
  <conditionalFormatting sqref="C679">
    <cfRule type="cellIs" dxfId="32099" priority="2032" stopIfTrue="1" operator="equal">
      <formula>"1 Modify"</formula>
    </cfRule>
  </conditionalFormatting>
  <conditionalFormatting sqref="C679">
    <cfRule type="cellIs" dxfId="32098" priority="2033" stopIfTrue="1" operator="equal">
      <formula>"2 Add"</formula>
    </cfRule>
  </conditionalFormatting>
  <conditionalFormatting sqref="C679">
    <cfRule type="cellIs" dxfId="32097" priority="2034" stopIfTrue="1" operator="equal">
      <formula>"3 Delete"</formula>
    </cfRule>
  </conditionalFormatting>
  <conditionalFormatting sqref="C680">
    <cfRule type="cellIs" dxfId="32096" priority="2035" stopIfTrue="1" operator="equal">
      <formula>"1 Modify"</formula>
    </cfRule>
  </conditionalFormatting>
  <conditionalFormatting sqref="C680">
    <cfRule type="cellIs" dxfId="32095" priority="2036" stopIfTrue="1" operator="equal">
      <formula>"2 Add"</formula>
    </cfRule>
  </conditionalFormatting>
  <conditionalFormatting sqref="C680">
    <cfRule type="cellIs" dxfId="32094" priority="2037" stopIfTrue="1" operator="equal">
      <formula>"3 Delete"</formula>
    </cfRule>
  </conditionalFormatting>
  <conditionalFormatting sqref="C681">
    <cfRule type="cellIs" dxfId="32093" priority="2038" stopIfTrue="1" operator="equal">
      <formula>"1 Modify"</formula>
    </cfRule>
  </conditionalFormatting>
  <conditionalFormatting sqref="C681">
    <cfRule type="cellIs" dxfId="32092" priority="2039" stopIfTrue="1" operator="equal">
      <formula>"2 Add"</formula>
    </cfRule>
  </conditionalFormatting>
  <conditionalFormatting sqref="C681">
    <cfRule type="cellIs" dxfId="32091" priority="2040" stopIfTrue="1" operator="equal">
      <formula>"3 Delete"</formula>
    </cfRule>
  </conditionalFormatting>
  <conditionalFormatting sqref="C682">
    <cfRule type="cellIs" dxfId="32090" priority="2041" stopIfTrue="1" operator="equal">
      <formula>"1 Modify"</formula>
    </cfRule>
  </conditionalFormatting>
  <conditionalFormatting sqref="C682">
    <cfRule type="cellIs" dxfId="32089" priority="2042" stopIfTrue="1" operator="equal">
      <formula>"2 Add"</formula>
    </cfRule>
  </conditionalFormatting>
  <conditionalFormatting sqref="C682">
    <cfRule type="cellIs" dxfId="32088" priority="2043" stopIfTrue="1" operator="equal">
      <formula>"3 Delete"</formula>
    </cfRule>
  </conditionalFormatting>
  <conditionalFormatting sqref="C683">
    <cfRule type="cellIs" dxfId="32087" priority="2044" stopIfTrue="1" operator="equal">
      <formula>"1 Modify"</formula>
    </cfRule>
  </conditionalFormatting>
  <conditionalFormatting sqref="C683">
    <cfRule type="cellIs" dxfId="32086" priority="2045" stopIfTrue="1" operator="equal">
      <formula>"2 Add"</formula>
    </cfRule>
  </conditionalFormatting>
  <conditionalFormatting sqref="C683">
    <cfRule type="cellIs" dxfId="32085" priority="2046" stopIfTrue="1" operator="equal">
      <formula>"3 Delete"</formula>
    </cfRule>
  </conditionalFormatting>
  <conditionalFormatting sqref="C684">
    <cfRule type="cellIs" dxfId="32084" priority="2047" stopIfTrue="1" operator="equal">
      <formula>"1 Modify"</formula>
    </cfRule>
  </conditionalFormatting>
  <conditionalFormatting sqref="C684">
    <cfRule type="cellIs" dxfId="32083" priority="2048" stopIfTrue="1" operator="equal">
      <formula>"2 Add"</formula>
    </cfRule>
  </conditionalFormatting>
  <conditionalFormatting sqref="C684">
    <cfRule type="cellIs" dxfId="32082" priority="2049" stopIfTrue="1" operator="equal">
      <formula>"3 Delete"</formula>
    </cfRule>
  </conditionalFormatting>
  <conditionalFormatting sqref="C685">
    <cfRule type="cellIs" dxfId="32081" priority="2050" stopIfTrue="1" operator="equal">
      <formula>"1 Modify"</formula>
    </cfRule>
  </conditionalFormatting>
  <conditionalFormatting sqref="C685">
    <cfRule type="cellIs" dxfId="32080" priority="2051" stopIfTrue="1" operator="equal">
      <formula>"2 Add"</formula>
    </cfRule>
  </conditionalFormatting>
  <conditionalFormatting sqref="C685">
    <cfRule type="cellIs" dxfId="32079" priority="2052" stopIfTrue="1" operator="equal">
      <formula>"3 Delete"</formula>
    </cfRule>
  </conditionalFormatting>
  <conditionalFormatting sqref="C686">
    <cfRule type="cellIs" dxfId="32078" priority="2053" stopIfTrue="1" operator="equal">
      <formula>"1 Modify"</formula>
    </cfRule>
  </conditionalFormatting>
  <conditionalFormatting sqref="C686">
    <cfRule type="cellIs" dxfId="32077" priority="2054" stopIfTrue="1" operator="equal">
      <formula>"2 Add"</formula>
    </cfRule>
  </conditionalFormatting>
  <conditionalFormatting sqref="C686">
    <cfRule type="cellIs" dxfId="32076" priority="2055" stopIfTrue="1" operator="equal">
      <formula>"3 Delete"</formula>
    </cfRule>
  </conditionalFormatting>
  <conditionalFormatting sqref="C687">
    <cfRule type="cellIs" dxfId="32075" priority="2056" stopIfTrue="1" operator="equal">
      <formula>"1 Modify"</formula>
    </cfRule>
  </conditionalFormatting>
  <conditionalFormatting sqref="C687">
    <cfRule type="cellIs" dxfId="32074" priority="2057" stopIfTrue="1" operator="equal">
      <formula>"2 Add"</formula>
    </cfRule>
  </conditionalFormatting>
  <conditionalFormatting sqref="C687">
    <cfRule type="cellIs" dxfId="32073" priority="2058" stopIfTrue="1" operator="equal">
      <formula>"3 Delete"</formula>
    </cfRule>
  </conditionalFormatting>
  <conditionalFormatting sqref="C688">
    <cfRule type="cellIs" dxfId="32072" priority="2059" stopIfTrue="1" operator="equal">
      <formula>"1 Modify"</formula>
    </cfRule>
  </conditionalFormatting>
  <conditionalFormatting sqref="C688">
    <cfRule type="cellIs" dxfId="32071" priority="2060" stopIfTrue="1" operator="equal">
      <formula>"2 Add"</formula>
    </cfRule>
  </conditionalFormatting>
  <conditionalFormatting sqref="C688">
    <cfRule type="cellIs" dxfId="32070" priority="2061" stopIfTrue="1" operator="equal">
      <formula>"3 Delete"</formula>
    </cfRule>
  </conditionalFormatting>
  <conditionalFormatting sqref="C689">
    <cfRule type="cellIs" dxfId="32069" priority="2062" stopIfTrue="1" operator="equal">
      <formula>"1 Modify"</formula>
    </cfRule>
  </conditionalFormatting>
  <conditionalFormatting sqref="C689">
    <cfRule type="cellIs" dxfId="32068" priority="2063" stopIfTrue="1" operator="equal">
      <formula>"2 Add"</formula>
    </cfRule>
  </conditionalFormatting>
  <conditionalFormatting sqref="C689">
    <cfRule type="cellIs" dxfId="32067" priority="2064" stopIfTrue="1" operator="equal">
      <formula>"3 Delete"</formula>
    </cfRule>
  </conditionalFormatting>
  <conditionalFormatting sqref="C690">
    <cfRule type="cellIs" dxfId="32066" priority="2065" stopIfTrue="1" operator="equal">
      <formula>"1 Modify"</formula>
    </cfRule>
  </conditionalFormatting>
  <conditionalFormatting sqref="C690">
    <cfRule type="cellIs" dxfId="32065" priority="2066" stopIfTrue="1" operator="equal">
      <formula>"2 Add"</formula>
    </cfRule>
  </conditionalFormatting>
  <conditionalFormatting sqref="C690">
    <cfRule type="cellIs" dxfId="32064" priority="2067" stopIfTrue="1" operator="equal">
      <formula>"3 Delete"</formula>
    </cfRule>
  </conditionalFormatting>
  <conditionalFormatting sqref="C691">
    <cfRule type="cellIs" dxfId="32063" priority="2068" stopIfTrue="1" operator="equal">
      <formula>"1 Modify"</formula>
    </cfRule>
  </conditionalFormatting>
  <conditionalFormatting sqref="C691">
    <cfRule type="cellIs" dxfId="32062" priority="2069" stopIfTrue="1" operator="equal">
      <formula>"2 Add"</formula>
    </cfRule>
  </conditionalFormatting>
  <conditionalFormatting sqref="C691">
    <cfRule type="cellIs" dxfId="32061" priority="2070" stopIfTrue="1" operator="equal">
      <formula>"3 Delete"</formula>
    </cfRule>
  </conditionalFormatting>
  <conditionalFormatting sqref="C692">
    <cfRule type="cellIs" dxfId="32060" priority="2071" stopIfTrue="1" operator="equal">
      <formula>"1 Modify"</formula>
    </cfRule>
  </conditionalFormatting>
  <conditionalFormatting sqref="C692">
    <cfRule type="cellIs" dxfId="32059" priority="2072" stopIfTrue="1" operator="equal">
      <formula>"2 Add"</formula>
    </cfRule>
  </conditionalFormatting>
  <conditionalFormatting sqref="C692">
    <cfRule type="cellIs" dxfId="32058" priority="2073" stopIfTrue="1" operator="equal">
      <formula>"3 Delete"</formula>
    </cfRule>
  </conditionalFormatting>
  <conditionalFormatting sqref="C693">
    <cfRule type="cellIs" dxfId="32057" priority="2074" stopIfTrue="1" operator="equal">
      <formula>"1 Modify"</formula>
    </cfRule>
  </conditionalFormatting>
  <conditionalFormatting sqref="C693">
    <cfRule type="cellIs" dxfId="32056" priority="2075" stopIfTrue="1" operator="equal">
      <formula>"2 Add"</formula>
    </cfRule>
  </conditionalFormatting>
  <conditionalFormatting sqref="C693">
    <cfRule type="cellIs" dxfId="32055" priority="2076" stopIfTrue="1" operator="equal">
      <formula>"3 Delete"</formula>
    </cfRule>
  </conditionalFormatting>
  <conditionalFormatting sqref="C694">
    <cfRule type="cellIs" dxfId="32054" priority="2077" stopIfTrue="1" operator="equal">
      <formula>"1 Modify"</formula>
    </cfRule>
  </conditionalFormatting>
  <conditionalFormatting sqref="C694">
    <cfRule type="cellIs" dxfId="32053" priority="2078" stopIfTrue="1" operator="equal">
      <formula>"2 Add"</formula>
    </cfRule>
  </conditionalFormatting>
  <conditionalFormatting sqref="C694">
    <cfRule type="cellIs" dxfId="32052" priority="2079" stopIfTrue="1" operator="equal">
      <formula>"3 Delete"</formula>
    </cfRule>
  </conditionalFormatting>
  <conditionalFormatting sqref="C695">
    <cfRule type="cellIs" dxfId="32051" priority="2080" stopIfTrue="1" operator="equal">
      <formula>"1 Modify"</formula>
    </cfRule>
  </conditionalFormatting>
  <conditionalFormatting sqref="C695">
    <cfRule type="cellIs" dxfId="32050" priority="2081" stopIfTrue="1" operator="equal">
      <formula>"2 Add"</formula>
    </cfRule>
  </conditionalFormatting>
  <conditionalFormatting sqref="C695">
    <cfRule type="cellIs" dxfId="32049" priority="2082" stopIfTrue="1" operator="equal">
      <formula>"3 Delete"</formula>
    </cfRule>
  </conditionalFormatting>
  <conditionalFormatting sqref="C696">
    <cfRule type="cellIs" dxfId="32048" priority="2083" stopIfTrue="1" operator="equal">
      <formula>"1 Modify"</formula>
    </cfRule>
  </conditionalFormatting>
  <conditionalFormatting sqref="C696">
    <cfRule type="cellIs" dxfId="32047" priority="2084" stopIfTrue="1" operator="equal">
      <formula>"2 Add"</formula>
    </cfRule>
  </conditionalFormatting>
  <conditionalFormatting sqref="C696">
    <cfRule type="cellIs" dxfId="32046" priority="2085" stopIfTrue="1" operator="equal">
      <formula>"3 Delete"</formula>
    </cfRule>
  </conditionalFormatting>
  <conditionalFormatting sqref="C697">
    <cfRule type="cellIs" dxfId="32045" priority="2086" stopIfTrue="1" operator="equal">
      <formula>"1 Modify"</formula>
    </cfRule>
  </conditionalFormatting>
  <conditionalFormatting sqref="C697">
    <cfRule type="cellIs" dxfId="32044" priority="2087" stopIfTrue="1" operator="equal">
      <formula>"2 Add"</formula>
    </cfRule>
  </conditionalFormatting>
  <conditionalFormatting sqref="C697">
    <cfRule type="cellIs" dxfId="32043" priority="2088" stopIfTrue="1" operator="equal">
      <formula>"3 Delete"</formula>
    </cfRule>
  </conditionalFormatting>
  <conditionalFormatting sqref="C698">
    <cfRule type="cellIs" dxfId="32042" priority="2089" stopIfTrue="1" operator="equal">
      <formula>"1 Modify"</formula>
    </cfRule>
  </conditionalFormatting>
  <conditionalFormatting sqref="C698">
    <cfRule type="cellIs" dxfId="32041" priority="2090" stopIfTrue="1" operator="equal">
      <formula>"2 Add"</formula>
    </cfRule>
  </conditionalFormatting>
  <conditionalFormatting sqref="C698">
    <cfRule type="cellIs" dxfId="32040" priority="2091" stopIfTrue="1" operator="equal">
      <formula>"3 Delete"</formula>
    </cfRule>
  </conditionalFormatting>
  <conditionalFormatting sqref="C699">
    <cfRule type="cellIs" dxfId="32039" priority="2092" stopIfTrue="1" operator="equal">
      <formula>"1 Modify"</formula>
    </cfRule>
  </conditionalFormatting>
  <conditionalFormatting sqref="C699">
    <cfRule type="cellIs" dxfId="32038" priority="2093" stopIfTrue="1" operator="equal">
      <formula>"2 Add"</formula>
    </cfRule>
  </conditionalFormatting>
  <conditionalFormatting sqref="C699">
    <cfRule type="cellIs" dxfId="32037" priority="2094" stopIfTrue="1" operator="equal">
      <formula>"3 Delete"</formula>
    </cfRule>
  </conditionalFormatting>
  <conditionalFormatting sqref="C700">
    <cfRule type="cellIs" dxfId="32036" priority="2095" stopIfTrue="1" operator="equal">
      <formula>"1 Modify"</formula>
    </cfRule>
  </conditionalFormatting>
  <conditionalFormatting sqref="C700">
    <cfRule type="cellIs" dxfId="32035" priority="2096" stopIfTrue="1" operator="equal">
      <formula>"2 Add"</formula>
    </cfRule>
  </conditionalFormatting>
  <conditionalFormatting sqref="C700">
    <cfRule type="cellIs" dxfId="32034" priority="2097" stopIfTrue="1" operator="equal">
      <formula>"3 Delete"</formula>
    </cfRule>
  </conditionalFormatting>
  <conditionalFormatting sqref="C701">
    <cfRule type="cellIs" dxfId="32033" priority="2098" stopIfTrue="1" operator="equal">
      <formula>"1 Modify"</formula>
    </cfRule>
  </conditionalFormatting>
  <conditionalFormatting sqref="C701">
    <cfRule type="cellIs" dxfId="32032" priority="2099" stopIfTrue="1" operator="equal">
      <formula>"2 Add"</formula>
    </cfRule>
  </conditionalFormatting>
  <conditionalFormatting sqref="C701">
    <cfRule type="cellIs" dxfId="32031" priority="2100" stopIfTrue="1" operator="equal">
      <formula>"3 Delete"</formula>
    </cfRule>
  </conditionalFormatting>
  <conditionalFormatting sqref="C702">
    <cfRule type="cellIs" dxfId="32030" priority="2101" stopIfTrue="1" operator="equal">
      <formula>"1 Modify"</formula>
    </cfRule>
  </conditionalFormatting>
  <conditionalFormatting sqref="C702">
    <cfRule type="cellIs" dxfId="32029" priority="2102" stopIfTrue="1" operator="equal">
      <formula>"2 Add"</formula>
    </cfRule>
  </conditionalFormatting>
  <conditionalFormatting sqref="C702">
    <cfRule type="cellIs" dxfId="32028" priority="2103" stopIfTrue="1" operator="equal">
      <formula>"3 Delete"</formula>
    </cfRule>
  </conditionalFormatting>
  <conditionalFormatting sqref="C703">
    <cfRule type="cellIs" dxfId="32027" priority="2104" stopIfTrue="1" operator="equal">
      <formula>"1 Modify"</formula>
    </cfRule>
  </conditionalFormatting>
  <conditionalFormatting sqref="C703">
    <cfRule type="cellIs" dxfId="32026" priority="2105" stopIfTrue="1" operator="equal">
      <formula>"2 Add"</formula>
    </cfRule>
  </conditionalFormatting>
  <conditionalFormatting sqref="C703">
    <cfRule type="cellIs" dxfId="32025" priority="2106" stopIfTrue="1" operator="equal">
      <formula>"3 Delete"</formula>
    </cfRule>
  </conditionalFormatting>
  <conditionalFormatting sqref="C704">
    <cfRule type="cellIs" dxfId="32024" priority="2107" stopIfTrue="1" operator="equal">
      <formula>"1 Modify"</formula>
    </cfRule>
  </conditionalFormatting>
  <conditionalFormatting sqref="C704">
    <cfRule type="cellIs" dxfId="32023" priority="2108" stopIfTrue="1" operator="equal">
      <formula>"2 Add"</formula>
    </cfRule>
  </conditionalFormatting>
  <conditionalFormatting sqref="C704">
    <cfRule type="cellIs" dxfId="32022" priority="2109" stopIfTrue="1" operator="equal">
      <formula>"3 Delete"</formula>
    </cfRule>
  </conditionalFormatting>
  <conditionalFormatting sqref="C705">
    <cfRule type="cellIs" dxfId="32021" priority="2110" stopIfTrue="1" operator="equal">
      <formula>"1 Modify"</formula>
    </cfRule>
  </conditionalFormatting>
  <conditionalFormatting sqref="C705">
    <cfRule type="cellIs" dxfId="32020" priority="2111" stopIfTrue="1" operator="equal">
      <formula>"2 Add"</formula>
    </cfRule>
  </conditionalFormatting>
  <conditionalFormatting sqref="C705">
    <cfRule type="cellIs" dxfId="32019" priority="2112" stopIfTrue="1" operator="equal">
      <formula>"3 Delete"</formula>
    </cfRule>
  </conditionalFormatting>
  <conditionalFormatting sqref="C706">
    <cfRule type="cellIs" dxfId="32018" priority="2113" stopIfTrue="1" operator="equal">
      <formula>"1 Modify"</formula>
    </cfRule>
  </conditionalFormatting>
  <conditionalFormatting sqref="C706">
    <cfRule type="cellIs" dxfId="32017" priority="2114" stopIfTrue="1" operator="equal">
      <formula>"2 Add"</formula>
    </cfRule>
  </conditionalFormatting>
  <conditionalFormatting sqref="C706">
    <cfRule type="cellIs" dxfId="32016" priority="2115" stopIfTrue="1" operator="equal">
      <formula>"3 Delete"</formula>
    </cfRule>
  </conditionalFormatting>
  <conditionalFormatting sqref="C707">
    <cfRule type="cellIs" dxfId="32015" priority="2116" stopIfTrue="1" operator="equal">
      <formula>"1 Modify"</formula>
    </cfRule>
  </conditionalFormatting>
  <conditionalFormatting sqref="C707">
    <cfRule type="cellIs" dxfId="32014" priority="2117" stopIfTrue="1" operator="equal">
      <formula>"2 Add"</formula>
    </cfRule>
  </conditionalFormatting>
  <conditionalFormatting sqref="C707">
    <cfRule type="cellIs" dxfId="32013" priority="2118" stopIfTrue="1" operator="equal">
      <formula>"3 Delete"</formula>
    </cfRule>
  </conditionalFormatting>
  <conditionalFormatting sqref="C708">
    <cfRule type="cellIs" dxfId="32012" priority="2119" stopIfTrue="1" operator="equal">
      <formula>"1 Modify"</formula>
    </cfRule>
  </conditionalFormatting>
  <conditionalFormatting sqref="C708">
    <cfRule type="cellIs" dxfId="32011" priority="2120" stopIfTrue="1" operator="equal">
      <formula>"2 Add"</formula>
    </cfRule>
  </conditionalFormatting>
  <conditionalFormatting sqref="C708">
    <cfRule type="cellIs" dxfId="32010" priority="2121" stopIfTrue="1" operator="equal">
      <formula>"3 Delete"</formula>
    </cfRule>
  </conditionalFormatting>
  <conditionalFormatting sqref="C709">
    <cfRule type="cellIs" dxfId="32009" priority="2122" stopIfTrue="1" operator="equal">
      <formula>"1 Modify"</formula>
    </cfRule>
  </conditionalFormatting>
  <conditionalFormatting sqref="C709">
    <cfRule type="cellIs" dxfId="32008" priority="2123" stopIfTrue="1" operator="equal">
      <formula>"2 Add"</formula>
    </cfRule>
  </conditionalFormatting>
  <conditionalFormatting sqref="C709">
    <cfRule type="cellIs" dxfId="32007" priority="2124" stopIfTrue="1" operator="equal">
      <formula>"3 Delete"</formula>
    </cfRule>
  </conditionalFormatting>
  <conditionalFormatting sqref="C710">
    <cfRule type="cellIs" dxfId="32006" priority="2125" stopIfTrue="1" operator="equal">
      <formula>"1 Modify"</formula>
    </cfRule>
  </conditionalFormatting>
  <conditionalFormatting sqref="C710">
    <cfRule type="cellIs" dxfId="32005" priority="2126" stopIfTrue="1" operator="equal">
      <formula>"2 Add"</formula>
    </cfRule>
  </conditionalFormatting>
  <conditionalFormatting sqref="C710">
    <cfRule type="cellIs" dxfId="32004" priority="2127" stopIfTrue="1" operator="equal">
      <formula>"3 Delete"</formula>
    </cfRule>
  </conditionalFormatting>
  <conditionalFormatting sqref="C711">
    <cfRule type="cellIs" dxfId="32003" priority="2128" stopIfTrue="1" operator="equal">
      <formula>"1 Modify"</formula>
    </cfRule>
  </conditionalFormatting>
  <conditionalFormatting sqref="C711">
    <cfRule type="cellIs" dxfId="32002" priority="2129" stopIfTrue="1" operator="equal">
      <formula>"2 Add"</formula>
    </cfRule>
  </conditionalFormatting>
  <conditionalFormatting sqref="C711">
    <cfRule type="cellIs" dxfId="32001" priority="2130" stopIfTrue="1" operator="equal">
      <formula>"3 Delete"</formula>
    </cfRule>
  </conditionalFormatting>
  <conditionalFormatting sqref="C712">
    <cfRule type="cellIs" dxfId="32000" priority="2131" stopIfTrue="1" operator="equal">
      <formula>"1 Modify"</formula>
    </cfRule>
  </conditionalFormatting>
  <conditionalFormatting sqref="C712">
    <cfRule type="cellIs" dxfId="31999" priority="2132" stopIfTrue="1" operator="equal">
      <formula>"2 Add"</formula>
    </cfRule>
  </conditionalFormatting>
  <conditionalFormatting sqref="C712">
    <cfRule type="cellIs" dxfId="31998" priority="2133" stopIfTrue="1" operator="equal">
      <formula>"3 Delete"</formula>
    </cfRule>
  </conditionalFormatting>
  <conditionalFormatting sqref="C713">
    <cfRule type="cellIs" dxfId="31997" priority="2134" stopIfTrue="1" operator="equal">
      <formula>"1 Modify"</formula>
    </cfRule>
  </conditionalFormatting>
  <conditionalFormatting sqref="C713">
    <cfRule type="cellIs" dxfId="31996" priority="2135" stopIfTrue="1" operator="equal">
      <formula>"2 Add"</formula>
    </cfRule>
  </conditionalFormatting>
  <conditionalFormatting sqref="C713">
    <cfRule type="cellIs" dxfId="31995" priority="2136" stopIfTrue="1" operator="equal">
      <formula>"3 Delete"</formula>
    </cfRule>
  </conditionalFormatting>
  <conditionalFormatting sqref="C714">
    <cfRule type="cellIs" dxfId="31994" priority="2137" stopIfTrue="1" operator="equal">
      <formula>"1 Modify"</formula>
    </cfRule>
  </conditionalFormatting>
  <conditionalFormatting sqref="C714">
    <cfRule type="cellIs" dxfId="31993" priority="2138" stopIfTrue="1" operator="equal">
      <formula>"2 Add"</formula>
    </cfRule>
  </conditionalFormatting>
  <conditionalFormatting sqref="C714">
    <cfRule type="cellIs" dxfId="31992" priority="2139" stopIfTrue="1" operator="equal">
      <formula>"3 Delete"</formula>
    </cfRule>
  </conditionalFormatting>
  <conditionalFormatting sqref="C715">
    <cfRule type="cellIs" dxfId="31991" priority="2140" stopIfTrue="1" operator="equal">
      <formula>"1 Modify"</formula>
    </cfRule>
  </conditionalFormatting>
  <conditionalFormatting sqref="C715">
    <cfRule type="cellIs" dxfId="31990" priority="2141" stopIfTrue="1" operator="equal">
      <formula>"2 Add"</formula>
    </cfRule>
  </conditionalFormatting>
  <conditionalFormatting sqref="C715">
    <cfRule type="cellIs" dxfId="31989" priority="2142" stopIfTrue="1" operator="equal">
      <formula>"3 Delete"</formula>
    </cfRule>
  </conditionalFormatting>
  <conditionalFormatting sqref="C716">
    <cfRule type="cellIs" dxfId="31988" priority="2143" stopIfTrue="1" operator="equal">
      <formula>"1 Modify"</formula>
    </cfRule>
  </conditionalFormatting>
  <conditionalFormatting sqref="C716">
    <cfRule type="cellIs" dxfId="31987" priority="2144" stopIfTrue="1" operator="equal">
      <formula>"2 Add"</formula>
    </cfRule>
  </conditionalFormatting>
  <conditionalFormatting sqref="C716">
    <cfRule type="cellIs" dxfId="31986" priority="2145" stopIfTrue="1" operator="equal">
      <formula>"3 Delete"</formula>
    </cfRule>
  </conditionalFormatting>
  <conditionalFormatting sqref="C717">
    <cfRule type="cellIs" dxfId="31985" priority="2146" stopIfTrue="1" operator="equal">
      <formula>"1 Modify"</formula>
    </cfRule>
  </conditionalFormatting>
  <conditionalFormatting sqref="C717">
    <cfRule type="cellIs" dxfId="31984" priority="2147" stopIfTrue="1" operator="equal">
      <formula>"2 Add"</formula>
    </cfRule>
  </conditionalFormatting>
  <conditionalFormatting sqref="C717">
    <cfRule type="cellIs" dxfId="31983" priority="2148" stopIfTrue="1" operator="equal">
      <formula>"3 Delete"</formula>
    </cfRule>
  </conditionalFormatting>
  <conditionalFormatting sqref="C718">
    <cfRule type="cellIs" dxfId="31982" priority="2149" stopIfTrue="1" operator="equal">
      <formula>"1 Modify"</formula>
    </cfRule>
  </conditionalFormatting>
  <conditionalFormatting sqref="C718">
    <cfRule type="cellIs" dxfId="31981" priority="2150" stopIfTrue="1" operator="equal">
      <formula>"2 Add"</formula>
    </cfRule>
  </conditionalFormatting>
  <conditionalFormatting sqref="C718">
    <cfRule type="cellIs" dxfId="31980" priority="2151" stopIfTrue="1" operator="equal">
      <formula>"3 Delete"</formula>
    </cfRule>
  </conditionalFormatting>
  <conditionalFormatting sqref="C719">
    <cfRule type="cellIs" dxfId="31979" priority="2152" stopIfTrue="1" operator="equal">
      <formula>"1 Modify"</formula>
    </cfRule>
  </conditionalFormatting>
  <conditionalFormatting sqref="C719">
    <cfRule type="cellIs" dxfId="31978" priority="2153" stopIfTrue="1" operator="equal">
      <formula>"2 Add"</formula>
    </cfRule>
  </conditionalFormatting>
  <conditionalFormatting sqref="C719">
    <cfRule type="cellIs" dxfId="31977" priority="2154" stopIfTrue="1" operator="equal">
      <formula>"3 Delete"</formula>
    </cfRule>
  </conditionalFormatting>
  <conditionalFormatting sqref="C720">
    <cfRule type="cellIs" dxfId="31976" priority="2155" stopIfTrue="1" operator="equal">
      <formula>"1 Modify"</formula>
    </cfRule>
  </conditionalFormatting>
  <conditionalFormatting sqref="C720">
    <cfRule type="cellIs" dxfId="31975" priority="2156" stopIfTrue="1" operator="equal">
      <formula>"2 Add"</formula>
    </cfRule>
  </conditionalFormatting>
  <conditionalFormatting sqref="C720">
    <cfRule type="cellIs" dxfId="31974" priority="2157" stopIfTrue="1" operator="equal">
      <formula>"3 Delete"</formula>
    </cfRule>
  </conditionalFormatting>
  <conditionalFormatting sqref="C721">
    <cfRule type="cellIs" dxfId="31973" priority="2158" stopIfTrue="1" operator="equal">
      <formula>"1 Modify"</formula>
    </cfRule>
  </conditionalFormatting>
  <conditionalFormatting sqref="C721">
    <cfRule type="cellIs" dxfId="31972" priority="2159" stopIfTrue="1" operator="equal">
      <formula>"2 Add"</formula>
    </cfRule>
  </conditionalFormatting>
  <conditionalFormatting sqref="C721">
    <cfRule type="cellIs" dxfId="31971" priority="2160" stopIfTrue="1" operator="equal">
      <formula>"3 Delete"</formula>
    </cfRule>
  </conditionalFormatting>
  <conditionalFormatting sqref="C722">
    <cfRule type="cellIs" dxfId="31970" priority="2161" stopIfTrue="1" operator="equal">
      <formula>"1 Modify"</formula>
    </cfRule>
  </conditionalFormatting>
  <conditionalFormatting sqref="C722">
    <cfRule type="cellIs" dxfId="31969" priority="2162" stopIfTrue="1" operator="equal">
      <formula>"2 Add"</formula>
    </cfRule>
  </conditionalFormatting>
  <conditionalFormatting sqref="C722">
    <cfRule type="cellIs" dxfId="31968" priority="2163" stopIfTrue="1" operator="equal">
      <formula>"3 Delete"</formula>
    </cfRule>
  </conditionalFormatting>
  <conditionalFormatting sqref="C723">
    <cfRule type="cellIs" dxfId="31967" priority="2164" stopIfTrue="1" operator="equal">
      <formula>"1 Modify"</formula>
    </cfRule>
  </conditionalFormatting>
  <conditionalFormatting sqref="C723">
    <cfRule type="cellIs" dxfId="31966" priority="2165" stopIfTrue="1" operator="equal">
      <formula>"2 Add"</formula>
    </cfRule>
  </conditionalFormatting>
  <conditionalFormatting sqref="C723">
    <cfRule type="cellIs" dxfId="31965" priority="2166" stopIfTrue="1" operator="equal">
      <formula>"3 Delete"</formula>
    </cfRule>
  </conditionalFormatting>
  <conditionalFormatting sqref="C724">
    <cfRule type="cellIs" dxfId="31964" priority="2167" stopIfTrue="1" operator="equal">
      <formula>"1 Modify"</formula>
    </cfRule>
  </conditionalFormatting>
  <conditionalFormatting sqref="C724">
    <cfRule type="cellIs" dxfId="31963" priority="2168" stopIfTrue="1" operator="equal">
      <formula>"2 Add"</formula>
    </cfRule>
  </conditionalFormatting>
  <conditionalFormatting sqref="C724">
    <cfRule type="cellIs" dxfId="31962" priority="2169" stopIfTrue="1" operator="equal">
      <formula>"3 Delete"</formula>
    </cfRule>
  </conditionalFormatting>
  <conditionalFormatting sqref="C725">
    <cfRule type="cellIs" dxfId="31961" priority="2170" stopIfTrue="1" operator="equal">
      <formula>"1 Modify"</formula>
    </cfRule>
  </conditionalFormatting>
  <conditionalFormatting sqref="C725">
    <cfRule type="cellIs" dxfId="31960" priority="2171" stopIfTrue="1" operator="equal">
      <formula>"2 Add"</formula>
    </cfRule>
  </conditionalFormatting>
  <conditionalFormatting sqref="C725">
    <cfRule type="cellIs" dxfId="31959" priority="2172" stopIfTrue="1" operator="equal">
      <formula>"3 Delete"</formula>
    </cfRule>
  </conditionalFormatting>
  <conditionalFormatting sqref="C726">
    <cfRule type="cellIs" dxfId="31958" priority="2173" stopIfTrue="1" operator="equal">
      <formula>"1 Modify"</formula>
    </cfRule>
  </conditionalFormatting>
  <conditionalFormatting sqref="C726">
    <cfRule type="cellIs" dxfId="31957" priority="2174" stopIfTrue="1" operator="equal">
      <formula>"2 Add"</formula>
    </cfRule>
  </conditionalFormatting>
  <conditionalFormatting sqref="C726">
    <cfRule type="cellIs" dxfId="31956" priority="2175" stopIfTrue="1" operator="equal">
      <formula>"3 Delete"</formula>
    </cfRule>
  </conditionalFormatting>
  <conditionalFormatting sqref="C727">
    <cfRule type="cellIs" dxfId="31955" priority="2176" stopIfTrue="1" operator="equal">
      <formula>"1 Modify"</formula>
    </cfRule>
  </conditionalFormatting>
  <conditionalFormatting sqref="C727">
    <cfRule type="cellIs" dxfId="31954" priority="2177" stopIfTrue="1" operator="equal">
      <formula>"2 Add"</formula>
    </cfRule>
  </conditionalFormatting>
  <conditionalFormatting sqref="C727">
    <cfRule type="cellIs" dxfId="31953" priority="2178" stopIfTrue="1" operator="equal">
      <formula>"3 Delete"</formula>
    </cfRule>
  </conditionalFormatting>
  <conditionalFormatting sqref="C728">
    <cfRule type="cellIs" dxfId="31952" priority="2179" stopIfTrue="1" operator="equal">
      <formula>"1 Modify"</formula>
    </cfRule>
  </conditionalFormatting>
  <conditionalFormatting sqref="C728">
    <cfRule type="cellIs" dxfId="31951" priority="2180" stopIfTrue="1" operator="equal">
      <formula>"2 Add"</formula>
    </cfRule>
  </conditionalFormatting>
  <conditionalFormatting sqref="C728">
    <cfRule type="cellIs" dxfId="31950" priority="2181" stopIfTrue="1" operator="equal">
      <formula>"3 Delete"</formula>
    </cfRule>
  </conditionalFormatting>
  <conditionalFormatting sqref="C729">
    <cfRule type="cellIs" dxfId="31949" priority="2182" stopIfTrue="1" operator="equal">
      <formula>"1 Modify"</formula>
    </cfRule>
  </conditionalFormatting>
  <conditionalFormatting sqref="C729">
    <cfRule type="cellIs" dxfId="31948" priority="2183" stopIfTrue="1" operator="equal">
      <formula>"2 Add"</formula>
    </cfRule>
  </conditionalFormatting>
  <conditionalFormatting sqref="C729">
    <cfRule type="cellIs" dxfId="31947" priority="2184" stopIfTrue="1" operator="equal">
      <formula>"3 Delete"</formula>
    </cfRule>
  </conditionalFormatting>
  <conditionalFormatting sqref="C730">
    <cfRule type="cellIs" dxfId="31946" priority="2185" stopIfTrue="1" operator="equal">
      <formula>"1 Modify"</formula>
    </cfRule>
  </conditionalFormatting>
  <conditionalFormatting sqref="C730">
    <cfRule type="cellIs" dxfId="31945" priority="2186" stopIfTrue="1" operator="equal">
      <formula>"2 Add"</formula>
    </cfRule>
  </conditionalFormatting>
  <conditionalFormatting sqref="C730">
    <cfRule type="cellIs" dxfId="31944" priority="2187" stopIfTrue="1" operator="equal">
      <formula>"3 Delete"</formula>
    </cfRule>
  </conditionalFormatting>
  <conditionalFormatting sqref="C731">
    <cfRule type="cellIs" dxfId="31943" priority="2188" stopIfTrue="1" operator="equal">
      <formula>"1 Modify"</formula>
    </cfRule>
  </conditionalFormatting>
  <conditionalFormatting sqref="C731">
    <cfRule type="cellIs" dxfId="31942" priority="2189" stopIfTrue="1" operator="equal">
      <formula>"2 Add"</formula>
    </cfRule>
  </conditionalFormatting>
  <conditionalFormatting sqref="C731">
    <cfRule type="cellIs" dxfId="31941" priority="2190" stopIfTrue="1" operator="equal">
      <formula>"3 Delete"</formula>
    </cfRule>
  </conditionalFormatting>
  <conditionalFormatting sqref="C732">
    <cfRule type="cellIs" dxfId="31940" priority="2191" stopIfTrue="1" operator="equal">
      <formula>"1 Modify"</formula>
    </cfRule>
  </conditionalFormatting>
  <conditionalFormatting sqref="C732">
    <cfRule type="cellIs" dxfId="31939" priority="2192" stopIfTrue="1" operator="equal">
      <formula>"2 Add"</formula>
    </cfRule>
  </conditionalFormatting>
  <conditionalFormatting sqref="C732">
    <cfRule type="cellIs" dxfId="31938" priority="2193" stopIfTrue="1" operator="equal">
      <formula>"3 Delete"</formula>
    </cfRule>
  </conditionalFormatting>
  <conditionalFormatting sqref="C733">
    <cfRule type="cellIs" dxfId="31937" priority="2194" stopIfTrue="1" operator="equal">
      <formula>"1 Modify"</formula>
    </cfRule>
  </conditionalFormatting>
  <conditionalFormatting sqref="C733">
    <cfRule type="cellIs" dxfId="31936" priority="2195" stopIfTrue="1" operator="equal">
      <formula>"2 Add"</formula>
    </cfRule>
  </conditionalFormatting>
  <conditionalFormatting sqref="C733">
    <cfRule type="cellIs" dxfId="31935" priority="2196" stopIfTrue="1" operator="equal">
      <formula>"3 Delete"</formula>
    </cfRule>
  </conditionalFormatting>
  <conditionalFormatting sqref="C734">
    <cfRule type="cellIs" dxfId="31934" priority="2197" stopIfTrue="1" operator="equal">
      <formula>"1 Modify"</formula>
    </cfRule>
  </conditionalFormatting>
  <conditionalFormatting sqref="C734">
    <cfRule type="cellIs" dxfId="31933" priority="2198" stopIfTrue="1" operator="equal">
      <formula>"2 Add"</formula>
    </cfRule>
  </conditionalFormatting>
  <conditionalFormatting sqref="C734">
    <cfRule type="cellIs" dxfId="31932" priority="2199" stopIfTrue="1" operator="equal">
      <formula>"3 Delete"</formula>
    </cfRule>
  </conditionalFormatting>
  <conditionalFormatting sqref="C735">
    <cfRule type="cellIs" dxfId="31931" priority="2200" stopIfTrue="1" operator="equal">
      <formula>"1 Modify"</formula>
    </cfRule>
  </conditionalFormatting>
  <conditionalFormatting sqref="C735">
    <cfRule type="cellIs" dxfId="31930" priority="2201" stopIfTrue="1" operator="equal">
      <formula>"2 Add"</formula>
    </cfRule>
  </conditionalFormatting>
  <conditionalFormatting sqref="C735">
    <cfRule type="cellIs" dxfId="31929" priority="2202" stopIfTrue="1" operator="equal">
      <formula>"3 Delete"</formula>
    </cfRule>
  </conditionalFormatting>
  <conditionalFormatting sqref="C736">
    <cfRule type="cellIs" dxfId="31928" priority="2203" stopIfTrue="1" operator="equal">
      <formula>"1 Modify"</formula>
    </cfRule>
  </conditionalFormatting>
  <conditionalFormatting sqref="C736">
    <cfRule type="cellIs" dxfId="31927" priority="2204" stopIfTrue="1" operator="equal">
      <formula>"2 Add"</formula>
    </cfRule>
  </conditionalFormatting>
  <conditionalFormatting sqref="C736">
    <cfRule type="cellIs" dxfId="31926" priority="2205" stopIfTrue="1" operator="equal">
      <formula>"3 Delete"</formula>
    </cfRule>
  </conditionalFormatting>
  <conditionalFormatting sqref="C737">
    <cfRule type="cellIs" dxfId="31925" priority="2206" stopIfTrue="1" operator="equal">
      <formula>"1 Modify"</formula>
    </cfRule>
  </conditionalFormatting>
  <conditionalFormatting sqref="C737">
    <cfRule type="cellIs" dxfId="31924" priority="2207" stopIfTrue="1" operator="equal">
      <formula>"2 Add"</formula>
    </cfRule>
  </conditionalFormatting>
  <conditionalFormatting sqref="C737">
    <cfRule type="cellIs" dxfId="31923" priority="2208" stopIfTrue="1" operator="equal">
      <formula>"3 Delete"</formula>
    </cfRule>
  </conditionalFormatting>
  <conditionalFormatting sqref="C738">
    <cfRule type="cellIs" dxfId="31922" priority="2209" stopIfTrue="1" operator="equal">
      <formula>"1 Modify"</formula>
    </cfRule>
  </conditionalFormatting>
  <conditionalFormatting sqref="C738">
    <cfRule type="cellIs" dxfId="31921" priority="2210" stopIfTrue="1" operator="equal">
      <formula>"2 Add"</formula>
    </cfRule>
  </conditionalFormatting>
  <conditionalFormatting sqref="C738">
    <cfRule type="cellIs" dxfId="31920" priority="2211" stopIfTrue="1" operator="equal">
      <formula>"3 Delete"</formula>
    </cfRule>
  </conditionalFormatting>
  <conditionalFormatting sqref="C739">
    <cfRule type="cellIs" dxfId="31919" priority="2212" stopIfTrue="1" operator="equal">
      <formula>"1 Modify"</formula>
    </cfRule>
  </conditionalFormatting>
  <conditionalFormatting sqref="C739">
    <cfRule type="cellIs" dxfId="31918" priority="2213" stopIfTrue="1" operator="equal">
      <formula>"2 Add"</formula>
    </cfRule>
  </conditionalFormatting>
  <conditionalFormatting sqref="C739">
    <cfRule type="cellIs" dxfId="31917" priority="2214" stopIfTrue="1" operator="equal">
      <formula>"3 Delete"</formula>
    </cfRule>
  </conditionalFormatting>
  <conditionalFormatting sqref="C740">
    <cfRule type="cellIs" dxfId="31916" priority="2215" stopIfTrue="1" operator="equal">
      <formula>"1 Modify"</formula>
    </cfRule>
  </conditionalFormatting>
  <conditionalFormatting sqref="C740">
    <cfRule type="cellIs" dxfId="31915" priority="2216" stopIfTrue="1" operator="equal">
      <formula>"2 Add"</formula>
    </cfRule>
  </conditionalFormatting>
  <conditionalFormatting sqref="C740">
    <cfRule type="cellIs" dxfId="31914" priority="2217" stopIfTrue="1" operator="equal">
      <formula>"3 Delete"</formula>
    </cfRule>
  </conditionalFormatting>
  <conditionalFormatting sqref="C741">
    <cfRule type="cellIs" dxfId="31913" priority="2218" stopIfTrue="1" operator="equal">
      <formula>"1 Modify"</formula>
    </cfRule>
  </conditionalFormatting>
  <conditionalFormatting sqref="C741">
    <cfRule type="cellIs" dxfId="31912" priority="2219" stopIfTrue="1" operator="equal">
      <formula>"2 Add"</formula>
    </cfRule>
  </conditionalFormatting>
  <conditionalFormatting sqref="C741">
    <cfRule type="cellIs" dxfId="31911" priority="2220" stopIfTrue="1" operator="equal">
      <formula>"3 Delete"</formula>
    </cfRule>
  </conditionalFormatting>
  <conditionalFormatting sqref="C742">
    <cfRule type="cellIs" dxfId="31910" priority="2221" stopIfTrue="1" operator="equal">
      <formula>"1 Modify"</formula>
    </cfRule>
  </conditionalFormatting>
  <conditionalFormatting sqref="C742">
    <cfRule type="cellIs" dxfId="31909" priority="2222" stopIfTrue="1" operator="equal">
      <formula>"2 Add"</formula>
    </cfRule>
  </conditionalFormatting>
  <conditionalFormatting sqref="C742">
    <cfRule type="cellIs" dxfId="31908" priority="2223" stopIfTrue="1" operator="equal">
      <formula>"3 Delete"</formula>
    </cfRule>
  </conditionalFormatting>
  <conditionalFormatting sqref="C743">
    <cfRule type="cellIs" dxfId="31907" priority="2224" stopIfTrue="1" operator="equal">
      <formula>"1 Modify"</formula>
    </cfRule>
  </conditionalFormatting>
  <conditionalFormatting sqref="C743">
    <cfRule type="cellIs" dxfId="31906" priority="2225" stopIfTrue="1" operator="equal">
      <formula>"2 Add"</formula>
    </cfRule>
  </conditionalFormatting>
  <conditionalFormatting sqref="C743">
    <cfRule type="cellIs" dxfId="31905" priority="2226" stopIfTrue="1" operator="equal">
      <formula>"3 Delete"</formula>
    </cfRule>
  </conditionalFormatting>
  <conditionalFormatting sqref="C744">
    <cfRule type="cellIs" dxfId="31904" priority="2227" stopIfTrue="1" operator="equal">
      <formula>"1 Modify"</formula>
    </cfRule>
  </conditionalFormatting>
  <conditionalFormatting sqref="C744">
    <cfRule type="cellIs" dxfId="31903" priority="2228" stopIfTrue="1" operator="equal">
      <formula>"2 Add"</formula>
    </cfRule>
  </conditionalFormatting>
  <conditionalFormatting sqref="C744">
    <cfRule type="cellIs" dxfId="31902" priority="2229" stopIfTrue="1" operator="equal">
      <formula>"3 Delete"</formula>
    </cfRule>
  </conditionalFormatting>
  <conditionalFormatting sqref="C745">
    <cfRule type="cellIs" dxfId="31901" priority="2230" stopIfTrue="1" operator="equal">
      <formula>"1 Modify"</formula>
    </cfRule>
  </conditionalFormatting>
  <conditionalFormatting sqref="C745">
    <cfRule type="cellIs" dxfId="31900" priority="2231" stopIfTrue="1" operator="equal">
      <formula>"2 Add"</formula>
    </cfRule>
  </conditionalFormatting>
  <conditionalFormatting sqref="C745">
    <cfRule type="cellIs" dxfId="31899" priority="2232" stopIfTrue="1" operator="equal">
      <formula>"3 Delete"</formula>
    </cfRule>
  </conditionalFormatting>
  <conditionalFormatting sqref="C746">
    <cfRule type="cellIs" dxfId="31898" priority="2233" stopIfTrue="1" operator="equal">
      <formula>"1 Modify"</formula>
    </cfRule>
  </conditionalFormatting>
  <conditionalFormatting sqref="C746">
    <cfRule type="cellIs" dxfId="31897" priority="2234" stopIfTrue="1" operator="equal">
      <formula>"2 Add"</formula>
    </cfRule>
  </conditionalFormatting>
  <conditionalFormatting sqref="C746">
    <cfRule type="cellIs" dxfId="31896" priority="2235" stopIfTrue="1" operator="equal">
      <formula>"3 Delete"</formula>
    </cfRule>
  </conditionalFormatting>
  <conditionalFormatting sqref="C747">
    <cfRule type="cellIs" dxfId="31895" priority="2236" stopIfTrue="1" operator="equal">
      <formula>"1 Modify"</formula>
    </cfRule>
  </conditionalFormatting>
  <conditionalFormatting sqref="C747">
    <cfRule type="cellIs" dxfId="31894" priority="2237" stopIfTrue="1" operator="equal">
      <formula>"2 Add"</formula>
    </cfRule>
  </conditionalFormatting>
  <conditionalFormatting sqref="C747">
    <cfRule type="cellIs" dxfId="31893" priority="2238" stopIfTrue="1" operator="equal">
      <formula>"3 Delete"</formula>
    </cfRule>
  </conditionalFormatting>
  <conditionalFormatting sqref="C748">
    <cfRule type="cellIs" dxfId="31892" priority="2239" stopIfTrue="1" operator="equal">
      <formula>"1 Modify"</formula>
    </cfRule>
  </conditionalFormatting>
  <conditionalFormatting sqref="C748">
    <cfRule type="cellIs" dxfId="31891" priority="2240" stopIfTrue="1" operator="equal">
      <formula>"2 Add"</formula>
    </cfRule>
  </conditionalFormatting>
  <conditionalFormatting sqref="C748">
    <cfRule type="cellIs" dxfId="31890" priority="2241" stopIfTrue="1" operator="equal">
      <formula>"3 Delete"</formula>
    </cfRule>
  </conditionalFormatting>
  <conditionalFormatting sqref="C749">
    <cfRule type="cellIs" dxfId="31889" priority="2242" stopIfTrue="1" operator="equal">
      <formula>"1 Modify"</formula>
    </cfRule>
  </conditionalFormatting>
  <conditionalFormatting sqref="C749">
    <cfRule type="cellIs" dxfId="31888" priority="2243" stopIfTrue="1" operator="equal">
      <formula>"2 Add"</formula>
    </cfRule>
  </conditionalFormatting>
  <conditionalFormatting sqref="C749">
    <cfRule type="cellIs" dxfId="31887" priority="2244" stopIfTrue="1" operator="equal">
      <formula>"3 Delete"</formula>
    </cfRule>
  </conditionalFormatting>
  <conditionalFormatting sqref="C750">
    <cfRule type="cellIs" dxfId="31886" priority="2245" stopIfTrue="1" operator="equal">
      <formula>"1 Modify"</formula>
    </cfRule>
  </conditionalFormatting>
  <conditionalFormatting sqref="C750">
    <cfRule type="cellIs" dxfId="31885" priority="2246" stopIfTrue="1" operator="equal">
      <formula>"2 Add"</formula>
    </cfRule>
  </conditionalFormatting>
  <conditionalFormatting sqref="C750">
    <cfRule type="cellIs" dxfId="31884" priority="2247" stopIfTrue="1" operator="equal">
      <formula>"3 Delete"</formula>
    </cfRule>
  </conditionalFormatting>
  <conditionalFormatting sqref="C751">
    <cfRule type="cellIs" dxfId="31883" priority="2248" stopIfTrue="1" operator="equal">
      <formula>"1 Modify"</formula>
    </cfRule>
  </conditionalFormatting>
  <conditionalFormatting sqref="C751">
    <cfRule type="cellIs" dxfId="31882" priority="2249" stopIfTrue="1" operator="equal">
      <formula>"2 Add"</formula>
    </cfRule>
  </conditionalFormatting>
  <conditionalFormatting sqref="C751">
    <cfRule type="cellIs" dxfId="31881" priority="2250" stopIfTrue="1" operator="equal">
      <formula>"3 Delete"</formula>
    </cfRule>
  </conditionalFormatting>
  <conditionalFormatting sqref="C752">
    <cfRule type="cellIs" dxfId="31880" priority="2251" stopIfTrue="1" operator="equal">
      <formula>"1 Modify"</formula>
    </cfRule>
  </conditionalFormatting>
  <conditionalFormatting sqref="C752">
    <cfRule type="cellIs" dxfId="31879" priority="2252" stopIfTrue="1" operator="equal">
      <formula>"2 Add"</formula>
    </cfRule>
  </conditionalFormatting>
  <conditionalFormatting sqref="C752">
    <cfRule type="cellIs" dxfId="31878" priority="2253" stopIfTrue="1" operator="equal">
      <formula>"3 Delete"</formula>
    </cfRule>
  </conditionalFormatting>
  <conditionalFormatting sqref="C753">
    <cfRule type="cellIs" dxfId="31877" priority="2254" stopIfTrue="1" operator="equal">
      <formula>"1 Modify"</formula>
    </cfRule>
  </conditionalFormatting>
  <conditionalFormatting sqref="C753">
    <cfRule type="cellIs" dxfId="31876" priority="2255" stopIfTrue="1" operator="equal">
      <formula>"2 Add"</formula>
    </cfRule>
  </conditionalFormatting>
  <conditionalFormatting sqref="C753">
    <cfRule type="cellIs" dxfId="31875" priority="2256" stopIfTrue="1" operator="equal">
      <formula>"3 Delete"</formula>
    </cfRule>
  </conditionalFormatting>
  <conditionalFormatting sqref="C754">
    <cfRule type="cellIs" dxfId="31874" priority="2257" stopIfTrue="1" operator="equal">
      <formula>"1 Modify"</formula>
    </cfRule>
  </conditionalFormatting>
  <conditionalFormatting sqref="C754">
    <cfRule type="cellIs" dxfId="31873" priority="2258" stopIfTrue="1" operator="equal">
      <formula>"2 Add"</formula>
    </cfRule>
  </conditionalFormatting>
  <conditionalFormatting sqref="C754">
    <cfRule type="cellIs" dxfId="31872" priority="2259" stopIfTrue="1" operator="equal">
      <formula>"3 Delete"</formula>
    </cfRule>
  </conditionalFormatting>
  <conditionalFormatting sqref="C755">
    <cfRule type="cellIs" dxfId="31871" priority="2260" stopIfTrue="1" operator="equal">
      <formula>"1 Modify"</formula>
    </cfRule>
  </conditionalFormatting>
  <conditionalFormatting sqref="C755">
    <cfRule type="cellIs" dxfId="31870" priority="2261" stopIfTrue="1" operator="equal">
      <formula>"2 Add"</formula>
    </cfRule>
  </conditionalFormatting>
  <conditionalFormatting sqref="C755">
    <cfRule type="cellIs" dxfId="31869" priority="2262" stopIfTrue="1" operator="equal">
      <formula>"3 Delete"</formula>
    </cfRule>
  </conditionalFormatting>
  <conditionalFormatting sqref="C756">
    <cfRule type="cellIs" dxfId="31868" priority="2263" stopIfTrue="1" operator="equal">
      <formula>"1 Modify"</formula>
    </cfRule>
  </conditionalFormatting>
  <conditionalFormatting sqref="C756">
    <cfRule type="cellIs" dxfId="31867" priority="2264" stopIfTrue="1" operator="equal">
      <formula>"2 Add"</formula>
    </cfRule>
  </conditionalFormatting>
  <conditionalFormatting sqref="C756">
    <cfRule type="cellIs" dxfId="31866" priority="2265" stopIfTrue="1" operator="equal">
      <formula>"3 Delete"</formula>
    </cfRule>
  </conditionalFormatting>
  <conditionalFormatting sqref="C757">
    <cfRule type="cellIs" dxfId="31865" priority="2266" stopIfTrue="1" operator="equal">
      <formula>"1 Modify"</formula>
    </cfRule>
  </conditionalFormatting>
  <conditionalFormatting sqref="C757">
    <cfRule type="cellIs" dxfId="31864" priority="2267" stopIfTrue="1" operator="equal">
      <formula>"2 Add"</formula>
    </cfRule>
  </conditionalFormatting>
  <conditionalFormatting sqref="C757">
    <cfRule type="cellIs" dxfId="31863" priority="2268" stopIfTrue="1" operator="equal">
      <formula>"3 Delete"</formula>
    </cfRule>
  </conditionalFormatting>
  <conditionalFormatting sqref="C758">
    <cfRule type="cellIs" dxfId="31862" priority="2269" stopIfTrue="1" operator="equal">
      <formula>"1 Modify"</formula>
    </cfRule>
  </conditionalFormatting>
  <conditionalFormatting sqref="C758">
    <cfRule type="cellIs" dxfId="31861" priority="2270" stopIfTrue="1" operator="equal">
      <formula>"2 Add"</formula>
    </cfRule>
  </conditionalFormatting>
  <conditionalFormatting sqref="C758">
    <cfRule type="cellIs" dxfId="31860" priority="2271" stopIfTrue="1" operator="equal">
      <formula>"3 Delete"</formula>
    </cfRule>
  </conditionalFormatting>
  <conditionalFormatting sqref="C759">
    <cfRule type="cellIs" dxfId="31859" priority="2272" stopIfTrue="1" operator="equal">
      <formula>"1 Modify"</formula>
    </cfRule>
  </conditionalFormatting>
  <conditionalFormatting sqref="C759">
    <cfRule type="cellIs" dxfId="31858" priority="2273" stopIfTrue="1" operator="equal">
      <formula>"2 Add"</formula>
    </cfRule>
  </conditionalFormatting>
  <conditionalFormatting sqref="C759">
    <cfRule type="cellIs" dxfId="31857" priority="2274" stopIfTrue="1" operator="equal">
      <formula>"3 Delete"</formula>
    </cfRule>
  </conditionalFormatting>
  <conditionalFormatting sqref="C760">
    <cfRule type="cellIs" dxfId="31856" priority="2275" stopIfTrue="1" operator="equal">
      <formula>"1 Modify"</formula>
    </cfRule>
  </conditionalFormatting>
  <conditionalFormatting sqref="C760">
    <cfRule type="cellIs" dxfId="31855" priority="2276" stopIfTrue="1" operator="equal">
      <formula>"2 Add"</formula>
    </cfRule>
  </conditionalFormatting>
  <conditionalFormatting sqref="C760">
    <cfRule type="cellIs" dxfId="31854" priority="2277" stopIfTrue="1" operator="equal">
      <formula>"3 Delete"</formula>
    </cfRule>
  </conditionalFormatting>
  <conditionalFormatting sqref="C761">
    <cfRule type="cellIs" dxfId="31853" priority="2278" stopIfTrue="1" operator="equal">
      <formula>"1 Modify"</formula>
    </cfRule>
  </conditionalFormatting>
  <conditionalFormatting sqref="C761">
    <cfRule type="cellIs" dxfId="31852" priority="2279" stopIfTrue="1" operator="equal">
      <formula>"2 Add"</formula>
    </cfRule>
  </conditionalFormatting>
  <conditionalFormatting sqref="C761">
    <cfRule type="cellIs" dxfId="31851" priority="2280" stopIfTrue="1" operator="equal">
      <formula>"3 Delete"</formula>
    </cfRule>
  </conditionalFormatting>
  <conditionalFormatting sqref="C762">
    <cfRule type="cellIs" dxfId="31850" priority="2281" stopIfTrue="1" operator="equal">
      <formula>"1 Modify"</formula>
    </cfRule>
  </conditionalFormatting>
  <conditionalFormatting sqref="C762">
    <cfRule type="cellIs" dxfId="31849" priority="2282" stopIfTrue="1" operator="equal">
      <formula>"2 Add"</formula>
    </cfRule>
  </conditionalFormatting>
  <conditionalFormatting sqref="C762">
    <cfRule type="cellIs" dxfId="31848" priority="2283" stopIfTrue="1" operator="equal">
      <formula>"3 Delete"</formula>
    </cfRule>
  </conditionalFormatting>
  <conditionalFormatting sqref="C763">
    <cfRule type="cellIs" dxfId="31847" priority="2284" stopIfTrue="1" operator="equal">
      <formula>"1 Modify"</formula>
    </cfRule>
  </conditionalFormatting>
  <conditionalFormatting sqref="C763">
    <cfRule type="cellIs" dxfId="31846" priority="2285" stopIfTrue="1" operator="equal">
      <formula>"2 Add"</formula>
    </cfRule>
  </conditionalFormatting>
  <conditionalFormatting sqref="C763">
    <cfRule type="cellIs" dxfId="31845" priority="2286" stopIfTrue="1" operator="equal">
      <formula>"3 Delete"</formula>
    </cfRule>
  </conditionalFormatting>
  <conditionalFormatting sqref="C764">
    <cfRule type="cellIs" dxfId="31844" priority="2287" stopIfTrue="1" operator="equal">
      <formula>"1 Modify"</formula>
    </cfRule>
  </conditionalFormatting>
  <conditionalFormatting sqref="C764">
    <cfRule type="cellIs" dxfId="31843" priority="2288" stopIfTrue="1" operator="equal">
      <formula>"2 Add"</formula>
    </cfRule>
  </conditionalFormatting>
  <conditionalFormatting sqref="C764">
    <cfRule type="cellIs" dxfId="31842" priority="2289" stopIfTrue="1" operator="equal">
      <formula>"3 Delete"</formula>
    </cfRule>
  </conditionalFormatting>
  <conditionalFormatting sqref="C765">
    <cfRule type="cellIs" dxfId="31841" priority="2290" stopIfTrue="1" operator="equal">
      <formula>"1 Modify"</formula>
    </cfRule>
  </conditionalFormatting>
  <conditionalFormatting sqref="C765">
    <cfRule type="cellIs" dxfId="31840" priority="2291" stopIfTrue="1" operator="equal">
      <formula>"2 Add"</formula>
    </cfRule>
  </conditionalFormatting>
  <conditionalFormatting sqref="C765">
    <cfRule type="cellIs" dxfId="31839" priority="2292" stopIfTrue="1" operator="equal">
      <formula>"3 Delete"</formula>
    </cfRule>
  </conditionalFormatting>
  <conditionalFormatting sqref="C766">
    <cfRule type="cellIs" dxfId="31838" priority="2293" stopIfTrue="1" operator="equal">
      <formula>"1 Modify"</formula>
    </cfRule>
  </conditionalFormatting>
  <conditionalFormatting sqref="C766">
    <cfRule type="cellIs" dxfId="31837" priority="2294" stopIfTrue="1" operator="equal">
      <formula>"2 Add"</formula>
    </cfRule>
  </conditionalFormatting>
  <conditionalFormatting sqref="C766">
    <cfRule type="cellIs" dxfId="31836" priority="2295" stopIfTrue="1" operator="equal">
      <formula>"3 Delete"</formula>
    </cfRule>
  </conditionalFormatting>
  <conditionalFormatting sqref="C767">
    <cfRule type="cellIs" dxfId="31835" priority="2296" stopIfTrue="1" operator="equal">
      <formula>"1 Modify"</formula>
    </cfRule>
  </conditionalFormatting>
  <conditionalFormatting sqref="C767">
    <cfRule type="cellIs" dxfId="31834" priority="2297" stopIfTrue="1" operator="equal">
      <formula>"2 Add"</formula>
    </cfRule>
  </conditionalFormatting>
  <conditionalFormatting sqref="C767">
    <cfRule type="cellIs" dxfId="31833" priority="2298" stopIfTrue="1" operator="equal">
      <formula>"3 Delete"</formula>
    </cfRule>
  </conditionalFormatting>
  <conditionalFormatting sqref="C768">
    <cfRule type="cellIs" dxfId="31832" priority="2299" stopIfTrue="1" operator="equal">
      <formula>"1 Modify"</formula>
    </cfRule>
  </conditionalFormatting>
  <conditionalFormatting sqref="C768">
    <cfRule type="cellIs" dxfId="31831" priority="2300" stopIfTrue="1" operator="equal">
      <formula>"2 Add"</formula>
    </cfRule>
  </conditionalFormatting>
  <conditionalFormatting sqref="C768">
    <cfRule type="cellIs" dxfId="31830" priority="2301" stopIfTrue="1" operator="equal">
      <formula>"3 Delete"</formula>
    </cfRule>
  </conditionalFormatting>
  <conditionalFormatting sqref="C769">
    <cfRule type="cellIs" dxfId="31829" priority="2302" stopIfTrue="1" operator="equal">
      <formula>"1 Modify"</formula>
    </cfRule>
  </conditionalFormatting>
  <conditionalFormatting sqref="C769">
    <cfRule type="cellIs" dxfId="31828" priority="2303" stopIfTrue="1" operator="equal">
      <formula>"2 Add"</formula>
    </cfRule>
  </conditionalFormatting>
  <conditionalFormatting sqref="C769">
    <cfRule type="cellIs" dxfId="31827" priority="2304" stopIfTrue="1" operator="equal">
      <formula>"3 Delete"</formula>
    </cfRule>
  </conditionalFormatting>
  <conditionalFormatting sqref="C770">
    <cfRule type="cellIs" dxfId="31826" priority="2305" stopIfTrue="1" operator="equal">
      <formula>"1 Modify"</formula>
    </cfRule>
  </conditionalFormatting>
  <conditionalFormatting sqref="C770">
    <cfRule type="cellIs" dxfId="31825" priority="2306" stopIfTrue="1" operator="equal">
      <formula>"2 Add"</formula>
    </cfRule>
  </conditionalFormatting>
  <conditionalFormatting sqref="C770">
    <cfRule type="cellIs" dxfId="31824" priority="2307" stopIfTrue="1" operator="equal">
      <formula>"3 Delete"</formula>
    </cfRule>
  </conditionalFormatting>
  <conditionalFormatting sqref="C771">
    <cfRule type="cellIs" dxfId="31823" priority="2308" stopIfTrue="1" operator="equal">
      <formula>"1 Modify"</formula>
    </cfRule>
  </conditionalFormatting>
  <conditionalFormatting sqref="C771">
    <cfRule type="cellIs" dxfId="31822" priority="2309" stopIfTrue="1" operator="equal">
      <formula>"2 Add"</formula>
    </cfRule>
  </conditionalFormatting>
  <conditionalFormatting sqref="C771">
    <cfRule type="cellIs" dxfId="31821" priority="2310" stopIfTrue="1" operator="equal">
      <formula>"3 Delete"</formula>
    </cfRule>
  </conditionalFormatting>
  <conditionalFormatting sqref="C772">
    <cfRule type="cellIs" dxfId="31820" priority="2311" stopIfTrue="1" operator="equal">
      <formula>"1 Modify"</formula>
    </cfRule>
  </conditionalFormatting>
  <conditionalFormatting sqref="C772">
    <cfRule type="cellIs" dxfId="31819" priority="2312" stopIfTrue="1" operator="equal">
      <formula>"2 Add"</formula>
    </cfRule>
  </conditionalFormatting>
  <conditionalFormatting sqref="C772">
    <cfRule type="cellIs" dxfId="31818" priority="2313" stopIfTrue="1" operator="equal">
      <formula>"3 Delete"</formula>
    </cfRule>
  </conditionalFormatting>
  <conditionalFormatting sqref="C773">
    <cfRule type="cellIs" dxfId="31817" priority="2314" stopIfTrue="1" operator="equal">
      <formula>"1 Modify"</formula>
    </cfRule>
  </conditionalFormatting>
  <conditionalFormatting sqref="C773">
    <cfRule type="cellIs" dxfId="31816" priority="2315" stopIfTrue="1" operator="equal">
      <formula>"2 Add"</formula>
    </cfRule>
  </conditionalFormatting>
  <conditionalFormatting sqref="C773">
    <cfRule type="cellIs" dxfId="31815" priority="2316" stopIfTrue="1" operator="equal">
      <formula>"3 Delete"</formula>
    </cfRule>
  </conditionalFormatting>
  <conditionalFormatting sqref="C774">
    <cfRule type="cellIs" dxfId="31814" priority="2317" stopIfTrue="1" operator="equal">
      <formula>"1 Modify"</formula>
    </cfRule>
  </conditionalFormatting>
  <conditionalFormatting sqref="C774">
    <cfRule type="cellIs" dxfId="31813" priority="2318" stopIfTrue="1" operator="equal">
      <formula>"2 Add"</formula>
    </cfRule>
  </conditionalFormatting>
  <conditionalFormatting sqref="C774">
    <cfRule type="cellIs" dxfId="31812" priority="2319" stopIfTrue="1" operator="equal">
      <formula>"3 Delete"</formula>
    </cfRule>
  </conditionalFormatting>
  <conditionalFormatting sqref="C775">
    <cfRule type="cellIs" dxfId="31811" priority="2320" stopIfTrue="1" operator="equal">
      <formula>"1 Modify"</formula>
    </cfRule>
  </conditionalFormatting>
  <conditionalFormatting sqref="C775">
    <cfRule type="cellIs" dxfId="31810" priority="2321" stopIfTrue="1" operator="equal">
      <formula>"2 Add"</formula>
    </cfRule>
  </conditionalFormatting>
  <conditionalFormatting sqref="C775">
    <cfRule type="cellIs" dxfId="31809" priority="2322" stopIfTrue="1" operator="equal">
      <formula>"3 Delete"</formula>
    </cfRule>
  </conditionalFormatting>
  <conditionalFormatting sqref="C776">
    <cfRule type="cellIs" dxfId="31808" priority="2323" stopIfTrue="1" operator="equal">
      <formula>"1 Modify"</formula>
    </cfRule>
  </conditionalFormatting>
  <conditionalFormatting sqref="C776">
    <cfRule type="cellIs" dxfId="31807" priority="2324" stopIfTrue="1" operator="equal">
      <formula>"2 Add"</formula>
    </cfRule>
  </conditionalFormatting>
  <conditionalFormatting sqref="C776">
    <cfRule type="cellIs" dxfId="31806" priority="2325" stopIfTrue="1" operator="equal">
      <formula>"3 Delete"</formula>
    </cfRule>
  </conditionalFormatting>
  <conditionalFormatting sqref="C777">
    <cfRule type="cellIs" dxfId="31805" priority="2326" stopIfTrue="1" operator="equal">
      <formula>"1 Modify"</formula>
    </cfRule>
  </conditionalFormatting>
  <conditionalFormatting sqref="C777">
    <cfRule type="cellIs" dxfId="31804" priority="2327" stopIfTrue="1" operator="equal">
      <formula>"2 Add"</formula>
    </cfRule>
  </conditionalFormatting>
  <conditionalFormatting sqref="C777">
    <cfRule type="cellIs" dxfId="31803" priority="2328" stopIfTrue="1" operator="equal">
      <formula>"3 Delete"</formula>
    </cfRule>
  </conditionalFormatting>
  <conditionalFormatting sqref="C778">
    <cfRule type="cellIs" dxfId="31802" priority="2329" stopIfTrue="1" operator="equal">
      <formula>"1 Modify"</formula>
    </cfRule>
  </conditionalFormatting>
  <conditionalFormatting sqref="C778">
    <cfRule type="cellIs" dxfId="31801" priority="2330" stopIfTrue="1" operator="equal">
      <formula>"2 Add"</formula>
    </cfRule>
  </conditionalFormatting>
  <conditionalFormatting sqref="C778">
    <cfRule type="cellIs" dxfId="31800" priority="2331" stopIfTrue="1" operator="equal">
      <formula>"3 Delete"</formula>
    </cfRule>
  </conditionalFormatting>
  <conditionalFormatting sqref="C779">
    <cfRule type="cellIs" dxfId="31799" priority="2332" stopIfTrue="1" operator="equal">
      <formula>"1 Modify"</formula>
    </cfRule>
  </conditionalFormatting>
  <conditionalFormatting sqref="C779">
    <cfRule type="cellIs" dxfId="31798" priority="2333" stopIfTrue="1" operator="equal">
      <formula>"2 Add"</formula>
    </cfRule>
  </conditionalFormatting>
  <conditionalFormatting sqref="C779">
    <cfRule type="cellIs" dxfId="31797" priority="2334" stopIfTrue="1" operator="equal">
      <formula>"3 Delete"</formula>
    </cfRule>
  </conditionalFormatting>
  <conditionalFormatting sqref="C780">
    <cfRule type="cellIs" dxfId="31796" priority="2335" stopIfTrue="1" operator="equal">
      <formula>"1 Modify"</formula>
    </cfRule>
  </conditionalFormatting>
  <conditionalFormatting sqref="C780">
    <cfRule type="cellIs" dxfId="31795" priority="2336" stopIfTrue="1" operator="equal">
      <formula>"2 Add"</formula>
    </cfRule>
  </conditionalFormatting>
  <conditionalFormatting sqref="C780">
    <cfRule type="cellIs" dxfId="31794" priority="2337" stopIfTrue="1" operator="equal">
      <formula>"3 Delete"</formula>
    </cfRule>
  </conditionalFormatting>
  <conditionalFormatting sqref="C781">
    <cfRule type="cellIs" dxfId="31793" priority="2338" stopIfTrue="1" operator="equal">
      <formula>"1 Modify"</formula>
    </cfRule>
  </conditionalFormatting>
  <conditionalFormatting sqref="C781">
    <cfRule type="cellIs" dxfId="31792" priority="2339" stopIfTrue="1" operator="equal">
      <formula>"2 Add"</formula>
    </cfRule>
  </conditionalFormatting>
  <conditionalFormatting sqref="C781">
    <cfRule type="cellIs" dxfId="31791" priority="2340" stopIfTrue="1" operator="equal">
      <formula>"3 Delete"</formula>
    </cfRule>
  </conditionalFormatting>
  <conditionalFormatting sqref="C782">
    <cfRule type="cellIs" dxfId="31790" priority="2341" stopIfTrue="1" operator="equal">
      <formula>"1 Modify"</formula>
    </cfRule>
  </conditionalFormatting>
  <conditionalFormatting sqref="C782">
    <cfRule type="cellIs" dxfId="31789" priority="2342" stopIfTrue="1" operator="equal">
      <formula>"2 Add"</formula>
    </cfRule>
  </conditionalFormatting>
  <conditionalFormatting sqref="C782">
    <cfRule type="cellIs" dxfId="31788" priority="2343" stopIfTrue="1" operator="equal">
      <formula>"3 Delete"</formula>
    </cfRule>
  </conditionalFormatting>
  <conditionalFormatting sqref="C783">
    <cfRule type="cellIs" dxfId="31787" priority="2344" stopIfTrue="1" operator="equal">
      <formula>"1 Modify"</formula>
    </cfRule>
  </conditionalFormatting>
  <conditionalFormatting sqref="C783">
    <cfRule type="cellIs" dxfId="31786" priority="2345" stopIfTrue="1" operator="equal">
      <formula>"2 Add"</formula>
    </cfRule>
  </conditionalFormatting>
  <conditionalFormatting sqref="C783">
    <cfRule type="cellIs" dxfId="31785" priority="2346" stopIfTrue="1" operator="equal">
      <formula>"3 Delete"</formula>
    </cfRule>
  </conditionalFormatting>
  <conditionalFormatting sqref="C784">
    <cfRule type="cellIs" dxfId="31784" priority="2347" stopIfTrue="1" operator="equal">
      <formula>"1 Modify"</formula>
    </cfRule>
  </conditionalFormatting>
  <conditionalFormatting sqref="C784">
    <cfRule type="cellIs" dxfId="31783" priority="2348" stopIfTrue="1" operator="equal">
      <formula>"2 Add"</formula>
    </cfRule>
  </conditionalFormatting>
  <conditionalFormatting sqref="C784">
    <cfRule type="cellIs" dxfId="31782" priority="2349" stopIfTrue="1" operator="equal">
      <formula>"3 Delete"</formula>
    </cfRule>
  </conditionalFormatting>
  <conditionalFormatting sqref="C785">
    <cfRule type="cellIs" dxfId="31781" priority="2350" stopIfTrue="1" operator="equal">
      <formula>"1 Modify"</formula>
    </cfRule>
  </conditionalFormatting>
  <conditionalFormatting sqref="C785">
    <cfRule type="cellIs" dxfId="31780" priority="2351" stopIfTrue="1" operator="equal">
      <formula>"2 Add"</formula>
    </cfRule>
  </conditionalFormatting>
  <conditionalFormatting sqref="C785">
    <cfRule type="cellIs" dxfId="31779" priority="2352" stopIfTrue="1" operator="equal">
      <formula>"3 Delete"</formula>
    </cfRule>
  </conditionalFormatting>
  <conditionalFormatting sqref="C786">
    <cfRule type="cellIs" dxfId="31778" priority="2353" stopIfTrue="1" operator="equal">
      <formula>"1 Modify"</formula>
    </cfRule>
  </conditionalFormatting>
  <conditionalFormatting sqref="C786">
    <cfRule type="cellIs" dxfId="31777" priority="2354" stopIfTrue="1" operator="equal">
      <formula>"2 Add"</formula>
    </cfRule>
  </conditionalFormatting>
  <conditionalFormatting sqref="C786">
    <cfRule type="cellIs" dxfId="31776" priority="2355" stopIfTrue="1" operator="equal">
      <formula>"3 Delete"</formula>
    </cfRule>
  </conditionalFormatting>
  <conditionalFormatting sqref="C787">
    <cfRule type="cellIs" dxfId="31775" priority="2356" stopIfTrue="1" operator="equal">
      <formula>"1 Modify"</formula>
    </cfRule>
  </conditionalFormatting>
  <conditionalFormatting sqref="C787">
    <cfRule type="cellIs" dxfId="31774" priority="2357" stopIfTrue="1" operator="equal">
      <formula>"2 Add"</formula>
    </cfRule>
  </conditionalFormatting>
  <conditionalFormatting sqref="C787">
    <cfRule type="cellIs" dxfId="31773" priority="2358" stopIfTrue="1" operator="equal">
      <formula>"3 Delete"</formula>
    </cfRule>
  </conditionalFormatting>
  <conditionalFormatting sqref="C788">
    <cfRule type="cellIs" dxfId="31772" priority="2359" stopIfTrue="1" operator="equal">
      <formula>"1 Modify"</formula>
    </cfRule>
  </conditionalFormatting>
  <conditionalFormatting sqref="C788">
    <cfRule type="cellIs" dxfId="31771" priority="2360" stopIfTrue="1" operator="equal">
      <formula>"2 Add"</formula>
    </cfRule>
  </conditionalFormatting>
  <conditionalFormatting sqref="C788">
    <cfRule type="cellIs" dxfId="31770" priority="2361" stopIfTrue="1" operator="equal">
      <formula>"3 Delete"</formula>
    </cfRule>
  </conditionalFormatting>
  <conditionalFormatting sqref="C789">
    <cfRule type="cellIs" dxfId="31769" priority="2362" stopIfTrue="1" operator="equal">
      <formula>"1 Modify"</formula>
    </cfRule>
  </conditionalFormatting>
  <conditionalFormatting sqref="C789">
    <cfRule type="cellIs" dxfId="31768" priority="2363" stopIfTrue="1" operator="equal">
      <formula>"2 Add"</formula>
    </cfRule>
  </conditionalFormatting>
  <conditionalFormatting sqref="C789">
    <cfRule type="cellIs" dxfId="31767" priority="2364" stopIfTrue="1" operator="equal">
      <formula>"3 Delete"</formula>
    </cfRule>
  </conditionalFormatting>
  <conditionalFormatting sqref="C790">
    <cfRule type="cellIs" dxfId="31766" priority="2365" stopIfTrue="1" operator="equal">
      <formula>"1 Modify"</formula>
    </cfRule>
  </conditionalFormatting>
  <conditionalFormatting sqref="C790">
    <cfRule type="cellIs" dxfId="31765" priority="2366" stopIfTrue="1" operator="equal">
      <formula>"2 Add"</formula>
    </cfRule>
  </conditionalFormatting>
  <conditionalFormatting sqref="C790">
    <cfRule type="cellIs" dxfId="31764" priority="2367" stopIfTrue="1" operator="equal">
      <formula>"3 Delete"</formula>
    </cfRule>
  </conditionalFormatting>
  <conditionalFormatting sqref="C791">
    <cfRule type="cellIs" dxfId="31763" priority="2368" stopIfTrue="1" operator="equal">
      <formula>"1 Modify"</formula>
    </cfRule>
  </conditionalFormatting>
  <conditionalFormatting sqref="C791">
    <cfRule type="cellIs" dxfId="31762" priority="2369" stopIfTrue="1" operator="equal">
      <formula>"2 Add"</formula>
    </cfRule>
  </conditionalFormatting>
  <conditionalFormatting sqref="C791">
    <cfRule type="cellIs" dxfId="31761" priority="2370" stopIfTrue="1" operator="equal">
      <formula>"3 Delete"</formula>
    </cfRule>
  </conditionalFormatting>
  <conditionalFormatting sqref="C792">
    <cfRule type="cellIs" dxfId="31760" priority="2371" stopIfTrue="1" operator="equal">
      <formula>"1 Modify"</formula>
    </cfRule>
  </conditionalFormatting>
  <conditionalFormatting sqref="C792">
    <cfRule type="cellIs" dxfId="31759" priority="2372" stopIfTrue="1" operator="equal">
      <formula>"2 Add"</formula>
    </cfRule>
  </conditionalFormatting>
  <conditionalFormatting sqref="C792">
    <cfRule type="cellIs" dxfId="31758" priority="2373" stopIfTrue="1" operator="equal">
      <formula>"3 Delete"</formula>
    </cfRule>
  </conditionalFormatting>
  <conditionalFormatting sqref="C793">
    <cfRule type="cellIs" dxfId="31757" priority="2374" stopIfTrue="1" operator="equal">
      <formula>"1 Modify"</formula>
    </cfRule>
  </conditionalFormatting>
  <conditionalFormatting sqref="C793">
    <cfRule type="cellIs" dxfId="31756" priority="2375" stopIfTrue="1" operator="equal">
      <formula>"2 Add"</formula>
    </cfRule>
  </conditionalFormatting>
  <conditionalFormatting sqref="C793">
    <cfRule type="cellIs" dxfId="31755" priority="2376" stopIfTrue="1" operator="equal">
      <formula>"3 Delete"</formula>
    </cfRule>
  </conditionalFormatting>
  <conditionalFormatting sqref="C794">
    <cfRule type="cellIs" dxfId="31754" priority="2377" stopIfTrue="1" operator="equal">
      <formula>"1 Modify"</formula>
    </cfRule>
  </conditionalFormatting>
  <conditionalFormatting sqref="C794">
    <cfRule type="cellIs" dxfId="31753" priority="2378" stopIfTrue="1" operator="equal">
      <formula>"2 Add"</formula>
    </cfRule>
  </conditionalFormatting>
  <conditionalFormatting sqref="C794">
    <cfRule type="cellIs" dxfId="31752" priority="2379" stopIfTrue="1" operator="equal">
      <formula>"3 Delete"</formula>
    </cfRule>
  </conditionalFormatting>
  <conditionalFormatting sqref="C795">
    <cfRule type="cellIs" dxfId="31751" priority="2380" stopIfTrue="1" operator="equal">
      <formula>"1 Modify"</formula>
    </cfRule>
  </conditionalFormatting>
  <conditionalFormatting sqref="C795">
    <cfRule type="cellIs" dxfId="31750" priority="2381" stopIfTrue="1" operator="equal">
      <formula>"2 Add"</formula>
    </cfRule>
  </conditionalFormatting>
  <conditionalFormatting sqref="C795">
    <cfRule type="cellIs" dxfId="31749" priority="2382" stopIfTrue="1" operator="equal">
      <formula>"3 Delete"</formula>
    </cfRule>
  </conditionalFormatting>
  <conditionalFormatting sqref="C796">
    <cfRule type="cellIs" dxfId="31748" priority="2383" stopIfTrue="1" operator="equal">
      <formula>"1 Modify"</formula>
    </cfRule>
  </conditionalFormatting>
  <conditionalFormatting sqref="C796">
    <cfRule type="cellIs" dxfId="31747" priority="2384" stopIfTrue="1" operator="equal">
      <formula>"2 Add"</formula>
    </cfRule>
  </conditionalFormatting>
  <conditionalFormatting sqref="C796">
    <cfRule type="cellIs" dxfId="31746" priority="2385" stopIfTrue="1" operator="equal">
      <formula>"3 Delete"</formula>
    </cfRule>
  </conditionalFormatting>
  <conditionalFormatting sqref="C797">
    <cfRule type="cellIs" dxfId="31745" priority="2386" stopIfTrue="1" operator="equal">
      <formula>"1 Modify"</formula>
    </cfRule>
  </conditionalFormatting>
  <conditionalFormatting sqref="C797">
    <cfRule type="cellIs" dxfId="31744" priority="2387" stopIfTrue="1" operator="equal">
      <formula>"2 Add"</formula>
    </cfRule>
  </conditionalFormatting>
  <conditionalFormatting sqref="C797">
    <cfRule type="cellIs" dxfId="31743" priority="2388" stopIfTrue="1" operator="equal">
      <formula>"3 Delete"</formula>
    </cfRule>
  </conditionalFormatting>
  <conditionalFormatting sqref="C798">
    <cfRule type="cellIs" dxfId="31742" priority="2389" stopIfTrue="1" operator="equal">
      <formula>"1 Modify"</formula>
    </cfRule>
  </conditionalFormatting>
  <conditionalFormatting sqref="C798">
    <cfRule type="cellIs" dxfId="31741" priority="2390" stopIfTrue="1" operator="equal">
      <formula>"2 Add"</formula>
    </cfRule>
  </conditionalFormatting>
  <conditionalFormatting sqref="C798">
    <cfRule type="cellIs" dxfId="31740" priority="2391" stopIfTrue="1" operator="equal">
      <formula>"3 Delete"</formula>
    </cfRule>
  </conditionalFormatting>
  <conditionalFormatting sqref="C799">
    <cfRule type="cellIs" dxfId="31739" priority="2392" stopIfTrue="1" operator="equal">
      <formula>"1 Modify"</formula>
    </cfRule>
  </conditionalFormatting>
  <conditionalFormatting sqref="C799">
    <cfRule type="cellIs" dxfId="31738" priority="2393" stopIfTrue="1" operator="equal">
      <formula>"2 Add"</formula>
    </cfRule>
  </conditionalFormatting>
  <conditionalFormatting sqref="C799">
    <cfRule type="cellIs" dxfId="31737" priority="2394" stopIfTrue="1" operator="equal">
      <formula>"3 Delete"</formula>
    </cfRule>
  </conditionalFormatting>
  <conditionalFormatting sqref="C800">
    <cfRule type="cellIs" dxfId="31736" priority="2395" stopIfTrue="1" operator="equal">
      <formula>"1 Modify"</formula>
    </cfRule>
  </conditionalFormatting>
  <conditionalFormatting sqref="C800">
    <cfRule type="cellIs" dxfId="31735" priority="2396" stopIfTrue="1" operator="equal">
      <formula>"2 Add"</formula>
    </cfRule>
  </conditionalFormatting>
  <conditionalFormatting sqref="C800">
    <cfRule type="cellIs" dxfId="31734" priority="2397" stopIfTrue="1" operator="equal">
      <formula>"3 Delete"</formula>
    </cfRule>
  </conditionalFormatting>
  <conditionalFormatting sqref="C801">
    <cfRule type="cellIs" dxfId="31733" priority="2398" stopIfTrue="1" operator="equal">
      <formula>"1 Modify"</formula>
    </cfRule>
  </conditionalFormatting>
  <conditionalFormatting sqref="C801">
    <cfRule type="cellIs" dxfId="31732" priority="2399" stopIfTrue="1" operator="equal">
      <formula>"2 Add"</formula>
    </cfRule>
  </conditionalFormatting>
  <conditionalFormatting sqref="C801">
    <cfRule type="cellIs" dxfId="31731" priority="2400" stopIfTrue="1" operator="equal">
      <formula>"3 Delete"</formula>
    </cfRule>
  </conditionalFormatting>
  <conditionalFormatting sqref="C802">
    <cfRule type="cellIs" dxfId="31730" priority="2401" stopIfTrue="1" operator="equal">
      <formula>"1 Modify"</formula>
    </cfRule>
  </conditionalFormatting>
  <conditionalFormatting sqref="C802">
    <cfRule type="cellIs" dxfId="31729" priority="2402" stopIfTrue="1" operator="equal">
      <formula>"2 Add"</formula>
    </cfRule>
  </conditionalFormatting>
  <conditionalFormatting sqref="C802">
    <cfRule type="cellIs" dxfId="31728" priority="2403" stopIfTrue="1" operator="equal">
      <formula>"3 Delete"</formula>
    </cfRule>
  </conditionalFormatting>
  <conditionalFormatting sqref="C803">
    <cfRule type="cellIs" dxfId="31727" priority="2404" stopIfTrue="1" operator="equal">
      <formula>"1 Modify"</formula>
    </cfRule>
  </conditionalFormatting>
  <conditionalFormatting sqref="C803">
    <cfRule type="cellIs" dxfId="31726" priority="2405" stopIfTrue="1" operator="equal">
      <formula>"2 Add"</formula>
    </cfRule>
  </conditionalFormatting>
  <conditionalFormatting sqref="C803">
    <cfRule type="cellIs" dxfId="31725" priority="2406" stopIfTrue="1" operator="equal">
      <formula>"3 Delete"</formula>
    </cfRule>
  </conditionalFormatting>
  <conditionalFormatting sqref="C804">
    <cfRule type="cellIs" dxfId="31724" priority="2407" stopIfTrue="1" operator="equal">
      <formula>"1 Modify"</formula>
    </cfRule>
  </conditionalFormatting>
  <conditionalFormatting sqref="C804">
    <cfRule type="cellIs" dxfId="31723" priority="2408" stopIfTrue="1" operator="equal">
      <formula>"2 Add"</formula>
    </cfRule>
  </conditionalFormatting>
  <conditionalFormatting sqref="C804">
    <cfRule type="cellIs" dxfId="31722" priority="2409" stopIfTrue="1" operator="equal">
      <formula>"3 Delete"</formula>
    </cfRule>
  </conditionalFormatting>
  <conditionalFormatting sqref="C805">
    <cfRule type="cellIs" dxfId="31721" priority="2410" stopIfTrue="1" operator="equal">
      <formula>"1 Modify"</formula>
    </cfRule>
  </conditionalFormatting>
  <conditionalFormatting sqref="C805">
    <cfRule type="cellIs" dxfId="31720" priority="2411" stopIfTrue="1" operator="equal">
      <formula>"2 Add"</formula>
    </cfRule>
  </conditionalFormatting>
  <conditionalFormatting sqref="C805">
    <cfRule type="cellIs" dxfId="31719" priority="2412" stopIfTrue="1" operator="equal">
      <formula>"3 Delete"</formula>
    </cfRule>
  </conditionalFormatting>
  <conditionalFormatting sqref="C806">
    <cfRule type="cellIs" dxfId="31718" priority="2413" stopIfTrue="1" operator="equal">
      <formula>"1 Modify"</formula>
    </cfRule>
  </conditionalFormatting>
  <conditionalFormatting sqref="C806">
    <cfRule type="cellIs" dxfId="31717" priority="2414" stopIfTrue="1" operator="equal">
      <formula>"2 Add"</formula>
    </cfRule>
  </conditionalFormatting>
  <conditionalFormatting sqref="C806">
    <cfRule type="cellIs" dxfId="31716" priority="2415" stopIfTrue="1" operator="equal">
      <formula>"3 Delete"</formula>
    </cfRule>
  </conditionalFormatting>
  <conditionalFormatting sqref="C807">
    <cfRule type="cellIs" dxfId="31715" priority="2416" stopIfTrue="1" operator="equal">
      <formula>"1 Modify"</formula>
    </cfRule>
  </conditionalFormatting>
  <conditionalFormatting sqref="C807">
    <cfRule type="cellIs" dxfId="31714" priority="2417" stopIfTrue="1" operator="equal">
      <formula>"2 Add"</formula>
    </cfRule>
  </conditionalFormatting>
  <conditionalFormatting sqref="C807">
    <cfRule type="cellIs" dxfId="31713" priority="2418" stopIfTrue="1" operator="equal">
      <formula>"3 Delete"</formula>
    </cfRule>
  </conditionalFormatting>
  <conditionalFormatting sqref="C808">
    <cfRule type="cellIs" dxfId="31712" priority="2419" stopIfTrue="1" operator="equal">
      <formula>"1 Modify"</formula>
    </cfRule>
  </conditionalFormatting>
  <conditionalFormatting sqref="C808">
    <cfRule type="cellIs" dxfId="31711" priority="2420" stopIfTrue="1" operator="equal">
      <formula>"2 Add"</formula>
    </cfRule>
  </conditionalFormatting>
  <conditionalFormatting sqref="C808">
    <cfRule type="cellIs" dxfId="31710" priority="2421" stopIfTrue="1" operator="equal">
      <formula>"3 Delete"</formula>
    </cfRule>
  </conditionalFormatting>
  <conditionalFormatting sqref="C809">
    <cfRule type="cellIs" dxfId="31709" priority="2422" stopIfTrue="1" operator="equal">
      <formula>"1 Modify"</formula>
    </cfRule>
  </conditionalFormatting>
  <conditionalFormatting sqref="C809">
    <cfRule type="cellIs" dxfId="31708" priority="2423" stopIfTrue="1" operator="equal">
      <formula>"2 Add"</formula>
    </cfRule>
  </conditionalFormatting>
  <conditionalFormatting sqref="C809">
    <cfRule type="cellIs" dxfId="31707" priority="2424" stopIfTrue="1" operator="equal">
      <formula>"3 Delete"</formula>
    </cfRule>
  </conditionalFormatting>
  <conditionalFormatting sqref="C810">
    <cfRule type="cellIs" dxfId="31706" priority="2425" stopIfTrue="1" operator="equal">
      <formula>"1 Modify"</formula>
    </cfRule>
  </conditionalFormatting>
  <conditionalFormatting sqref="C810">
    <cfRule type="cellIs" dxfId="31705" priority="2426" stopIfTrue="1" operator="equal">
      <formula>"2 Add"</formula>
    </cfRule>
  </conditionalFormatting>
  <conditionalFormatting sqref="C810">
    <cfRule type="cellIs" dxfId="31704" priority="2427" stopIfTrue="1" operator="equal">
      <formula>"3 Delete"</formula>
    </cfRule>
  </conditionalFormatting>
  <conditionalFormatting sqref="C811">
    <cfRule type="cellIs" dxfId="31703" priority="2428" stopIfTrue="1" operator="equal">
      <formula>"1 Modify"</formula>
    </cfRule>
  </conditionalFormatting>
  <conditionalFormatting sqref="C811">
    <cfRule type="cellIs" dxfId="31702" priority="2429" stopIfTrue="1" operator="equal">
      <formula>"2 Add"</formula>
    </cfRule>
  </conditionalFormatting>
  <conditionalFormatting sqref="C811">
    <cfRule type="cellIs" dxfId="31701" priority="2430" stopIfTrue="1" operator="equal">
      <formula>"3 Delete"</formula>
    </cfRule>
  </conditionalFormatting>
  <conditionalFormatting sqref="C812">
    <cfRule type="cellIs" dxfId="31700" priority="2431" stopIfTrue="1" operator="equal">
      <formula>"1 Modify"</formula>
    </cfRule>
  </conditionalFormatting>
  <conditionalFormatting sqref="C812">
    <cfRule type="cellIs" dxfId="31699" priority="2432" stopIfTrue="1" operator="equal">
      <formula>"2 Add"</formula>
    </cfRule>
  </conditionalFormatting>
  <conditionalFormatting sqref="C812">
    <cfRule type="cellIs" dxfId="31698" priority="2433" stopIfTrue="1" operator="equal">
      <formula>"3 Delete"</formula>
    </cfRule>
  </conditionalFormatting>
  <conditionalFormatting sqref="C813">
    <cfRule type="cellIs" dxfId="31697" priority="2434" stopIfTrue="1" operator="equal">
      <formula>"1 Modify"</formula>
    </cfRule>
  </conditionalFormatting>
  <conditionalFormatting sqref="C813">
    <cfRule type="cellIs" dxfId="31696" priority="2435" stopIfTrue="1" operator="equal">
      <formula>"2 Add"</formula>
    </cfRule>
  </conditionalFormatting>
  <conditionalFormatting sqref="C813">
    <cfRule type="cellIs" dxfId="31695" priority="2436" stopIfTrue="1" operator="equal">
      <formula>"3 Delete"</formula>
    </cfRule>
  </conditionalFormatting>
  <conditionalFormatting sqref="C814">
    <cfRule type="cellIs" dxfId="31694" priority="2437" stopIfTrue="1" operator="equal">
      <formula>"1 Modify"</formula>
    </cfRule>
  </conditionalFormatting>
  <conditionalFormatting sqref="C814">
    <cfRule type="cellIs" dxfId="31693" priority="2438" stopIfTrue="1" operator="equal">
      <formula>"2 Add"</formula>
    </cfRule>
  </conditionalFormatting>
  <conditionalFormatting sqref="C814">
    <cfRule type="cellIs" dxfId="31692" priority="2439" stopIfTrue="1" operator="equal">
      <formula>"3 Delete"</formula>
    </cfRule>
  </conditionalFormatting>
  <conditionalFormatting sqref="C815">
    <cfRule type="cellIs" dxfId="31691" priority="2440" stopIfTrue="1" operator="equal">
      <formula>"1 Modify"</formula>
    </cfRule>
  </conditionalFormatting>
  <conditionalFormatting sqref="C815">
    <cfRule type="cellIs" dxfId="31690" priority="2441" stopIfTrue="1" operator="equal">
      <formula>"2 Add"</formula>
    </cfRule>
  </conditionalFormatting>
  <conditionalFormatting sqref="C815">
    <cfRule type="cellIs" dxfId="31689" priority="2442" stopIfTrue="1" operator="equal">
      <formula>"3 Delete"</formula>
    </cfRule>
  </conditionalFormatting>
  <conditionalFormatting sqref="C816">
    <cfRule type="cellIs" dxfId="31688" priority="2443" stopIfTrue="1" operator="equal">
      <formula>"1 Modify"</formula>
    </cfRule>
  </conditionalFormatting>
  <conditionalFormatting sqref="C816">
    <cfRule type="cellIs" dxfId="31687" priority="2444" stopIfTrue="1" operator="equal">
      <formula>"2 Add"</formula>
    </cfRule>
  </conditionalFormatting>
  <conditionalFormatting sqref="C816">
    <cfRule type="cellIs" dxfId="31686" priority="2445" stopIfTrue="1" operator="equal">
      <formula>"3 Delete"</formula>
    </cfRule>
  </conditionalFormatting>
  <conditionalFormatting sqref="C817">
    <cfRule type="cellIs" dxfId="31685" priority="2446" stopIfTrue="1" operator="equal">
      <formula>"1 Modify"</formula>
    </cfRule>
  </conditionalFormatting>
  <conditionalFormatting sqref="C817">
    <cfRule type="cellIs" dxfId="31684" priority="2447" stopIfTrue="1" operator="equal">
      <formula>"2 Add"</formula>
    </cfRule>
  </conditionalFormatting>
  <conditionalFormatting sqref="C817">
    <cfRule type="cellIs" dxfId="31683" priority="2448" stopIfTrue="1" operator="equal">
      <formula>"3 Delete"</formula>
    </cfRule>
  </conditionalFormatting>
  <conditionalFormatting sqref="C818">
    <cfRule type="cellIs" dxfId="31682" priority="2449" stopIfTrue="1" operator="equal">
      <formula>"1 Modify"</formula>
    </cfRule>
  </conditionalFormatting>
  <conditionalFormatting sqref="C818">
    <cfRule type="cellIs" dxfId="31681" priority="2450" stopIfTrue="1" operator="equal">
      <formula>"2 Add"</formula>
    </cfRule>
  </conditionalFormatting>
  <conditionalFormatting sqref="C818">
    <cfRule type="cellIs" dxfId="31680" priority="2451" stopIfTrue="1" operator="equal">
      <formula>"3 Delete"</formula>
    </cfRule>
  </conditionalFormatting>
  <conditionalFormatting sqref="C819">
    <cfRule type="cellIs" dxfId="31679" priority="2452" stopIfTrue="1" operator="equal">
      <formula>"1 Modify"</formula>
    </cfRule>
  </conditionalFormatting>
  <conditionalFormatting sqref="C819">
    <cfRule type="cellIs" dxfId="31678" priority="2453" stopIfTrue="1" operator="equal">
      <formula>"2 Add"</formula>
    </cfRule>
  </conditionalFormatting>
  <conditionalFormatting sqref="C819">
    <cfRule type="cellIs" dxfId="31677" priority="2454" stopIfTrue="1" operator="equal">
      <formula>"3 Delete"</formula>
    </cfRule>
  </conditionalFormatting>
  <conditionalFormatting sqref="C820">
    <cfRule type="cellIs" dxfId="31676" priority="2455" stopIfTrue="1" operator="equal">
      <formula>"1 Modify"</formula>
    </cfRule>
  </conditionalFormatting>
  <conditionalFormatting sqref="C820">
    <cfRule type="cellIs" dxfId="31675" priority="2456" stopIfTrue="1" operator="equal">
      <formula>"2 Add"</formula>
    </cfRule>
  </conditionalFormatting>
  <conditionalFormatting sqref="C820">
    <cfRule type="cellIs" dxfId="31674" priority="2457" stopIfTrue="1" operator="equal">
      <formula>"3 Delete"</formula>
    </cfRule>
  </conditionalFormatting>
  <conditionalFormatting sqref="C821">
    <cfRule type="cellIs" dxfId="31673" priority="2458" stopIfTrue="1" operator="equal">
      <formula>"1 Modify"</formula>
    </cfRule>
  </conditionalFormatting>
  <conditionalFormatting sqref="C821">
    <cfRule type="cellIs" dxfId="31672" priority="2459" stopIfTrue="1" operator="equal">
      <formula>"2 Add"</formula>
    </cfRule>
  </conditionalFormatting>
  <conditionalFormatting sqref="C821">
    <cfRule type="cellIs" dxfId="31671" priority="2460" stopIfTrue="1" operator="equal">
      <formula>"3 Delete"</formula>
    </cfRule>
  </conditionalFormatting>
  <conditionalFormatting sqref="C822">
    <cfRule type="cellIs" dxfId="31670" priority="2461" stopIfTrue="1" operator="equal">
      <formula>"1 Modify"</formula>
    </cfRule>
  </conditionalFormatting>
  <conditionalFormatting sqref="C822">
    <cfRule type="cellIs" dxfId="31669" priority="2462" stopIfTrue="1" operator="equal">
      <formula>"2 Add"</formula>
    </cfRule>
  </conditionalFormatting>
  <conditionalFormatting sqref="C822">
    <cfRule type="cellIs" dxfId="31668" priority="2463" stopIfTrue="1" operator="equal">
      <formula>"3 Delete"</formula>
    </cfRule>
  </conditionalFormatting>
  <conditionalFormatting sqref="C823">
    <cfRule type="cellIs" dxfId="31667" priority="2464" stopIfTrue="1" operator="equal">
      <formula>"1 Modify"</formula>
    </cfRule>
  </conditionalFormatting>
  <conditionalFormatting sqref="C823">
    <cfRule type="cellIs" dxfId="31666" priority="2465" stopIfTrue="1" operator="equal">
      <formula>"2 Add"</formula>
    </cfRule>
  </conditionalFormatting>
  <conditionalFormatting sqref="C823">
    <cfRule type="cellIs" dxfId="31665" priority="2466" stopIfTrue="1" operator="equal">
      <formula>"3 Delete"</formula>
    </cfRule>
  </conditionalFormatting>
  <conditionalFormatting sqref="C824">
    <cfRule type="cellIs" dxfId="31664" priority="2467" stopIfTrue="1" operator="equal">
      <formula>"1 Modify"</formula>
    </cfRule>
  </conditionalFormatting>
  <conditionalFormatting sqref="C824">
    <cfRule type="cellIs" dxfId="31663" priority="2468" stopIfTrue="1" operator="equal">
      <formula>"2 Add"</formula>
    </cfRule>
  </conditionalFormatting>
  <conditionalFormatting sqref="C824">
    <cfRule type="cellIs" dxfId="31662" priority="2469" stopIfTrue="1" operator="equal">
      <formula>"3 Delete"</formula>
    </cfRule>
  </conditionalFormatting>
  <conditionalFormatting sqref="C825">
    <cfRule type="cellIs" dxfId="31661" priority="2470" stopIfTrue="1" operator="equal">
      <formula>"1 Modify"</formula>
    </cfRule>
  </conditionalFormatting>
  <conditionalFormatting sqref="C825">
    <cfRule type="cellIs" dxfId="31660" priority="2471" stopIfTrue="1" operator="equal">
      <formula>"2 Add"</formula>
    </cfRule>
  </conditionalFormatting>
  <conditionalFormatting sqref="C825">
    <cfRule type="cellIs" dxfId="31659" priority="2472" stopIfTrue="1" operator="equal">
      <formula>"3 Delete"</formula>
    </cfRule>
  </conditionalFormatting>
  <conditionalFormatting sqref="C826">
    <cfRule type="cellIs" dxfId="31658" priority="2473" stopIfTrue="1" operator="equal">
      <formula>"1 Modify"</formula>
    </cfRule>
  </conditionalFormatting>
  <conditionalFormatting sqref="C826">
    <cfRule type="cellIs" dxfId="31657" priority="2474" stopIfTrue="1" operator="equal">
      <formula>"2 Add"</formula>
    </cfRule>
  </conditionalFormatting>
  <conditionalFormatting sqref="C826">
    <cfRule type="cellIs" dxfId="31656" priority="2475" stopIfTrue="1" operator="equal">
      <formula>"3 Delete"</formula>
    </cfRule>
  </conditionalFormatting>
  <conditionalFormatting sqref="C827">
    <cfRule type="cellIs" dxfId="31655" priority="2476" stopIfTrue="1" operator="equal">
      <formula>"1 Modify"</formula>
    </cfRule>
  </conditionalFormatting>
  <conditionalFormatting sqref="C827">
    <cfRule type="cellIs" dxfId="31654" priority="2477" stopIfTrue="1" operator="equal">
      <formula>"2 Add"</formula>
    </cfRule>
  </conditionalFormatting>
  <conditionalFormatting sqref="C827">
    <cfRule type="cellIs" dxfId="31653" priority="2478" stopIfTrue="1" operator="equal">
      <formula>"3 Delete"</formula>
    </cfRule>
  </conditionalFormatting>
  <conditionalFormatting sqref="C828">
    <cfRule type="cellIs" dxfId="31652" priority="2479" stopIfTrue="1" operator="equal">
      <formula>"1 Modify"</formula>
    </cfRule>
  </conditionalFormatting>
  <conditionalFormatting sqref="C828">
    <cfRule type="cellIs" dxfId="31651" priority="2480" stopIfTrue="1" operator="equal">
      <formula>"2 Add"</formula>
    </cfRule>
  </conditionalFormatting>
  <conditionalFormatting sqref="C828">
    <cfRule type="cellIs" dxfId="31650" priority="2481" stopIfTrue="1" operator="equal">
      <formula>"3 Delete"</formula>
    </cfRule>
  </conditionalFormatting>
  <conditionalFormatting sqref="C829">
    <cfRule type="cellIs" dxfId="31649" priority="2482" stopIfTrue="1" operator="equal">
      <formula>"1 Modify"</formula>
    </cfRule>
  </conditionalFormatting>
  <conditionalFormatting sqref="C829">
    <cfRule type="cellIs" dxfId="31648" priority="2483" stopIfTrue="1" operator="equal">
      <formula>"2 Add"</formula>
    </cfRule>
  </conditionalFormatting>
  <conditionalFormatting sqref="C829">
    <cfRule type="cellIs" dxfId="31647" priority="2484" stopIfTrue="1" operator="equal">
      <formula>"3 Delete"</formula>
    </cfRule>
  </conditionalFormatting>
  <conditionalFormatting sqref="C830">
    <cfRule type="cellIs" dxfId="31646" priority="2485" stopIfTrue="1" operator="equal">
      <formula>"1 Modify"</formula>
    </cfRule>
  </conditionalFormatting>
  <conditionalFormatting sqref="C830">
    <cfRule type="cellIs" dxfId="31645" priority="2486" stopIfTrue="1" operator="equal">
      <formula>"2 Add"</formula>
    </cfRule>
  </conditionalFormatting>
  <conditionalFormatting sqref="C830">
    <cfRule type="cellIs" dxfId="31644" priority="2487" stopIfTrue="1" operator="equal">
      <formula>"3 Delete"</formula>
    </cfRule>
  </conditionalFormatting>
  <conditionalFormatting sqref="C831">
    <cfRule type="cellIs" dxfId="31643" priority="2488" stopIfTrue="1" operator="equal">
      <formula>"1 Modify"</formula>
    </cfRule>
  </conditionalFormatting>
  <conditionalFormatting sqref="C831">
    <cfRule type="cellIs" dxfId="31642" priority="2489" stopIfTrue="1" operator="equal">
      <formula>"2 Add"</formula>
    </cfRule>
  </conditionalFormatting>
  <conditionalFormatting sqref="C831">
    <cfRule type="cellIs" dxfId="31641" priority="2490" stopIfTrue="1" operator="equal">
      <formula>"3 Delete"</formula>
    </cfRule>
  </conditionalFormatting>
  <conditionalFormatting sqref="C832">
    <cfRule type="cellIs" dxfId="31640" priority="2491" stopIfTrue="1" operator="equal">
      <formula>"1 Modify"</formula>
    </cfRule>
  </conditionalFormatting>
  <conditionalFormatting sqref="C832">
    <cfRule type="cellIs" dxfId="31639" priority="2492" stopIfTrue="1" operator="equal">
      <formula>"2 Add"</formula>
    </cfRule>
  </conditionalFormatting>
  <conditionalFormatting sqref="C832">
    <cfRule type="cellIs" dxfId="31638" priority="2493" stopIfTrue="1" operator="equal">
      <formula>"3 Delete"</formula>
    </cfRule>
  </conditionalFormatting>
  <conditionalFormatting sqref="C833">
    <cfRule type="cellIs" dxfId="31637" priority="2494" stopIfTrue="1" operator="equal">
      <formula>"1 Modify"</formula>
    </cfRule>
  </conditionalFormatting>
  <conditionalFormatting sqref="C833">
    <cfRule type="cellIs" dxfId="31636" priority="2495" stopIfTrue="1" operator="equal">
      <formula>"2 Add"</formula>
    </cfRule>
  </conditionalFormatting>
  <conditionalFormatting sqref="C833">
    <cfRule type="cellIs" dxfId="31635" priority="2496" stopIfTrue="1" operator="equal">
      <formula>"3 Delete"</formula>
    </cfRule>
  </conditionalFormatting>
  <conditionalFormatting sqref="C834">
    <cfRule type="cellIs" dxfId="31634" priority="2497" stopIfTrue="1" operator="equal">
      <formula>"1 Modify"</formula>
    </cfRule>
  </conditionalFormatting>
  <conditionalFormatting sqref="C834">
    <cfRule type="cellIs" dxfId="31633" priority="2498" stopIfTrue="1" operator="equal">
      <formula>"2 Add"</formula>
    </cfRule>
  </conditionalFormatting>
  <conditionalFormatting sqref="C834">
    <cfRule type="cellIs" dxfId="31632" priority="2499" stopIfTrue="1" operator="equal">
      <formula>"3 Delete"</formula>
    </cfRule>
  </conditionalFormatting>
  <conditionalFormatting sqref="C835">
    <cfRule type="cellIs" dxfId="31631" priority="2500" stopIfTrue="1" operator="equal">
      <formula>"1 Modify"</formula>
    </cfRule>
  </conditionalFormatting>
  <conditionalFormatting sqref="C835">
    <cfRule type="cellIs" dxfId="31630" priority="2501" stopIfTrue="1" operator="equal">
      <formula>"2 Add"</formula>
    </cfRule>
  </conditionalFormatting>
  <conditionalFormatting sqref="C835">
    <cfRule type="cellIs" dxfId="31629" priority="2502" stopIfTrue="1" operator="equal">
      <formula>"3 Delete"</formula>
    </cfRule>
  </conditionalFormatting>
  <conditionalFormatting sqref="C836">
    <cfRule type="cellIs" dxfId="31628" priority="2503" stopIfTrue="1" operator="equal">
      <formula>"1 Modify"</formula>
    </cfRule>
  </conditionalFormatting>
  <conditionalFormatting sqref="C836">
    <cfRule type="cellIs" dxfId="31627" priority="2504" stopIfTrue="1" operator="equal">
      <formula>"2 Add"</formula>
    </cfRule>
  </conditionalFormatting>
  <conditionalFormatting sqref="C836">
    <cfRule type="cellIs" dxfId="31626" priority="2505" stopIfTrue="1" operator="equal">
      <formula>"3 Delete"</formula>
    </cfRule>
  </conditionalFormatting>
  <conditionalFormatting sqref="C837">
    <cfRule type="cellIs" dxfId="31625" priority="2506" stopIfTrue="1" operator="equal">
      <formula>"1 Modify"</formula>
    </cfRule>
  </conditionalFormatting>
  <conditionalFormatting sqref="C837">
    <cfRule type="cellIs" dxfId="31624" priority="2507" stopIfTrue="1" operator="equal">
      <formula>"2 Add"</formula>
    </cfRule>
  </conditionalFormatting>
  <conditionalFormatting sqref="C837">
    <cfRule type="cellIs" dxfId="31623" priority="2508" stopIfTrue="1" operator="equal">
      <formula>"3 Delete"</formula>
    </cfRule>
  </conditionalFormatting>
  <conditionalFormatting sqref="C838">
    <cfRule type="cellIs" dxfId="31622" priority="2509" stopIfTrue="1" operator="equal">
      <formula>"1 Modify"</formula>
    </cfRule>
  </conditionalFormatting>
  <conditionalFormatting sqref="C838">
    <cfRule type="cellIs" dxfId="31621" priority="2510" stopIfTrue="1" operator="equal">
      <formula>"2 Add"</formula>
    </cfRule>
  </conditionalFormatting>
  <conditionalFormatting sqref="C838">
    <cfRule type="cellIs" dxfId="31620" priority="2511" stopIfTrue="1" operator="equal">
      <formula>"3 Delete"</formula>
    </cfRule>
  </conditionalFormatting>
  <conditionalFormatting sqref="C839">
    <cfRule type="cellIs" dxfId="31619" priority="2512" stopIfTrue="1" operator="equal">
      <formula>"1 Modify"</formula>
    </cfRule>
  </conditionalFormatting>
  <conditionalFormatting sqref="C839">
    <cfRule type="cellIs" dxfId="31618" priority="2513" stopIfTrue="1" operator="equal">
      <formula>"2 Add"</formula>
    </cfRule>
  </conditionalFormatting>
  <conditionalFormatting sqref="C839">
    <cfRule type="cellIs" dxfId="31617" priority="2514" stopIfTrue="1" operator="equal">
      <formula>"3 Delete"</formula>
    </cfRule>
  </conditionalFormatting>
  <conditionalFormatting sqref="C840">
    <cfRule type="cellIs" dxfId="31616" priority="2515" stopIfTrue="1" operator="equal">
      <formula>"1 Modify"</formula>
    </cfRule>
  </conditionalFormatting>
  <conditionalFormatting sqref="C840">
    <cfRule type="cellIs" dxfId="31615" priority="2516" stopIfTrue="1" operator="equal">
      <formula>"2 Add"</formula>
    </cfRule>
  </conditionalFormatting>
  <conditionalFormatting sqref="C840">
    <cfRule type="cellIs" dxfId="31614" priority="2517" stopIfTrue="1" operator="equal">
      <formula>"3 Delete"</formula>
    </cfRule>
  </conditionalFormatting>
  <conditionalFormatting sqref="C841">
    <cfRule type="cellIs" dxfId="31613" priority="2518" stopIfTrue="1" operator="equal">
      <formula>"1 Modify"</formula>
    </cfRule>
  </conditionalFormatting>
  <conditionalFormatting sqref="C841">
    <cfRule type="cellIs" dxfId="31612" priority="2519" stopIfTrue="1" operator="equal">
      <formula>"2 Add"</formula>
    </cfRule>
  </conditionalFormatting>
  <conditionalFormatting sqref="C841">
    <cfRule type="cellIs" dxfId="31611" priority="2520" stopIfTrue="1" operator="equal">
      <formula>"3 Delete"</formula>
    </cfRule>
  </conditionalFormatting>
  <conditionalFormatting sqref="C842">
    <cfRule type="cellIs" dxfId="31610" priority="2521" stopIfTrue="1" operator="equal">
      <formula>"1 Modify"</formula>
    </cfRule>
  </conditionalFormatting>
  <conditionalFormatting sqref="C842">
    <cfRule type="cellIs" dxfId="31609" priority="2522" stopIfTrue="1" operator="equal">
      <formula>"2 Add"</formula>
    </cfRule>
  </conditionalFormatting>
  <conditionalFormatting sqref="C842">
    <cfRule type="cellIs" dxfId="31608" priority="2523" stopIfTrue="1" operator="equal">
      <formula>"3 Delete"</formula>
    </cfRule>
  </conditionalFormatting>
  <conditionalFormatting sqref="C843">
    <cfRule type="cellIs" dxfId="31607" priority="2524" stopIfTrue="1" operator="equal">
      <formula>"1 Modify"</formula>
    </cfRule>
  </conditionalFormatting>
  <conditionalFormatting sqref="C843">
    <cfRule type="cellIs" dxfId="31606" priority="2525" stopIfTrue="1" operator="equal">
      <formula>"2 Add"</formula>
    </cfRule>
  </conditionalFormatting>
  <conditionalFormatting sqref="C843">
    <cfRule type="cellIs" dxfId="31605" priority="2526" stopIfTrue="1" operator="equal">
      <formula>"3 Delete"</formula>
    </cfRule>
  </conditionalFormatting>
  <conditionalFormatting sqref="C844">
    <cfRule type="cellIs" dxfId="31604" priority="2527" stopIfTrue="1" operator="equal">
      <formula>"1 Modify"</formula>
    </cfRule>
  </conditionalFormatting>
  <conditionalFormatting sqref="C844">
    <cfRule type="cellIs" dxfId="31603" priority="2528" stopIfTrue="1" operator="equal">
      <formula>"2 Add"</formula>
    </cfRule>
  </conditionalFormatting>
  <conditionalFormatting sqref="C844">
    <cfRule type="cellIs" dxfId="31602" priority="2529" stopIfTrue="1" operator="equal">
      <formula>"3 Delete"</formula>
    </cfRule>
  </conditionalFormatting>
  <conditionalFormatting sqref="C845">
    <cfRule type="cellIs" dxfId="31601" priority="2530" stopIfTrue="1" operator="equal">
      <formula>"1 Modify"</formula>
    </cfRule>
  </conditionalFormatting>
  <conditionalFormatting sqref="C845">
    <cfRule type="cellIs" dxfId="31600" priority="2531" stopIfTrue="1" operator="equal">
      <formula>"2 Add"</formula>
    </cfRule>
  </conditionalFormatting>
  <conditionalFormatting sqref="C845">
    <cfRule type="cellIs" dxfId="31599" priority="2532" stopIfTrue="1" operator="equal">
      <formula>"3 Delete"</formula>
    </cfRule>
  </conditionalFormatting>
  <conditionalFormatting sqref="C846">
    <cfRule type="cellIs" dxfId="31598" priority="2533" stopIfTrue="1" operator="equal">
      <formula>"1 Modify"</formula>
    </cfRule>
  </conditionalFormatting>
  <conditionalFormatting sqref="C846">
    <cfRule type="cellIs" dxfId="31597" priority="2534" stopIfTrue="1" operator="equal">
      <formula>"2 Add"</formula>
    </cfRule>
  </conditionalFormatting>
  <conditionalFormatting sqref="C846">
    <cfRule type="cellIs" dxfId="31596" priority="2535" stopIfTrue="1" operator="equal">
      <formula>"3 Delete"</formula>
    </cfRule>
  </conditionalFormatting>
  <conditionalFormatting sqref="C847">
    <cfRule type="cellIs" dxfId="31595" priority="2536" stopIfTrue="1" operator="equal">
      <formula>"1 Modify"</formula>
    </cfRule>
  </conditionalFormatting>
  <conditionalFormatting sqref="C847">
    <cfRule type="cellIs" dxfId="31594" priority="2537" stopIfTrue="1" operator="equal">
      <formula>"2 Add"</formula>
    </cfRule>
  </conditionalFormatting>
  <conditionalFormatting sqref="C847">
    <cfRule type="cellIs" dxfId="31593" priority="2538" stopIfTrue="1" operator="equal">
      <formula>"3 Delete"</formula>
    </cfRule>
  </conditionalFormatting>
  <conditionalFormatting sqref="C848">
    <cfRule type="cellIs" dxfId="31592" priority="2539" stopIfTrue="1" operator="equal">
      <formula>"1 Modify"</formula>
    </cfRule>
  </conditionalFormatting>
  <conditionalFormatting sqref="C848">
    <cfRule type="cellIs" dxfId="31591" priority="2540" stopIfTrue="1" operator="equal">
      <formula>"2 Add"</formula>
    </cfRule>
  </conditionalFormatting>
  <conditionalFormatting sqref="C848">
    <cfRule type="cellIs" dxfId="31590" priority="2541" stopIfTrue="1" operator="equal">
      <formula>"3 Delete"</formula>
    </cfRule>
  </conditionalFormatting>
  <conditionalFormatting sqref="C849">
    <cfRule type="cellIs" dxfId="31589" priority="2542" stopIfTrue="1" operator="equal">
      <formula>"1 Modify"</formula>
    </cfRule>
  </conditionalFormatting>
  <conditionalFormatting sqref="C849">
    <cfRule type="cellIs" dxfId="31588" priority="2543" stopIfTrue="1" operator="equal">
      <formula>"2 Add"</formula>
    </cfRule>
  </conditionalFormatting>
  <conditionalFormatting sqref="C849">
    <cfRule type="cellIs" dxfId="31587" priority="2544" stopIfTrue="1" operator="equal">
      <formula>"3 Delete"</formula>
    </cfRule>
  </conditionalFormatting>
  <conditionalFormatting sqref="C850">
    <cfRule type="cellIs" dxfId="31586" priority="2545" stopIfTrue="1" operator="equal">
      <formula>"1 Modify"</formula>
    </cfRule>
  </conditionalFormatting>
  <conditionalFormatting sqref="C850">
    <cfRule type="cellIs" dxfId="31585" priority="2546" stopIfTrue="1" operator="equal">
      <formula>"2 Add"</formula>
    </cfRule>
  </conditionalFormatting>
  <conditionalFormatting sqref="C850">
    <cfRule type="cellIs" dxfId="31584" priority="2547" stopIfTrue="1" operator="equal">
      <formula>"3 Delete"</formula>
    </cfRule>
  </conditionalFormatting>
  <conditionalFormatting sqref="C851">
    <cfRule type="cellIs" dxfId="31583" priority="2548" stopIfTrue="1" operator="equal">
      <formula>"1 Modify"</formula>
    </cfRule>
  </conditionalFormatting>
  <conditionalFormatting sqref="C851">
    <cfRule type="cellIs" dxfId="31582" priority="2549" stopIfTrue="1" operator="equal">
      <formula>"2 Add"</formula>
    </cfRule>
  </conditionalFormatting>
  <conditionalFormatting sqref="C851">
    <cfRule type="cellIs" dxfId="31581" priority="2550" stopIfTrue="1" operator="equal">
      <formula>"3 Delete"</formula>
    </cfRule>
  </conditionalFormatting>
  <conditionalFormatting sqref="C852">
    <cfRule type="cellIs" dxfId="31580" priority="2551" stopIfTrue="1" operator="equal">
      <formula>"1 Modify"</formula>
    </cfRule>
  </conditionalFormatting>
  <conditionalFormatting sqref="C852">
    <cfRule type="cellIs" dxfId="31579" priority="2552" stopIfTrue="1" operator="equal">
      <formula>"2 Add"</formula>
    </cfRule>
  </conditionalFormatting>
  <conditionalFormatting sqref="C852">
    <cfRule type="cellIs" dxfId="31578" priority="2553" stopIfTrue="1" operator="equal">
      <formula>"3 Delete"</formula>
    </cfRule>
  </conditionalFormatting>
  <conditionalFormatting sqref="C853">
    <cfRule type="cellIs" dxfId="31577" priority="2554" stopIfTrue="1" operator="equal">
      <formula>"1 Modify"</formula>
    </cfRule>
  </conditionalFormatting>
  <conditionalFormatting sqref="C853">
    <cfRule type="cellIs" dxfId="31576" priority="2555" stopIfTrue="1" operator="equal">
      <formula>"2 Add"</formula>
    </cfRule>
  </conditionalFormatting>
  <conditionalFormatting sqref="C853">
    <cfRule type="cellIs" dxfId="31575" priority="2556" stopIfTrue="1" operator="equal">
      <formula>"3 Delete"</formula>
    </cfRule>
  </conditionalFormatting>
  <conditionalFormatting sqref="C854">
    <cfRule type="cellIs" dxfId="31574" priority="2557" stopIfTrue="1" operator="equal">
      <formula>"1 Modify"</formula>
    </cfRule>
  </conditionalFormatting>
  <conditionalFormatting sqref="C854">
    <cfRule type="cellIs" dxfId="31573" priority="2558" stopIfTrue="1" operator="equal">
      <formula>"2 Add"</formula>
    </cfRule>
  </conditionalFormatting>
  <conditionalFormatting sqref="C854">
    <cfRule type="cellIs" dxfId="31572" priority="2559" stopIfTrue="1" operator="equal">
      <formula>"3 Delete"</formula>
    </cfRule>
  </conditionalFormatting>
  <conditionalFormatting sqref="C855">
    <cfRule type="cellIs" dxfId="31571" priority="2560" stopIfTrue="1" operator="equal">
      <formula>"1 Modify"</formula>
    </cfRule>
  </conditionalFormatting>
  <conditionalFormatting sqref="C855">
    <cfRule type="cellIs" dxfId="31570" priority="2561" stopIfTrue="1" operator="equal">
      <formula>"2 Add"</formula>
    </cfRule>
  </conditionalFormatting>
  <conditionalFormatting sqref="C855">
    <cfRule type="cellIs" dxfId="31569" priority="2562" stopIfTrue="1" operator="equal">
      <formula>"3 Delete"</formula>
    </cfRule>
  </conditionalFormatting>
  <conditionalFormatting sqref="C856">
    <cfRule type="cellIs" dxfId="31568" priority="2563" stopIfTrue="1" operator="equal">
      <formula>"1 Modify"</formula>
    </cfRule>
  </conditionalFormatting>
  <conditionalFormatting sqref="C856">
    <cfRule type="cellIs" dxfId="31567" priority="2564" stopIfTrue="1" operator="equal">
      <formula>"2 Add"</formula>
    </cfRule>
  </conditionalFormatting>
  <conditionalFormatting sqref="C856">
    <cfRule type="cellIs" dxfId="31566" priority="2565" stopIfTrue="1" operator="equal">
      <formula>"3 Delete"</formula>
    </cfRule>
  </conditionalFormatting>
  <conditionalFormatting sqref="C857">
    <cfRule type="cellIs" dxfId="31565" priority="2566" stopIfTrue="1" operator="equal">
      <formula>"1 Modify"</formula>
    </cfRule>
  </conditionalFormatting>
  <conditionalFormatting sqref="C857">
    <cfRule type="cellIs" dxfId="31564" priority="2567" stopIfTrue="1" operator="equal">
      <formula>"2 Add"</formula>
    </cfRule>
  </conditionalFormatting>
  <conditionalFormatting sqref="C857">
    <cfRule type="cellIs" dxfId="31563" priority="2568" stopIfTrue="1" operator="equal">
      <formula>"3 Delete"</formula>
    </cfRule>
  </conditionalFormatting>
  <conditionalFormatting sqref="C858">
    <cfRule type="cellIs" dxfId="31562" priority="2569" stopIfTrue="1" operator="equal">
      <formula>"1 Modify"</formula>
    </cfRule>
  </conditionalFormatting>
  <conditionalFormatting sqref="C858">
    <cfRule type="cellIs" dxfId="31561" priority="2570" stopIfTrue="1" operator="equal">
      <formula>"2 Add"</formula>
    </cfRule>
  </conditionalFormatting>
  <conditionalFormatting sqref="C858">
    <cfRule type="cellIs" dxfId="31560" priority="2571" stopIfTrue="1" operator="equal">
      <formula>"3 Delete"</formula>
    </cfRule>
  </conditionalFormatting>
  <conditionalFormatting sqref="C859">
    <cfRule type="cellIs" dxfId="31559" priority="2572" stopIfTrue="1" operator="equal">
      <formula>"1 Modify"</formula>
    </cfRule>
  </conditionalFormatting>
  <conditionalFormatting sqref="C859">
    <cfRule type="cellIs" dxfId="31558" priority="2573" stopIfTrue="1" operator="equal">
      <formula>"2 Add"</formula>
    </cfRule>
  </conditionalFormatting>
  <conditionalFormatting sqref="C859">
    <cfRule type="cellIs" dxfId="31557" priority="2574" stopIfTrue="1" operator="equal">
      <formula>"3 Delete"</formula>
    </cfRule>
  </conditionalFormatting>
  <conditionalFormatting sqref="C860">
    <cfRule type="cellIs" dxfId="31556" priority="2575" stopIfTrue="1" operator="equal">
      <formula>"1 Modify"</formula>
    </cfRule>
  </conditionalFormatting>
  <conditionalFormatting sqref="C860">
    <cfRule type="cellIs" dxfId="31555" priority="2576" stopIfTrue="1" operator="equal">
      <formula>"2 Add"</formula>
    </cfRule>
  </conditionalFormatting>
  <conditionalFormatting sqref="C860">
    <cfRule type="cellIs" dxfId="31554" priority="2577" stopIfTrue="1" operator="equal">
      <formula>"3 Delete"</formula>
    </cfRule>
  </conditionalFormatting>
  <conditionalFormatting sqref="C861">
    <cfRule type="cellIs" dxfId="31553" priority="2578" stopIfTrue="1" operator="equal">
      <formula>"1 Modify"</formula>
    </cfRule>
  </conditionalFormatting>
  <conditionalFormatting sqref="C861">
    <cfRule type="cellIs" dxfId="31552" priority="2579" stopIfTrue="1" operator="equal">
      <formula>"2 Add"</formula>
    </cfRule>
  </conditionalFormatting>
  <conditionalFormatting sqref="C861">
    <cfRule type="cellIs" dxfId="31551" priority="2580" stopIfTrue="1" operator="equal">
      <formula>"3 Delete"</formula>
    </cfRule>
  </conditionalFormatting>
  <conditionalFormatting sqref="C862">
    <cfRule type="cellIs" dxfId="31550" priority="2581" stopIfTrue="1" operator="equal">
      <formula>"1 Modify"</formula>
    </cfRule>
  </conditionalFormatting>
  <conditionalFormatting sqref="C862">
    <cfRule type="cellIs" dxfId="31549" priority="2582" stopIfTrue="1" operator="equal">
      <formula>"2 Add"</formula>
    </cfRule>
  </conditionalFormatting>
  <conditionalFormatting sqref="C862">
    <cfRule type="cellIs" dxfId="31548" priority="2583" stopIfTrue="1" operator="equal">
      <formula>"3 Delete"</formula>
    </cfRule>
  </conditionalFormatting>
  <conditionalFormatting sqref="C863">
    <cfRule type="cellIs" dxfId="31547" priority="2584" stopIfTrue="1" operator="equal">
      <formula>"1 Modify"</formula>
    </cfRule>
  </conditionalFormatting>
  <conditionalFormatting sqref="C863">
    <cfRule type="cellIs" dxfId="31546" priority="2585" stopIfTrue="1" operator="equal">
      <formula>"2 Add"</formula>
    </cfRule>
  </conditionalFormatting>
  <conditionalFormatting sqref="C863">
    <cfRule type="cellIs" dxfId="31545" priority="2586" stopIfTrue="1" operator="equal">
      <formula>"3 Delete"</formula>
    </cfRule>
  </conditionalFormatting>
  <conditionalFormatting sqref="C864">
    <cfRule type="cellIs" dxfId="31544" priority="2587" stopIfTrue="1" operator="equal">
      <formula>"1 Modify"</formula>
    </cfRule>
  </conditionalFormatting>
  <conditionalFormatting sqref="C864">
    <cfRule type="cellIs" dxfId="31543" priority="2588" stopIfTrue="1" operator="equal">
      <formula>"2 Add"</formula>
    </cfRule>
  </conditionalFormatting>
  <conditionalFormatting sqref="C864">
    <cfRule type="cellIs" dxfId="31542" priority="2589" stopIfTrue="1" operator="equal">
      <formula>"3 Delete"</formula>
    </cfRule>
  </conditionalFormatting>
  <conditionalFormatting sqref="C865">
    <cfRule type="cellIs" dxfId="31541" priority="2590" stopIfTrue="1" operator="equal">
      <formula>"1 Modify"</formula>
    </cfRule>
  </conditionalFormatting>
  <conditionalFormatting sqref="C865">
    <cfRule type="cellIs" dxfId="31540" priority="2591" stopIfTrue="1" operator="equal">
      <formula>"2 Add"</formula>
    </cfRule>
  </conditionalFormatting>
  <conditionalFormatting sqref="C865">
    <cfRule type="cellIs" dxfId="31539" priority="2592" stopIfTrue="1" operator="equal">
      <formula>"3 Delete"</formula>
    </cfRule>
  </conditionalFormatting>
  <conditionalFormatting sqref="C866">
    <cfRule type="cellIs" dxfId="31538" priority="2593" stopIfTrue="1" operator="equal">
      <formula>"1 Modify"</formula>
    </cfRule>
  </conditionalFormatting>
  <conditionalFormatting sqref="C866">
    <cfRule type="cellIs" dxfId="31537" priority="2594" stopIfTrue="1" operator="equal">
      <formula>"2 Add"</formula>
    </cfRule>
  </conditionalFormatting>
  <conditionalFormatting sqref="C866">
    <cfRule type="cellIs" dxfId="31536" priority="2595" stopIfTrue="1" operator="equal">
      <formula>"3 Delete"</formula>
    </cfRule>
  </conditionalFormatting>
  <conditionalFormatting sqref="C867">
    <cfRule type="cellIs" dxfId="31535" priority="2596" stopIfTrue="1" operator="equal">
      <formula>"1 Modify"</formula>
    </cfRule>
  </conditionalFormatting>
  <conditionalFormatting sqref="C867">
    <cfRule type="cellIs" dxfId="31534" priority="2597" stopIfTrue="1" operator="equal">
      <formula>"2 Add"</formula>
    </cfRule>
  </conditionalFormatting>
  <conditionalFormatting sqref="C867">
    <cfRule type="cellIs" dxfId="31533" priority="2598" stopIfTrue="1" operator="equal">
      <formula>"3 Delete"</formula>
    </cfRule>
  </conditionalFormatting>
  <conditionalFormatting sqref="C868">
    <cfRule type="cellIs" dxfId="31532" priority="2599" stopIfTrue="1" operator="equal">
      <formula>"1 Modify"</formula>
    </cfRule>
  </conditionalFormatting>
  <conditionalFormatting sqref="C868">
    <cfRule type="cellIs" dxfId="31531" priority="2600" stopIfTrue="1" operator="equal">
      <formula>"2 Add"</formula>
    </cfRule>
  </conditionalFormatting>
  <conditionalFormatting sqref="C868">
    <cfRule type="cellIs" dxfId="31530" priority="2601" stopIfTrue="1" operator="equal">
      <formula>"3 Delete"</formula>
    </cfRule>
  </conditionalFormatting>
  <conditionalFormatting sqref="C869">
    <cfRule type="cellIs" dxfId="31529" priority="2602" stopIfTrue="1" operator="equal">
      <formula>"1 Modify"</formula>
    </cfRule>
  </conditionalFormatting>
  <conditionalFormatting sqref="C869">
    <cfRule type="cellIs" dxfId="31528" priority="2603" stopIfTrue="1" operator="equal">
      <formula>"2 Add"</formula>
    </cfRule>
  </conditionalFormatting>
  <conditionalFormatting sqref="C869">
    <cfRule type="cellIs" dxfId="31527" priority="2604" stopIfTrue="1" operator="equal">
      <formula>"3 Delete"</formula>
    </cfRule>
  </conditionalFormatting>
  <conditionalFormatting sqref="C870">
    <cfRule type="cellIs" dxfId="31526" priority="2605" stopIfTrue="1" operator="equal">
      <formula>"1 Modify"</formula>
    </cfRule>
  </conditionalFormatting>
  <conditionalFormatting sqref="C870">
    <cfRule type="cellIs" dxfId="31525" priority="2606" stopIfTrue="1" operator="equal">
      <formula>"2 Add"</formula>
    </cfRule>
  </conditionalFormatting>
  <conditionalFormatting sqref="C870">
    <cfRule type="cellIs" dxfId="31524" priority="2607" stopIfTrue="1" operator="equal">
      <formula>"3 Delete"</formula>
    </cfRule>
  </conditionalFormatting>
  <conditionalFormatting sqref="C871">
    <cfRule type="cellIs" dxfId="31523" priority="2608" stopIfTrue="1" operator="equal">
      <formula>"1 Modify"</formula>
    </cfRule>
  </conditionalFormatting>
  <conditionalFormatting sqref="C871">
    <cfRule type="cellIs" dxfId="31522" priority="2609" stopIfTrue="1" operator="equal">
      <formula>"2 Add"</formula>
    </cfRule>
  </conditionalFormatting>
  <conditionalFormatting sqref="C871">
    <cfRule type="cellIs" dxfId="31521" priority="2610" stopIfTrue="1" operator="equal">
      <formula>"3 Delete"</formula>
    </cfRule>
  </conditionalFormatting>
  <conditionalFormatting sqref="C872">
    <cfRule type="cellIs" dxfId="31520" priority="2611" stopIfTrue="1" operator="equal">
      <formula>"1 Modify"</formula>
    </cfRule>
  </conditionalFormatting>
  <conditionalFormatting sqref="C872">
    <cfRule type="cellIs" dxfId="31519" priority="2612" stopIfTrue="1" operator="equal">
      <formula>"2 Add"</formula>
    </cfRule>
  </conditionalFormatting>
  <conditionalFormatting sqref="C872">
    <cfRule type="cellIs" dxfId="31518" priority="2613" stopIfTrue="1" operator="equal">
      <formula>"3 Delete"</formula>
    </cfRule>
  </conditionalFormatting>
  <conditionalFormatting sqref="C873">
    <cfRule type="cellIs" dxfId="31517" priority="2614" stopIfTrue="1" operator="equal">
      <formula>"1 Modify"</formula>
    </cfRule>
  </conditionalFormatting>
  <conditionalFormatting sqref="C873">
    <cfRule type="cellIs" dxfId="31516" priority="2615" stopIfTrue="1" operator="equal">
      <formula>"2 Add"</formula>
    </cfRule>
  </conditionalFormatting>
  <conditionalFormatting sqref="C873">
    <cfRule type="cellIs" dxfId="31515" priority="2616" stopIfTrue="1" operator="equal">
      <formula>"3 Delete"</formula>
    </cfRule>
  </conditionalFormatting>
  <conditionalFormatting sqref="C874">
    <cfRule type="cellIs" dxfId="31514" priority="2617" stopIfTrue="1" operator="equal">
      <formula>"1 Modify"</formula>
    </cfRule>
  </conditionalFormatting>
  <conditionalFormatting sqref="C874">
    <cfRule type="cellIs" dxfId="31513" priority="2618" stopIfTrue="1" operator="equal">
      <formula>"2 Add"</formula>
    </cfRule>
  </conditionalFormatting>
  <conditionalFormatting sqref="C874">
    <cfRule type="cellIs" dxfId="31512" priority="2619" stopIfTrue="1" operator="equal">
      <formula>"3 Delete"</formula>
    </cfRule>
  </conditionalFormatting>
  <conditionalFormatting sqref="C875">
    <cfRule type="cellIs" dxfId="31511" priority="2620" stopIfTrue="1" operator="equal">
      <formula>"1 Modify"</formula>
    </cfRule>
  </conditionalFormatting>
  <conditionalFormatting sqref="C875">
    <cfRule type="cellIs" dxfId="31510" priority="2621" stopIfTrue="1" operator="equal">
      <formula>"2 Add"</formula>
    </cfRule>
  </conditionalFormatting>
  <conditionalFormatting sqref="C875">
    <cfRule type="cellIs" dxfId="31509" priority="2622" stopIfTrue="1" operator="equal">
      <formula>"3 Delete"</formula>
    </cfRule>
  </conditionalFormatting>
  <conditionalFormatting sqref="C876">
    <cfRule type="cellIs" dxfId="31508" priority="2623" stopIfTrue="1" operator="equal">
      <formula>"1 Modify"</formula>
    </cfRule>
  </conditionalFormatting>
  <conditionalFormatting sqref="C876">
    <cfRule type="cellIs" dxfId="31507" priority="2624" stopIfTrue="1" operator="equal">
      <formula>"2 Add"</formula>
    </cfRule>
  </conditionalFormatting>
  <conditionalFormatting sqref="C876">
    <cfRule type="cellIs" dxfId="31506" priority="2625" stopIfTrue="1" operator="equal">
      <formula>"3 Delete"</formula>
    </cfRule>
  </conditionalFormatting>
  <conditionalFormatting sqref="C877">
    <cfRule type="cellIs" dxfId="31505" priority="2626" stopIfTrue="1" operator="equal">
      <formula>"1 Modify"</formula>
    </cfRule>
  </conditionalFormatting>
  <conditionalFormatting sqref="C877">
    <cfRule type="cellIs" dxfId="31504" priority="2627" stopIfTrue="1" operator="equal">
      <formula>"2 Add"</formula>
    </cfRule>
  </conditionalFormatting>
  <conditionalFormatting sqref="C877">
    <cfRule type="cellIs" dxfId="31503" priority="2628" stopIfTrue="1" operator="equal">
      <formula>"3 Delete"</formula>
    </cfRule>
  </conditionalFormatting>
  <conditionalFormatting sqref="C878">
    <cfRule type="cellIs" dxfId="31502" priority="2629" stopIfTrue="1" operator="equal">
      <formula>"1 Modify"</formula>
    </cfRule>
  </conditionalFormatting>
  <conditionalFormatting sqref="C878">
    <cfRule type="cellIs" dxfId="31501" priority="2630" stopIfTrue="1" operator="equal">
      <formula>"2 Add"</formula>
    </cfRule>
  </conditionalFormatting>
  <conditionalFormatting sqref="C878">
    <cfRule type="cellIs" dxfId="31500" priority="2631" stopIfTrue="1" operator="equal">
      <formula>"3 Delete"</formula>
    </cfRule>
  </conditionalFormatting>
  <conditionalFormatting sqref="C879">
    <cfRule type="cellIs" dxfId="31499" priority="2632" stopIfTrue="1" operator="equal">
      <formula>"1 Modify"</formula>
    </cfRule>
  </conditionalFormatting>
  <conditionalFormatting sqref="C879">
    <cfRule type="cellIs" dxfId="31498" priority="2633" stopIfTrue="1" operator="equal">
      <formula>"2 Add"</formula>
    </cfRule>
  </conditionalFormatting>
  <conditionalFormatting sqref="C879">
    <cfRule type="cellIs" dxfId="31497" priority="2634" stopIfTrue="1" operator="equal">
      <formula>"3 Delete"</formula>
    </cfRule>
  </conditionalFormatting>
  <conditionalFormatting sqref="C880">
    <cfRule type="cellIs" dxfId="31496" priority="2635" stopIfTrue="1" operator="equal">
      <formula>"1 Modify"</formula>
    </cfRule>
  </conditionalFormatting>
  <conditionalFormatting sqref="C880">
    <cfRule type="cellIs" dxfId="31495" priority="2636" stopIfTrue="1" operator="equal">
      <formula>"2 Add"</formula>
    </cfRule>
  </conditionalFormatting>
  <conditionalFormatting sqref="C880">
    <cfRule type="cellIs" dxfId="31494" priority="2637" stopIfTrue="1" operator="equal">
      <formula>"3 Delete"</formula>
    </cfRule>
  </conditionalFormatting>
  <conditionalFormatting sqref="C881">
    <cfRule type="cellIs" dxfId="31493" priority="2638" stopIfTrue="1" operator="equal">
      <formula>"1 Modify"</formula>
    </cfRule>
  </conditionalFormatting>
  <conditionalFormatting sqref="C881">
    <cfRule type="cellIs" dxfId="31492" priority="2639" stopIfTrue="1" operator="equal">
      <formula>"2 Add"</formula>
    </cfRule>
  </conditionalFormatting>
  <conditionalFormatting sqref="C881">
    <cfRule type="cellIs" dxfId="31491" priority="2640" stopIfTrue="1" operator="equal">
      <formula>"3 Delete"</formula>
    </cfRule>
  </conditionalFormatting>
  <conditionalFormatting sqref="C882">
    <cfRule type="cellIs" dxfId="31490" priority="2641" stopIfTrue="1" operator="equal">
      <formula>"1 Modify"</formula>
    </cfRule>
  </conditionalFormatting>
  <conditionalFormatting sqref="C882">
    <cfRule type="cellIs" dxfId="31489" priority="2642" stopIfTrue="1" operator="equal">
      <formula>"2 Add"</formula>
    </cfRule>
  </conditionalFormatting>
  <conditionalFormatting sqref="C882">
    <cfRule type="cellIs" dxfId="31488" priority="2643" stopIfTrue="1" operator="equal">
      <formula>"3 Delete"</formula>
    </cfRule>
  </conditionalFormatting>
  <conditionalFormatting sqref="C883">
    <cfRule type="cellIs" dxfId="31487" priority="2644" stopIfTrue="1" operator="equal">
      <formula>"1 Modify"</formula>
    </cfRule>
  </conditionalFormatting>
  <conditionalFormatting sqref="C883">
    <cfRule type="cellIs" dxfId="31486" priority="2645" stopIfTrue="1" operator="equal">
      <formula>"2 Add"</formula>
    </cfRule>
  </conditionalFormatting>
  <conditionalFormatting sqref="C883">
    <cfRule type="cellIs" dxfId="31485" priority="2646" stopIfTrue="1" operator="equal">
      <formula>"3 Delete"</formula>
    </cfRule>
  </conditionalFormatting>
  <conditionalFormatting sqref="C884">
    <cfRule type="cellIs" dxfId="31484" priority="2647" stopIfTrue="1" operator="equal">
      <formula>"1 Modify"</formula>
    </cfRule>
  </conditionalFormatting>
  <conditionalFormatting sqref="C884">
    <cfRule type="cellIs" dxfId="31483" priority="2648" stopIfTrue="1" operator="equal">
      <formula>"2 Add"</formula>
    </cfRule>
  </conditionalFormatting>
  <conditionalFormatting sqref="C884">
    <cfRule type="cellIs" dxfId="31482" priority="2649" stopIfTrue="1" operator="equal">
      <formula>"3 Delete"</formula>
    </cfRule>
  </conditionalFormatting>
  <conditionalFormatting sqref="C885">
    <cfRule type="cellIs" dxfId="31481" priority="2650" stopIfTrue="1" operator="equal">
      <formula>"1 Modify"</formula>
    </cfRule>
  </conditionalFormatting>
  <conditionalFormatting sqref="C885">
    <cfRule type="cellIs" dxfId="31480" priority="2651" stopIfTrue="1" operator="equal">
      <formula>"2 Add"</formula>
    </cfRule>
  </conditionalFormatting>
  <conditionalFormatting sqref="C885">
    <cfRule type="cellIs" dxfId="31479" priority="2652" stopIfTrue="1" operator="equal">
      <formula>"3 Delete"</formula>
    </cfRule>
  </conditionalFormatting>
  <conditionalFormatting sqref="C886">
    <cfRule type="cellIs" dxfId="31478" priority="2653" stopIfTrue="1" operator="equal">
      <formula>"1 Modify"</formula>
    </cfRule>
  </conditionalFormatting>
  <conditionalFormatting sqref="C886">
    <cfRule type="cellIs" dxfId="31477" priority="2654" stopIfTrue="1" operator="equal">
      <formula>"2 Add"</formula>
    </cfRule>
  </conditionalFormatting>
  <conditionalFormatting sqref="C886">
    <cfRule type="cellIs" dxfId="31476" priority="2655" stopIfTrue="1" operator="equal">
      <formula>"3 Delete"</formula>
    </cfRule>
  </conditionalFormatting>
  <conditionalFormatting sqref="C887">
    <cfRule type="cellIs" dxfId="31475" priority="2656" stopIfTrue="1" operator="equal">
      <formula>"1 Modify"</formula>
    </cfRule>
  </conditionalFormatting>
  <conditionalFormatting sqref="C887">
    <cfRule type="cellIs" dxfId="31474" priority="2657" stopIfTrue="1" operator="equal">
      <formula>"2 Add"</formula>
    </cfRule>
  </conditionalFormatting>
  <conditionalFormatting sqref="C887">
    <cfRule type="cellIs" dxfId="31473" priority="2658" stopIfTrue="1" operator="equal">
      <formula>"3 Delete"</formula>
    </cfRule>
  </conditionalFormatting>
  <conditionalFormatting sqref="C888">
    <cfRule type="cellIs" dxfId="31472" priority="2659" stopIfTrue="1" operator="equal">
      <formula>"1 Modify"</formula>
    </cfRule>
  </conditionalFormatting>
  <conditionalFormatting sqref="C888">
    <cfRule type="cellIs" dxfId="31471" priority="2660" stopIfTrue="1" operator="equal">
      <formula>"2 Add"</formula>
    </cfRule>
  </conditionalFormatting>
  <conditionalFormatting sqref="C888">
    <cfRule type="cellIs" dxfId="31470" priority="2661" stopIfTrue="1" operator="equal">
      <formula>"3 Delete"</formula>
    </cfRule>
  </conditionalFormatting>
  <conditionalFormatting sqref="C889">
    <cfRule type="cellIs" dxfId="31469" priority="2662" stopIfTrue="1" operator="equal">
      <formula>"1 Modify"</formula>
    </cfRule>
  </conditionalFormatting>
  <conditionalFormatting sqref="C889">
    <cfRule type="cellIs" dxfId="31468" priority="2663" stopIfTrue="1" operator="equal">
      <formula>"2 Add"</formula>
    </cfRule>
  </conditionalFormatting>
  <conditionalFormatting sqref="C889">
    <cfRule type="cellIs" dxfId="31467" priority="2664" stopIfTrue="1" operator="equal">
      <formula>"3 Delete"</formula>
    </cfRule>
  </conditionalFormatting>
  <conditionalFormatting sqref="C890">
    <cfRule type="cellIs" dxfId="31466" priority="2665" stopIfTrue="1" operator="equal">
      <formula>"1 Modify"</formula>
    </cfRule>
  </conditionalFormatting>
  <conditionalFormatting sqref="C890">
    <cfRule type="cellIs" dxfId="31465" priority="2666" stopIfTrue="1" operator="equal">
      <formula>"2 Add"</formula>
    </cfRule>
  </conditionalFormatting>
  <conditionalFormatting sqref="C890">
    <cfRule type="cellIs" dxfId="31464" priority="2667" stopIfTrue="1" operator="equal">
      <formula>"3 Delete"</formula>
    </cfRule>
  </conditionalFormatting>
  <conditionalFormatting sqref="C891">
    <cfRule type="cellIs" dxfId="31463" priority="2668" stopIfTrue="1" operator="equal">
      <formula>"1 Modify"</formula>
    </cfRule>
  </conditionalFormatting>
  <conditionalFormatting sqref="C891">
    <cfRule type="cellIs" dxfId="31462" priority="2669" stopIfTrue="1" operator="equal">
      <formula>"2 Add"</formula>
    </cfRule>
  </conditionalFormatting>
  <conditionalFormatting sqref="C891">
    <cfRule type="cellIs" dxfId="31461" priority="2670" stopIfTrue="1" operator="equal">
      <formula>"3 Delete"</formula>
    </cfRule>
  </conditionalFormatting>
  <conditionalFormatting sqref="C892">
    <cfRule type="cellIs" dxfId="31460" priority="2671" stopIfTrue="1" operator="equal">
      <formula>"1 Modify"</formula>
    </cfRule>
  </conditionalFormatting>
  <conditionalFormatting sqref="C892">
    <cfRule type="cellIs" dxfId="31459" priority="2672" stopIfTrue="1" operator="equal">
      <formula>"2 Add"</formula>
    </cfRule>
  </conditionalFormatting>
  <conditionalFormatting sqref="C892">
    <cfRule type="cellIs" dxfId="31458" priority="2673" stopIfTrue="1" operator="equal">
      <formula>"3 Delete"</formula>
    </cfRule>
  </conditionalFormatting>
  <conditionalFormatting sqref="C893">
    <cfRule type="cellIs" dxfId="31457" priority="2674" stopIfTrue="1" operator="equal">
      <formula>"1 Modify"</formula>
    </cfRule>
  </conditionalFormatting>
  <conditionalFormatting sqref="C893">
    <cfRule type="cellIs" dxfId="31456" priority="2675" stopIfTrue="1" operator="equal">
      <formula>"2 Add"</formula>
    </cfRule>
  </conditionalFormatting>
  <conditionalFormatting sqref="C893">
    <cfRule type="cellIs" dxfId="31455" priority="2676" stopIfTrue="1" operator="equal">
      <formula>"3 Delete"</formula>
    </cfRule>
  </conditionalFormatting>
  <conditionalFormatting sqref="C894">
    <cfRule type="cellIs" dxfId="31454" priority="2677" stopIfTrue="1" operator="equal">
      <formula>"1 Modify"</formula>
    </cfRule>
  </conditionalFormatting>
  <conditionalFormatting sqref="C894">
    <cfRule type="cellIs" dxfId="31453" priority="2678" stopIfTrue="1" operator="equal">
      <formula>"2 Add"</formula>
    </cfRule>
  </conditionalFormatting>
  <conditionalFormatting sqref="C894">
    <cfRule type="cellIs" dxfId="31452" priority="2679" stopIfTrue="1" operator="equal">
      <formula>"3 Delete"</formula>
    </cfRule>
  </conditionalFormatting>
  <conditionalFormatting sqref="C895">
    <cfRule type="cellIs" dxfId="31451" priority="2680" stopIfTrue="1" operator="equal">
      <formula>"1 Modify"</formula>
    </cfRule>
  </conditionalFormatting>
  <conditionalFormatting sqref="C895">
    <cfRule type="cellIs" dxfId="31450" priority="2681" stopIfTrue="1" operator="equal">
      <formula>"2 Add"</formula>
    </cfRule>
  </conditionalFormatting>
  <conditionalFormatting sqref="C895">
    <cfRule type="cellIs" dxfId="31449" priority="2682" stopIfTrue="1" operator="equal">
      <formula>"3 Delete"</formula>
    </cfRule>
  </conditionalFormatting>
  <conditionalFormatting sqref="C896">
    <cfRule type="cellIs" dxfId="31448" priority="2683" stopIfTrue="1" operator="equal">
      <formula>"1 Modify"</formula>
    </cfRule>
  </conditionalFormatting>
  <conditionalFormatting sqref="C896">
    <cfRule type="cellIs" dxfId="31447" priority="2684" stopIfTrue="1" operator="equal">
      <formula>"2 Add"</formula>
    </cfRule>
  </conditionalFormatting>
  <conditionalFormatting sqref="C896">
    <cfRule type="cellIs" dxfId="31446" priority="2685" stopIfTrue="1" operator="equal">
      <formula>"3 Delete"</formula>
    </cfRule>
  </conditionalFormatting>
  <conditionalFormatting sqref="C897">
    <cfRule type="cellIs" dxfId="31445" priority="2686" stopIfTrue="1" operator="equal">
      <formula>"1 Modify"</formula>
    </cfRule>
  </conditionalFormatting>
  <conditionalFormatting sqref="C897">
    <cfRule type="cellIs" dxfId="31444" priority="2687" stopIfTrue="1" operator="equal">
      <formula>"2 Add"</formula>
    </cfRule>
  </conditionalFormatting>
  <conditionalFormatting sqref="C897">
    <cfRule type="cellIs" dxfId="31443" priority="2688" stopIfTrue="1" operator="equal">
      <formula>"3 Delete"</formula>
    </cfRule>
  </conditionalFormatting>
  <conditionalFormatting sqref="C898">
    <cfRule type="cellIs" dxfId="31442" priority="2689" stopIfTrue="1" operator="equal">
      <formula>"1 Modify"</formula>
    </cfRule>
  </conditionalFormatting>
  <conditionalFormatting sqref="C898">
    <cfRule type="cellIs" dxfId="31441" priority="2690" stopIfTrue="1" operator="equal">
      <formula>"2 Add"</formula>
    </cfRule>
  </conditionalFormatting>
  <conditionalFormatting sqref="C898">
    <cfRule type="cellIs" dxfId="31440" priority="2691" stopIfTrue="1" operator="equal">
      <formula>"3 Delete"</formula>
    </cfRule>
  </conditionalFormatting>
  <conditionalFormatting sqref="C899">
    <cfRule type="cellIs" dxfId="31439" priority="2692" stopIfTrue="1" operator="equal">
      <formula>"1 Modify"</formula>
    </cfRule>
  </conditionalFormatting>
  <conditionalFormatting sqref="C899">
    <cfRule type="cellIs" dxfId="31438" priority="2693" stopIfTrue="1" operator="equal">
      <formula>"2 Add"</formula>
    </cfRule>
  </conditionalFormatting>
  <conditionalFormatting sqref="C899">
    <cfRule type="cellIs" dxfId="31437" priority="2694" stopIfTrue="1" operator="equal">
      <formula>"3 Delete"</formula>
    </cfRule>
  </conditionalFormatting>
  <conditionalFormatting sqref="C900">
    <cfRule type="cellIs" dxfId="31436" priority="2695" stopIfTrue="1" operator="equal">
      <formula>"1 Modify"</formula>
    </cfRule>
  </conditionalFormatting>
  <conditionalFormatting sqref="C900">
    <cfRule type="cellIs" dxfId="31435" priority="2696" stopIfTrue="1" operator="equal">
      <formula>"2 Add"</formula>
    </cfRule>
  </conditionalFormatting>
  <conditionalFormatting sqref="C900">
    <cfRule type="cellIs" dxfId="31434" priority="2697" stopIfTrue="1" operator="equal">
      <formula>"3 Delete"</formula>
    </cfRule>
  </conditionalFormatting>
  <conditionalFormatting sqref="C901">
    <cfRule type="cellIs" dxfId="31433" priority="2698" stopIfTrue="1" operator="equal">
      <formula>"1 Modify"</formula>
    </cfRule>
  </conditionalFormatting>
  <conditionalFormatting sqref="C901">
    <cfRule type="cellIs" dxfId="31432" priority="2699" stopIfTrue="1" operator="equal">
      <formula>"2 Add"</formula>
    </cfRule>
  </conditionalFormatting>
  <conditionalFormatting sqref="C901">
    <cfRule type="cellIs" dxfId="31431" priority="2700" stopIfTrue="1" operator="equal">
      <formula>"3 Delete"</formula>
    </cfRule>
  </conditionalFormatting>
  <conditionalFormatting sqref="C902">
    <cfRule type="cellIs" dxfId="31430" priority="2701" stopIfTrue="1" operator="equal">
      <formula>"1 Modify"</formula>
    </cfRule>
  </conditionalFormatting>
  <conditionalFormatting sqref="C902">
    <cfRule type="cellIs" dxfId="31429" priority="2702" stopIfTrue="1" operator="equal">
      <formula>"2 Add"</formula>
    </cfRule>
  </conditionalFormatting>
  <conditionalFormatting sqref="C902">
    <cfRule type="cellIs" dxfId="31428" priority="2703" stopIfTrue="1" operator="equal">
      <formula>"3 Delete"</formula>
    </cfRule>
  </conditionalFormatting>
  <conditionalFormatting sqref="C903">
    <cfRule type="cellIs" dxfId="31427" priority="2704" stopIfTrue="1" operator="equal">
      <formula>"1 Modify"</formula>
    </cfRule>
  </conditionalFormatting>
  <conditionalFormatting sqref="C903">
    <cfRule type="cellIs" dxfId="31426" priority="2705" stopIfTrue="1" operator="equal">
      <formula>"2 Add"</formula>
    </cfRule>
  </conditionalFormatting>
  <conditionalFormatting sqref="C903">
    <cfRule type="cellIs" dxfId="31425" priority="2706" stopIfTrue="1" operator="equal">
      <formula>"3 Delete"</formula>
    </cfRule>
  </conditionalFormatting>
  <conditionalFormatting sqref="C904">
    <cfRule type="cellIs" dxfId="31424" priority="2707" stopIfTrue="1" operator="equal">
      <formula>"1 Modify"</formula>
    </cfRule>
  </conditionalFormatting>
  <conditionalFormatting sqref="C904">
    <cfRule type="cellIs" dxfId="31423" priority="2708" stopIfTrue="1" operator="equal">
      <formula>"2 Add"</formula>
    </cfRule>
  </conditionalFormatting>
  <conditionalFormatting sqref="C904">
    <cfRule type="cellIs" dxfId="31422" priority="2709" stopIfTrue="1" operator="equal">
      <formula>"3 Delete"</formula>
    </cfRule>
  </conditionalFormatting>
  <conditionalFormatting sqref="C905">
    <cfRule type="cellIs" dxfId="31421" priority="2710" stopIfTrue="1" operator="equal">
      <formula>"1 Modify"</formula>
    </cfRule>
  </conditionalFormatting>
  <conditionalFormatting sqref="C905">
    <cfRule type="cellIs" dxfId="31420" priority="2711" stopIfTrue="1" operator="equal">
      <formula>"2 Add"</formula>
    </cfRule>
  </conditionalFormatting>
  <conditionalFormatting sqref="C905">
    <cfRule type="cellIs" dxfId="31419" priority="2712" stopIfTrue="1" operator="equal">
      <formula>"3 Delete"</formula>
    </cfRule>
  </conditionalFormatting>
  <conditionalFormatting sqref="C906">
    <cfRule type="cellIs" dxfId="31418" priority="2713" stopIfTrue="1" operator="equal">
      <formula>"1 Modify"</formula>
    </cfRule>
  </conditionalFormatting>
  <conditionalFormatting sqref="C906">
    <cfRule type="cellIs" dxfId="31417" priority="2714" stopIfTrue="1" operator="equal">
      <formula>"2 Add"</formula>
    </cfRule>
  </conditionalFormatting>
  <conditionalFormatting sqref="C906">
    <cfRule type="cellIs" dxfId="31416" priority="2715" stopIfTrue="1" operator="equal">
      <formula>"3 Delete"</formula>
    </cfRule>
  </conditionalFormatting>
  <conditionalFormatting sqref="C907">
    <cfRule type="cellIs" dxfId="31415" priority="2716" stopIfTrue="1" operator="equal">
      <formula>"1 Modify"</formula>
    </cfRule>
  </conditionalFormatting>
  <conditionalFormatting sqref="C907">
    <cfRule type="cellIs" dxfId="31414" priority="2717" stopIfTrue="1" operator="equal">
      <formula>"2 Add"</formula>
    </cfRule>
  </conditionalFormatting>
  <conditionalFormatting sqref="C907">
    <cfRule type="cellIs" dxfId="31413" priority="2718" stopIfTrue="1" operator="equal">
      <formula>"3 Delete"</formula>
    </cfRule>
  </conditionalFormatting>
  <conditionalFormatting sqref="C908">
    <cfRule type="cellIs" dxfId="31412" priority="2719" stopIfTrue="1" operator="equal">
      <formula>"1 Modify"</formula>
    </cfRule>
  </conditionalFormatting>
  <conditionalFormatting sqref="C908">
    <cfRule type="cellIs" dxfId="31411" priority="2720" stopIfTrue="1" operator="equal">
      <formula>"2 Add"</formula>
    </cfRule>
  </conditionalFormatting>
  <conditionalFormatting sqref="C908">
    <cfRule type="cellIs" dxfId="31410" priority="2721" stopIfTrue="1" operator="equal">
      <formula>"3 Delete"</formula>
    </cfRule>
  </conditionalFormatting>
  <conditionalFormatting sqref="C909">
    <cfRule type="cellIs" dxfId="31409" priority="2722" stopIfTrue="1" operator="equal">
      <formula>"1 Modify"</formula>
    </cfRule>
  </conditionalFormatting>
  <conditionalFormatting sqref="C909">
    <cfRule type="cellIs" dxfId="31408" priority="2723" stopIfTrue="1" operator="equal">
      <formula>"2 Add"</formula>
    </cfRule>
  </conditionalFormatting>
  <conditionalFormatting sqref="C909">
    <cfRule type="cellIs" dxfId="31407" priority="2724" stopIfTrue="1" operator="equal">
      <formula>"3 Delete"</formula>
    </cfRule>
  </conditionalFormatting>
  <conditionalFormatting sqref="C910">
    <cfRule type="cellIs" dxfId="31406" priority="2725" stopIfTrue="1" operator="equal">
      <formula>"1 Modify"</formula>
    </cfRule>
  </conditionalFormatting>
  <conditionalFormatting sqref="C910">
    <cfRule type="cellIs" dxfId="31405" priority="2726" stopIfTrue="1" operator="equal">
      <formula>"2 Add"</formula>
    </cfRule>
  </conditionalFormatting>
  <conditionalFormatting sqref="C910">
    <cfRule type="cellIs" dxfId="31404" priority="2727" stopIfTrue="1" operator="equal">
      <formula>"3 Delete"</formula>
    </cfRule>
  </conditionalFormatting>
  <conditionalFormatting sqref="C911">
    <cfRule type="cellIs" dxfId="31403" priority="2728" stopIfTrue="1" operator="equal">
      <formula>"1 Modify"</formula>
    </cfRule>
  </conditionalFormatting>
  <conditionalFormatting sqref="C911">
    <cfRule type="cellIs" dxfId="31402" priority="2729" stopIfTrue="1" operator="equal">
      <formula>"2 Add"</formula>
    </cfRule>
  </conditionalFormatting>
  <conditionalFormatting sqref="C911">
    <cfRule type="cellIs" dxfId="31401" priority="2730" stopIfTrue="1" operator="equal">
      <formula>"3 Delete"</formula>
    </cfRule>
  </conditionalFormatting>
  <conditionalFormatting sqref="C912">
    <cfRule type="cellIs" dxfId="31400" priority="2731" stopIfTrue="1" operator="equal">
      <formula>"1 Modify"</formula>
    </cfRule>
  </conditionalFormatting>
  <conditionalFormatting sqref="C912">
    <cfRule type="cellIs" dxfId="31399" priority="2732" stopIfTrue="1" operator="equal">
      <formula>"2 Add"</formula>
    </cfRule>
  </conditionalFormatting>
  <conditionalFormatting sqref="C912">
    <cfRule type="cellIs" dxfId="31398" priority="2733" stopIfTrue="1" operator="equal">
      <formula>"3 Delete"</formula>
    </cfRule>
  </conditionalFormatting>
  <conditionalFormatting sqref="C913">
    <cfRule type="cellIs" dxfId="31397" priority="2734" stopIfTrue="1" operator="equal">
      <formula>"1 Modify"</formula>
    </cfRule>
  </conditionalFormatting>
  <conditionalFormatting sqref="C913">
    <cfRule type="cellIs" dxfId="31396" priority="2735" stopIfTrue="1" operator="equal">
      <formula>"2 Add"</formula>
    </cfRule>
  </conditionalFormatting>
  <conditionalFormatting sqref="C913">
    <cfRule type="cellIs" dxfId="31395" priority="2736" stopIfTrue="1" operator="equal">
      <formula>"3 Delete"</formula>
    </cfRule>
  </conditionalFormatting>
  <conditionalFormatting sqref="C914">
    <cfRule type="cellIs" dxfId="31394" priority="2737" stopIfTrue="1" operator="equal">
      <formula>"1 Modify"</formula>
    </cfRule>
  </conditionalFormatting>
  <conditionalFormatting sqref="C914">
    <cfRule type="cellIs" dxfId="31393" priority="2738" stopIfTrue="1" operator="equal">
      <formula>"2 Add"</formula>
    </cfRule>
  </conditionalFormatting>
  <conditionalFormatting sqref="C914">
    <cfRule type="cellIs" dxfId="31392" priority="2739" stopIfTrue="1" operator="equal">
      <formula>"3 Delete"</formula>
    </cfRule>
  </conditionalFormatting>
  <conditionalFormatting sqref="C915">
    <cfRule type="cellIs" dxfId="31391" priority="2740" stopIfTrue="1" operator="equal">
      <formula>"1 Modify"</formula>
    </cfRule>
  </conditionalFormatting>
  <conditionalFormatting sqref="C915">
    <cfRule type="cellIs" dxfId="31390" priority="2741" stopIfTrue="1" operator="equal">
      <formula>"2 Add"</formula>
    </cfRule>
  </conditionalFormatting>
  <conditionalFormatting sqref="C915">
    <cfRule type="cellIs" dxfId="31389" priority="2742" stopIfTrue="1" operator="equal">
      <formula>"3 Delete"</formula>
    </cfRule>
  </conditionalFormatting>
  <conditionalFormatting sqref="C916">
    <cfRule type="cellIs" dxfId="31388" priority="2743" stopIfTrue="1" operator="equal">
      <formula>"1 Modify"</formula>
    </cfRule>
  </conditionalFormatting>
  <conditionalFormatting sqref="C916">
    <cfRule type="cellIs" dxfId="31387" priority="2744" stopIfTrue="1" operator="equal">
      <formula>"2 Add"</formula>
    </cfRule>
  </conditionalFormatting>
  <conditionalFormatting sqref="C916">
    <cfRule type="cellIs" dxfId="31386" priority="2745" stopIfTrue="1" operator="equal">
      <formula>"3 Delete"</formula>
    </cfRule>
  </conditionalFormatting>
  <conditionalFormatting sqref="C917">
    <cfRule type="cellIs" dxfId="31385" priority="2746" stopIfTrue="1" operator="equal">
      <formula>"1 Modify"</formula>
    </cfRule>
  </conditionalFormatting>
  <conditionalFormatting sqref="C917">
    <cfRule type="cellIs" dxfId="31384" priority="2747" stopIfTrue="1" operator="equal">
      <formula>"2 Add"</formula>
    </cfRule>
  </conditionalFormatting>
  <conditionalFormatting sqref="C917">
    <cfRule type="cellIs" dxfId="31383" priority="2748" stopIfTrue="1" operator="equal">
      <formula>"3 Delete"</formula>
    </cfRule>
  </conditionalFormatting>
  <conditionalFormatting sqref="C918">
    <cfRule type="cellIs" dxfId="31382" priority="2749" stopIfTrue="1" operator="equal">
      <formula>"1 Modify"</formula>
    </cfRule>
  </conditionalFormatting>
  <conditionalFormatting sqref="C918">
    <cfRule type="cellIs" dxfId="31381" priority="2750" stopIfTrue="1" operator="equal">
      <formula>"2 Add"</formula>
    </cfRule>
  </conditionalFormatting>
  <conditionalFormatting sqref="C918">
    <cfRule type="cellIs" dxfId="31380" priority="2751" stopIfTrue="1" operator="equal">
      <formula>"3 Delete"</formula>
    </cfRule>
  </conditionalFormatting>
  <conditionalFormatting sqref="C919">
    <cfRule type="cellIs" dxfId="31379" priority="2752" stopIfTrue="1" operator="equal">
      <formula>"1 Modify"</formula>
    </cfRule>
  </conditionalFormatting>
  <conditionalFormatting sqref="C919">
    <cfRule type="cellIs" dxfId="31378" priority="2753" stopIfTrue="1" operator="equal">
      <formula>"2 Add"</formula>
    </cfRule>
  </conditionalFormatting>
  <conditionalFormatting sqref="C919">
    <cfRule type="cellIs" dxfId="31377" priority="2754" stopIfTrue="1" operator="equal">
      <formula>"3 Delete"</formula>
    </cfRule>
  </conditionalFormatting>
  <conditionalFormatting sqref="C920">
    <cfRule type="cellIs" dxfId="31376" priority="2755" stopIfTrue="1" operator="equal">
      <formula>"1 Modify"</formula>
    </cfRule>
  </conditionalFormatting>
  <conditionalFormatting sqref="C920">
    <cfRule type="cellIs" dxfId="31375" priority="2756" stopIfTrue="1" operator="equal">
      <formula>"2 Add"</formula>
    </cfRule>
  </conditionalFormatting>
  <conditionalFormatting sqref="C920">
    <cfRule type="cellIs" dxfId="31374" priority="2757" stopIfTrue="1" operator="equal">
      <formula>"3 Delete"</formula>
    </cfRule>
  </conditionalFormatting>
  <conditionalFormatting sqref="C921">
    <cfRule type="cellIs" dxfId="31373" priority="2758" stopIfTrue="1" operator="equal">
      <formula>"1 Modify"</formula>
    </cfRule>
  </conditionalFormatting>
  <conditionalFormatting sqref="C921">
    <cfRule type="cellIs" dxfId="31372" priority="2759" stopIfTrue="1" operator="equal">
      <formula>"2 Add"</formula>
    </cfRule>
  </conditionalFormatting>
  <conditionalFormatting sqref="C921">
    <cfRule type="cellIs" dxfId="31371" priority="2760" stopIfTrue="1" operator="equal">
      <formula>"3 Delete"</formula>
    </cfRule>
  </conditionalFormatting>
  <conditionalFormatting sqref="C922">
    <cfRule type="cellIs" dxfId="31370" priority="2761" stopIfTrue="1" operator="equal">
      <formula>"1 Modify"</formula>
    </cfRule>
  </conditionalFormatting>
  <conditionalFormatting sqref="C922">
    <cfRule type="cellIs" dxfId="31369" priority="2762" stopIfTrue="1" operator="equal">
      <formula>"2 Add"</formula>
    </cfRule>
  </conditionalFormatting>
  <conditionalFormatting sqref="C922">
    <cfRule type="cellIs" dxfId="31368" priority="2763" stopIfTrue="1" operator="equal">
      <formula>"3 Delete"</formula>
    </cfRule>
  </conditionalFormatting>
  <conditionalFormatting sqref="C923">
    <cfRule type="cellIs" dxfId="31367" priority="2764" stopIfTrue="1" operator="equal">
      <formula>"1 Modify"</formula>
    </cfRule>
  </conditionalFormatting>
  <conditionalFormatting sqref="C923">
    <cfRule type="cellIs" dxfId="31366" priority="2765" stopIfTrue="1" operator="equal">
      <formula>"2 Add"</formula>
    </cfRule>
  </conditionalFormatting>
  <conditionalFormatting sqref="C923">
    <cfRule type="cellIs" dxfId="31365" priority="2766" stopIfTrue="1" operator="equal">
      <formula>"3 Delete"</formula>
    </cfRule>
  </conditionalFormatting>
  <conditionalFormatting sqref="C924">
    <cfRule type="cellIs" dxfId="31364" priority="2767" stopIfTrue="1" operator="equal">
      <formula>"1 Modify"</formula>
    </cfRule>
  </conditionalFormatting>
  <conditionalFormatting sqref="C924">
    <cfRule type="cellIs" dxfId="31363" priority="2768" stopIfTrue="1" operator="equal">
      <formula>"2 Add"</formula>
    </cfRule>
  </conditionalFormatting>
  <conditionalFormatting sqref="C924">
    <cfRule type="cellIs" dxfId="31362" priority="2769" stopIfTrue="1" operator="equal">
      <formula>"3 Delete"</formula>
    </cfRule>
  </conditionalFormatting>
  <conditionalFormatting sqref="C925">
    <cfRule type="cellIs" dxfId="31361" priority="2770" stopIfTrue="1" operator="equal">
      <formula>"1 Modify"</formula>
    </cfRule>
  </conditionalFormatting>
  <conditionalFormatting sqref="C925">
    <cfRule type="cellIs" dxfId="31360" priority="2771" stopIfTrue="1" operator="equal">
      <formula>"2 Add"</formula>
    </cfRule>
  </conditionalFormatting>
  <conditionalFormatting sqref="C925">
    <cfRule type="cellIs" dxfId="31359" priority="2772" stopIfTrue="1" operator="equal">
      <formula>"3 Delete"</formula>
    </cfRule>
  </conditionalFormatting>
  <conditionalFormatting sqref="C926">
    <cfRule type="cellIs" dxfId="31358" priority="2773" stopIfTrue="1" operator="equal">
      <formula>"1 Modify"</formula>
    </cfRule>
  </conditionalFormatting>
  <conditionalFormatting sqref="C926">
    <cfRule type="cellIs" dxfId="31357" priority="2774" stopIfTrue="1" operator="equal">
      <formula>"2 Add"</formula>
    </cfRule>
  </conditionalFormatting>
  <conditionalFormatting sqref="C926">
    <cfRule type="cellIs" dxfId="31356" priority="2775" stopIfTrue="1" operator="equal">
      <formula>"3 Delete"</formula>
    </cfRule>
  </conditionalFormatting>
  <conditionalFormatting sqref="C927">
    <cfRule type="cellIs" dxfId="31355" priority="2776" stopIfTrue="1" operator="equal">
      <formula>"1 Modify"</formula>
    </cfRule>
  </conditionalFormatting>
  <conditionalFormatting sqref="C927">
    <cfRule type="cellIs" dxfId="31354" priority="2777" stopIfTrue="1" operator="equal">
      <formula>"2 Add"</formula>
    </cfRule>
  </conditionalFormatting>
  <conditionalFormatting sqref="C927">
    <cfRule type="cellIs" dxfId="31353" priority="2778" stopIfTrue="1" operator="equal">
      <formula>"3 Delete"</formula>
    </cfRule>
  </conditionalFormatting>
  <conditionalFormatting sqref="C928">
    <cfRule type="cellIs" dxfId="31352" priority="2779" stopIfTrue="1" operator="equal">
      <formula>"1 Modify"</formula>
    </cfRule>
  </conditionalFormatting>
  <conditionalFormatting sqref="C928">
    <cfRule type="cellIs" dxfId="31351" priority="2780" stopIfTrue="1" operator="equal">
      <formula>"2 Add"</formula>
    </cfRule>
  </conditionalFormatting>
  <conditionalFormatting sqref="C928">
    <cfRule type="cellIs" dxfId="31350" priority="2781" stopIfTrue="1" operator="equal">
      <formula>"3 Delete"</formula>
    </cfRule>
  </conditionalFormatting>
  <conditionalFormatting sqref="C929">
    <cfRule type="cellIs" dxfId="31349" priority="2782" stopIfTrue="1" operator="equal">
      <formula>"1 Modify"</formula>
    </cfRule>
  </conditionalFormatting>
  <conditionalFormatting sqref="C929">
    <cfRule type="cellIs" dxfId="31348" priority="2783" stopIfTrue="1" operator="equal">
      <formula>"2 Add"</formula>
    </cfRule>
  </conditionalFormatting>
  <conditionalFormatting sqref="C929">
    <cfRule type="cellIs" dxfId="31347" priority="2784" stopIfTrue="1" operator="equal">
      <formula>"3 Delete"</formula>
    </cfRule>
  </conditionalFormatting>
  <conditionalFormatting sqref="C930">
    <cfRule type="cellIs" dxfId="31346" priority="2785" stopIfTrue="1" operator="equal">
      <formula>"1 Modify"</formula>
    </cfRule>
  </conditionalFormatting>
  <conditionalFormatting sqref="C930">
    <cfRule type="cellIs" dxfId="31345" priority="2786" stopIfTrue="1" operator="equal">
      <formula>"2 Add"</formula>
    </cfRule>
  </conditionalFormatting>
  <conditionalFormatting sqref="C930">
    <cfRule type="cellIs" dxfId="31344" priority="2787" stopIfTrue="1" operator="equal">
      <formula>"3 Delete"</formula>
    </cfRule>
  </conditionalFormatting>
  <conditionalFormatting sqref="C931">
    <cfRule type="cellIs" dxfId="31343" priority="2788" stopIfTrue="1" operator="equal">
      <formula>"1 Modify"</formula>
    </cfRule>
  </conditionalFormatting>
  <conditionalFormatting sqref="C931">
    <cfRule type="cellIs" dxfId="31342" priority="2789" stopIfTrue="1" operator="equal">
      <formula>"2 Add"</formula>
    </cfRule>
  </conditionalFormatting>
  <conditionalFormatting sqref="C931">
    <cfRule type="cellIs" dxfId="31341" priority="2790" stopIfTrue="1" operator="equal">
      <formula>"3 Delete"</formula>
    </cfRule>
  </conditionalFormatting>
  <conditionalFormatting sqref="C932">
    <cfRule type="cellIs" dxfId="31340" priority="2791" stopIfTrue="1" operator="equal">
      <formula>"1 Modify"</formula>
    </cfRule>
  </conditionalFormatting>
  <conditionalFormatting sqref="C932">
    <cfRule type="cellIs" dxfId="31339" priority="2792" stopIfTrue="1" operator="equal">
      <formula>"2 Add"</formula>
    </cfRule>
  </conditionalFormatting>
  <conditionalFormatting sqref="C932">
    <cfRule type="cellIs" dxfId="31338" priority="2793" stopIfTrue="1" operator="equal">
      <formula>"3 Delete"</formula>
    </cfRule>
  </conditionalFormatting>
  <conditionalFormatting sqref="C933">
    <cfRule type="cellIs" dxfId="31337" priority="2794" stopIfTrue="1" operator="equal">
      <formula>"1 Modify"</formula>
    </cfRule>
  </conditionalFormatting>
  <conditionalFormatting sqref="C933">
    <cfRule type="cellIs" dxfId="31336" priority="2795" stopIfTrue="1" operator="equal">
      <formula>"2 Add"</formula>
    </cfRule>
  </conditionalFormatting>
  <conditionalFormatting sqref="C933">
    <cfRule type="cellIs" dxfId="31335" priority="2796" stopIfTrue="1" operator="equal">
      <formula>"3 Delete"</formula>
    </cfRule>
  </conditionalFormatting>
  <conditionalFormatting sqref="C934">
    <cfRule type="cellIs" dxfId="31334" priority="2797" stopIfTrue="1" operator="equal">
      <formula>"1 Modify"</formula>
    </cfRule>
  </conditionalFormatting>
  <conditionalFormatting sqref="C934">
    <cfRule type="cellIs" dxfId="31333" priority="2798" stopIfTrue="1" operator="equal">
      <formula>"2 Add"</formula>
    </cfRule>
  </conditionalFormatting>
  <conditionalFormatting sqref="C934">
    <cfRule type="cellIs" dxfId="31332" priority="2799" stopIfTrue="1" operator="equal">
      <formula>"3 Delete"</formula>
    </cfRule>
  </conditionalFormatting>
  <conditionalFormatting sqref="C935">
    <cfRule type="cellIs" dxfId="31331" priority="2800" stopIfTrue="1" operator="equal">
      <formula>"1 Modify"</formula>
    </cfRule>
  </conditionalFormatting>
  <conditionalFormatting sqref="C935">
    <cfRule type="cellIs" dxfId="31330" priority="2801" stopIfTrue="1" operator="equal">
      <formula>"2 Add"</formula>
    </cfRule>
  </conditionalFormatting>
  <conditionalFormatting sqref="C935">
    <cfRule type="cellIs" dxfId="31329" priority="2802" stopIfTrue="1" operator="equal">
      <formula>"3 Delete"</formula>
    </cfRule>
  </conditionalFormatting>
  <conditionalFormatting sqref="C936">
    <cfRule type="cellIs" dxfId="31328" priority="2803" stopIfTrue="1" operator="equal">
      <formula>"1 Modify"</formula>
    </cfRule>
  </conditionalFormatting>
  <conditionalFormatting sqref="C936">
    <cfRule type="cellIs" dxfId="31327" priority="2804" stopIfTrue="1" operator="equal">
      <formula>"2 Add"</formula>
    </cfRule>
  </conditionalFormatting>
  <conditionalFormatting sqref="C936">
    <cfRule type="cellIs" dxfId="31326" priority="2805" stopIfTrue="1" operator="equal">
      <formula>"3 Delete"</formula>
    </cfRule>
  </conditionalFormatting>
  <conditionalFormatting sqref="C937">
    <cfRule type="cellIs" dxfId="31325" priority="2806" stopIfTrue="1" operator="equal">
      <formula>"1 Modify"</formula>
    </cfRule>
  </conditionalFormatting>
  <conditionalFormatting sqref="C937">
    <cfRule type="cellIs" dxfId="31324" priority="2807" stopIfTrue="1" operator="equal">
      <formula>"2 Add"</formula>
    </cfRule>
  </conditionalFormatting>
  <conditionalFormatting sqref="C937">
    <cfRule type="cellIs" dxfId="31323" priority="2808" stopIfTrue="1" operator="equal">
      <formula>"3 Delete"</formula>
    </cfRule>
  </conditionalFormatting>
  <conditionalFormatting sqref="C938">
    <cfRule type="cellIs" dxfId="31322" priority="2809" stopIfTrue="1" operator="equal">
      <formula>"1 Modify"</formula>
    </cfRule>
  </conditionalFormatting>
  <conditionalFormatting sqref="C938">
    <cfRule type="cellIs" dxfId="31321" priority="2810" stopIfTrue="1" operator="equal">
      <formula>"2 Add"</formula>
    </cfRule>
  </conditionalFormatting>
  <conditionalFormatting sqref="C938">
    <cfRule type="cellIs" dxfId="31320" priority="2811" stopIfTrue="1" operator="equal">
      <formula>"3 Delete"</formula>
    </cfRule>
  </conditionalFormatting>
  <conditionalFormatting sqref="C939">
    <cfRule type="cellIs" dxfId="31319" priority="2812" stopIfTrue="1" operator="equal">
      <formula>"1 Modify"</formula>
    </cfRule>
  </conditionalFormatting>
  <conditionalFormatting sqref="C939">
    <cfRule type="cellIs" dxfId="31318" priority="2813" stopIfTrue="1" operator="equal">
      <formula>"2 Add"</formula>
    </cfRule>
  </conditionalFormatting>
  <conditionalFormatting sqref="C939">
    <cfRule type="cellIs" dxfId="31317" priority="2814" stopIfTrue="1" operator="equal">
      <formula>"3 Delete"</formula>
    </cfRule>
  </conditionalFormatting>
  <conditionalFormatting sqref="C940">
    <cfRule type="cellIs" dxfId="31316" priority="2815" stopIfTrue="1" operator="equal">
      <formula>"1 Modify"</formula>
    </cfRule>
  </conditionalFormatting>
  <conditionalFormatting sqref="C940">
    <cfRule type="cellIs" dxfId="31315" priority="2816" stopIfTrue="1" operator="equal">
      <formula>"2 Add"</formula>
    </cfRule>
  </conditionalFormatting>
  <conditionalFormatting sqref="C940">
    <cfRule type="cellIs" dxfId="31314" priority="2817" stopIfTrue="1" operator="equal">
      <formula>"3 Delete"</formula>
    </cfRule>
  </conditionalFormatting>
  <conditionalFormatting sqref="C941">
    <cfRule type="cellIs" dxfId="31313" priority="2818" stopIfTrue="1" operator="equal">
      <formula>"1 Modify"</formula>
    </cfRule>
  </conditionalFormatting>
  <conditionalFormatting sqref="C941">
    <cfRule type="cellIs" dxfId="31312" priority="2819" stopIfTrue="1" operator="equal">
      <formula>"2 Add"</formula>
    </cfRule>
  </conditionalFormatting>
  <conditionalFormatting sqref="C941">
    <cfRule type="cellIs" dxfId="31311" priority="2820" stopIfTrue="1" operator="equal">
      <formula>"3 Delete"</formula>
    </cfRule>
  </conditionalFormatting>
  <conditionalFormatting sqref="C942">
    <cfRule type="cellIs" dxfId="31310" priority="2821" stopIfTrue="1" operator="equal">
      <formula>"1 Modify"</formula>
    </cfRule>
  </conditionalFormatting>
  <conditionalFormatting sqref="C942">
    <cfRule type="cellIs" dxfId="31309" priority="2822" stopIfTrue="1" operator="equal">
      <formula>"2 Add"</formula>
    </cfRule>
  </conditionalFormatting>
  <conditionalFormatting sqref="C942">
    <cfRule type="cellIs" dxfId="31308" priority="2823" stopIfTrue="1" operator="equal">
      <formula>"3 Delete"</formula>
    </cfRule>
  </conditionalFormatting>
  <conditionalFormatting sqref="C943">
    <cfRule type="cellIs" dxfId="31307" priority="2824" stopIfTrue="1" operator="equal">
      <formula>"1 Modify"</formula>
    </cfRule>
  </conditionalFormatting>
  <conditionalFormatting sqref="C943">
    <cfRule type="cellIs" dxfId="31306" priority="2825" stopIfTrue="1" operator="equal">
      <formula>"2 Add"</formula>
    </cfRule>
  </conditionalFormatting>
  <conditionalFormatting sqref="C943">
    <cfRule type="cellIs" dxfId="31305" priority="2826" stopIfTrue="1" operator="equal">
      <formula>"3 Delete"</formula>
    </cfRule>
  </conditionalFormatting>
  <conditionalFormatting sqref="C944">
    <cfRule type="cellIs" dxfId="31304" priority="2827" stopIfTrue="1" operator="equal">
      <formula>"1 Modify"</formula>
    </cfRule>
  </conditionalFormatting>
  <conditionalFormatting sqref="C944">
    <cfRule type="cellIs" dxfId="31303" priority="2828" stopIfTrue="1" operator="equal">
      <formula>"2 Add"</formula>
    </cfRule>
  </conditionalFormatting>
  <conditionalFormatting sqref="C944">
    <cfRule type="cellIs" dxfId="31302" priority="2829" stopIfTrue="1" operator="equal">
      <formula>"3 Delete"</formula>
    </cfRule>
  </conditionalFormatting>
  <conditionalFormatting sqref="C945">
    <cfRule type="cellIs" dxfId="31301" priority="2830" stopIfTrue="1" operator="equal">
      <formula>"1 Modify"</formula>
    </cfRule>
  </conditionalFormatting>
  <conditionalFormatting sqref="C945">
    <cfRule type="cellIs" dxfId="31300" priority="2831" stopIfTrue="1" operator="equal">
      <formula>"2 Add"</formula>
    </cfRule>
  </conditionalFormatting>
  <conditionalFormatting sqref="C945">
    <cfRule type="cellIs" dxfId="31299" priority="2832" stopIfTrue="1" operator="equal">
      <formula>"3 Delete"</formula>
    </cfRule>
  </conditionalFormatting>
  <conditionalFormatting sqref="C946">
    <cfRule type="cellIs" dxfId="31298" priority="2833" stopIfTrue="1" operator="equal">
      <formula>"1 Modify"</formula>
    </cfRule>
  </conditionalFormatting>
  <conditionalFormatting sqref="C946">
    <cfRule type="cellIs" dxfId="31297" priority="2834" stopIfTrue="1" operator="equal">
      <formula>"2 Add"</formula>
    </cfRule>
  </conditionalFormatting>
  <conditionalFormatting sqref="C946">
    <cfRule type="cellIs" dxfId="31296" priority="2835" stopIfTrue="1" operator="equal">
      <formula>"3 Delete"</formula>
    </cfRule>
  </conditionalFormatting>
  <conditionalFormatting sqref="C947">
    <cfRule type="cellIs" dxfId="31295" priority="2836" stopIfTrue="1" operator="equal">
      <formula>"1 Modify"</formula>
    </cfRule>
  </conditionalFormatting>
  <conditionalFormatting sqref="C947">
    <cfRule type="cellIs" dxfId="31294" priority="2837" stopIfTrue="1" operator="equal">
      <formula>"2 Add"</formula>
    </cfRule>
  </conditionalFormatting>
  <conditionalFormatting sqref="C947">
    <cfRule type="cellIs" dxfId="31293" priority="2838" stopIfTrue="1" operator="equal">
      <formula>"3 Delete"</formula>
    </cfRule>
  </conditionalFormatting>
  <conditionalFormatting sqref="C948">
    <cfRule type="cellIs" dxfId="31292" priority="2839" stopIfTrue="1" operator="equal">
      <formula>"1 Modify"</formula>
    </cfRule>
  </conditionalFormatting>
  <conditionalFormatting sqref="C948">
    <cfRule type="cellIs" dxfId="31291" priority="2840" stopIfTrue="1" operator="equal">
      <formula>"2 Add"</formula>
    </cfRule>
  </conditionalFormatting>
  <conditionalFormatting sqref="C948">
    <cfRule type="cellIs" dxfId="31290" priority="2841" stopIfTrue="1" operator="equal">
      <formula>"3 Delete"</formula>
    </cfRule>
  </conditionalFormatting>
  <conditionalFormatting sqref="C949">
    <cfRule type="cellIs" dxfId="31289" priority="2842" stopIfTrue="1" operator="equal">
      <formula>"1 Modify"</formula>
    </cfRule>
  </conditionalFormatting>
  <conditionalFormatting sqref="C949">
    <cfRule type="cellIs" dxfId="31288" priority="2843" stopIfTrue="1" operator="equal">
      <formula>"2 Add"</formula>
    </cfRule>
  </conditionalFormatting>
  <conditionalFormatting sqref="C949">
    <cfRule type="cellIs" dxfId="31287" priority="2844" stopIfTrue="1" operator="equal">
      <formula>"3 Delete"</formula>
    </cfRule>
  </conditionalFormatting>
  <conditionalFormatting sqref="C950">
    <cfRule type="cellIs" dxfId="31286" priority="2845" stopIfTrue="1" operator="equal">
      <formula>"1 Modify"</formula>
    </cfRule>
  </conditionalFormatting>
  <conditionalFormatting sqref="C950">
    <cfRule type="cellIs" dxfId="31285" priority="2846" stopIfTrue="1" operator="equal">
      <formula>"2 Add"</formula>
    </cfRule>
  </conditionalFormatting>
  <conditionalFormatting sqref="C950">
    <cfRule type="cellIs" dxfId="31284" priority="2847" stopIfTrue="1" operator="equal">
      <formula>"3 Delete"</formula>
    </cfRule>
  </conditionalFormatting>
  <conditionalFormatting sqref="C951">
    <cfRule type="cellIs" dxfId="31283" priority="2848" stopIfTrue="1" operator="equal">
      <formula>"1 Modify"</formula>
    </cfRule>
  </conditionalFormatting>
  <conditionalFormatting sqref="C951">
    <cfRule type="cellIs" dxfId="31282" priority="2849" stopIfTrue="1" operator="equal">
      <formula>"2 Add"</formula>
    </cfRule>
  </conditionalFormatting>
  <conditionalFormatting sqref="C951">
    <cfRule type="cellIs" dxfId="31281" priority="2850" stopIfTrue="1" operator="equal">
      <formula>"3 Delete"</formula>
    </cfRule>
  </conditionalFormatting>
  <conditionalFormatting sqref="C952">
    <cfRule type="cellIs" dxfId="31280" priority="2851" stopIfTrue="1" operator="equal">
      <formula>"1 Modify"</formula>
    </cfRule>
  </conditionalFormatting>
  <conditionalFormatting sqref="C952">
    <cfRule type="cellIs" dxfId="31279" priority="2852" stopIfTrue="1" operator="equal">
      <formula>"2 Add"</formula>
    </cfRule>
  </conditionalFormatting>
  <conditionalFormatting sqref="C952">
    <cfRule type="cellIs" dxfId="31278" priority="2853" stopIfTrue="1" operator="equal">
      <formula>"3 Delete"</formula>
    </cfRule>
  </conditionalFormatting>
  <conditionalFormatting sqref="C953">
    <cfRule type="cellIs" dxfId="31277" priority="2854" stopIfTrue="1" operator="equal">
      <formula>"1 Modify"</formula>
    </cfRule>
  </conditionalFormatting>
  <conditionalFormatting sqref="C953">
    <cfRule type="cellIs" dxfId="31276" priority="2855" stopIfTrue="1" operator="equal">
      <formula>"2 Add"</formula>
    </cfRule>
  </conditionalFormatting>
  <conditionalFormatting sqref="C953">
    <cfRule type="cellIs" dxfId="31275" priority="2856" stopIfTrue="1" operator="equal">
      <formula>"3 Delete"</formula>
    </cfRule>
  </conditionalFormatting>
  <conditionalFormatting sqref="C954">
    <cfRule type="cellIs" dxfId="31274" priority="2857" stopIfTrue="1" operator="equal">
      <formula>"1 Modify"</formula>
    </cfRule>
  </conditionalFormatting>
  <conditionalFormatting sqref="C954">
    <cfRule type="cellIs" dxfId="31273" priority="2858" stopIfTrue="1" operator="equal">
      <formula>"2 Add"</formula>
    </cfRule>
  </conditionalFormatting>
  <conditionalFormatting sqref="C954">
    <cfRule type="cellIs" dxfId="31272" priority="2859" stopIfTrue="1" operator="equal">
      <formula>"3 Delete"</formula>
    </cfRule>
  </conditionalFormatting>
  <conditionalFormatting sqref="C955">
    <cfRule type="cellIs" dxfId="31271" priority="2860" stopIfTrue="1" operator="equal">
      <formula>"1 Modify"</formula>
    </cfRule>
  </conditionalFormatting>
  <conditionalFormatting sqref="C955">
    <cfRule type="cellIs" dxfId="31270" priority="2861" stopIfTrue="1" operator="equal">
      <formula>"2 Add"</formula>
    </cfRule>
  </conditionalFormatting>
  <conditionalFormatting sqref="C955">
    <cfRule type="cellIs" dxfId="31269" priority="2862" stopIfTrue="1" operator="equal">
      <formula>"3 Delete"</formula>
    </cfRule>
  </conditionalFormatting>
  <conditionalFormatting sqref="C956">
    <cfRule type="cellIs" dxfId="31268" priority="2863" stopIfTrue="1" operator="equal">
      <formula>"1 Modify"</formula>
    </cfRule>
  </conditionalFormatting>
  <conditionalFormatting sqref="C956">
    <cfRule type="cellIs" dxfId="31267" priority="2864" stopIfTrue="1" operator="equal">
      <formula>"2 Add"</formula>
    </cfRule>
  </conditionalFormatting>
  <conditionalFormatting sqref="C956">
    <cfRule type="cellIs" dxfId="31266" priority="2865" stopIfTrue="1" operator="equal">
      <formula>"3 Delete"</formula>
    </cfRule>
  </conditionalFormatting>
  <conditionalFormatting sqref="C957">
    <cfRule type="cellIs" dxfId="31265" priority="2866" stopIfTrue="1" operator="equal">
      <formula>"1 Modify"</formula>
    </cfRule>
  </conditionalFormatting>
  <conditionalFormatting sqref="C957">
    <cfRule type="cellIs" dxfId="31264" priority="2867" stopIfTrue="1" operator="equal">
      <formula>"2 Add"</formula>
    </cfRule>
  </conditionalFormatting>
  <conditionalFormatting sqref="C957">
    <cfRule type="cellIs" dxfId="31263" priority="2868" stopIfTrue="1" operator="equal">
      <formula>"3 Delete"</formula>
    </cfRule>
  </conditionalFormatting>
  <conditionalFormatting sqref="C958">
    <cfRule type="cellIs" dxfId="31262" priority="2869" stopIfTrue="1" operator="equal">
      <formula>"1 Modify"</formula>
    </cfRule>
  </conditionalFormatting>
  <conditionalFormatting sqref="C958">
    <cfRule type="cellIs" dxfId="31261" priority="2870" stopIfTrue="1" operator="equal">
      <formula>"2 Add"</formula>
    </cfRule>
  </conditionalFormatting>
  <conditionalFormatting sqref="C958">
    <cfRule type="cellIs" dxfId="31260" priority="2871" stopIfTrue="1" operator="equal">
      <formula>"3 Delete"</formula>
    </cfRule>
  </conditionalFormatting>
  <conditionalFormatting sqref="C959">
    <cfRule type="cellIs" dxfId="31259" priority="2872" stopIfTrue="1" operator="equal">
      <formula>"1 Modify"</formula>
    </cfRule>
  </conditionalFormatting>
  <conditionalFormatting sqref="C959">
    <cfRule type="cellIs" dxfId="31258" priority="2873" stopIfTrue="1" operator="equal">
      <formula>"2 Add"</formula>
    </cfRule>
  </conditionalFormatting>
  <conditionalFormatting sqref="C959">
    <cfRule type="cellIs" dxfId="31257" priority="2874" stopIfTrue="1" operator="equal">
      <formula>"3 Delete"</formula>
    </cfRule>
  </conditionalFormatting>
  <conditionalFormatting sqref="C960">
    <cfRule type="cellIs" dxfId="31256" priority="2875" stopIfTrue="1" operator="equal">
      <formula>"1 Modify"</formula>
    </cfRule>
  </conditionalFormatting>
  <conditionalFormatting sqref="C960">
    <cfRule type="cellIs" dxfId="31255" priority="2876" stopIfTrue="1" operator="equal">
      <formula>"2 Add"</formula>
    </cfRule>
  </conditionalFormatting>
  <conditionalFormatting sqref="C960">
    <cfRule type="cellIs" dxfId="31254" priority="2877" stopIfTrue="1" operator="equal">
      <formula>"3 Delete"</formula>
    </cfRule>
  </conditionalFormatting>
  <conditionalFormatting sqref="C961">
    <cfRule type="cellIs" dxfId="31253" priority="2878" stopIfTrue="1" operator="equal">
      <formula>"1 Modify"</formula>
    </cfRule>
  </conditionalFormatting>
  <conditionalFormatting sqref="C961">
    <cfRule type="cellIs" dxfId="31252" priority="2879" stopIfTrue="1" operator="equal">
      <formula>"2 Add"</formula>
    </cfRule>
  </conditionalFormatting>
  <conditionalFormatting sqref="C961">
    <cfRule type="cellIs" dxfId="31251" priority="2880" stopIfTrue="1" operator="equal">
      <formula>"3 Delete"</formula>
    </cfRule>
  </conditionalFormatting>
  <conditionalFormatting sqref="C962">
    <cfRule type="cellIs" dxfId="31250" priority="2881" stopIfTrue="1" operator="equal">
      <formula>"1 Modify"</formula>
    </cfRule>
  </conditionalFormatting>
  <conditionalFormatting sqref="C962">
    <cfRule type="cellIs" dxfId="31249" priority="2882" stopIfTrue="1" operator="equal">
      <formula>"2 Add"</formula>
    </cfRule>
  </conditionalFormatting>
  <conditionalFormatting sqref="C962">
    <cfRule type="cellIs" dxfId="31248" priority="2883" stopIfTrue="1" operator="equal">
      <formula>"3 Delete"</formula>
    </cfRule>
  </conditionalFormatting>
  <conditionalFormatting sqref="C963">
    <cfRule type="cellIs" dxfId="31247" priority="2884" stopIfTrue="1" operator="equal">
      <formula>"1 Modify"</formula>
    </cfRule>
  </conditionalFormatting>
  <conditionalFormatting sqref="C963">
    <cfRule type="cellIs" dxfId="31246" priority="2885" stopIfTrue="1" operator="equal">
      <formula>"2 Add"</formula>
    </cfRule>
  </conditionalFormatting>
  <conditionalFormatting sqref="C963">
    <cfRule type="cellIs" dxfId="31245" priority="2886" stopIfTrue="1" operator="equal">
      <formula>"3 Delete"</formula>
    </cfRule>
  </conditionalFormatting>
  <conditionalFormatting sqref="C964">
    <cfRule type="cellIs" dxfId="31244" priority="2887" stopIfTrue="1" operator="equal">
      <formula>"1 Modify"</formula>
    </cfRule>
  </conditionalFormatting>
  <conditionalFormatting sqref="C964">
    <cfRule type="cellIs" dxfId="31243" priority="2888" stopIfTrue="1" operator="equal">
      <formula>"2 Add"</formula>
    </cfRule>
  </conditionalFormatting>
  <conditionalFormatting sqref="C964">
    <cfRule type="cellIs" dxfId="31242" priority="2889" stopIfTrue="1" operator="equal">
      <formula>"3 Delete"</formula>
    </cfRule>
  </conditionalFormatting>
  <conditionalFormatting sqref="C965">
    <cfRule type="cellIs" dxfId="31241" priority="2890" stopIfTrue="1" operator="equal">
      <formula>"1 Modify"</formula>
    </cfRule>
  </conditionalFormatting>
  <conditionalFormatting sqref="C965">
    <cfRule type="cellIs" dxfId="31240" priority="2891" stopIfTrue="1" operator="equal">
      <formula>"2 Add"</formula>
    </cfRule>
  </conditionalFormatting>
  <conditionalFormatting sqref="C965">
    <cfRule type="cellIs" dxfId="31239" priority="2892" stopIfTrue="1" operator="equal">
      <formula>"3 Delete"</formula>
    </cfRule>
  </conditionalFormatting>
  <conditionalFormatting sqref="C966">
    <cfRule type="cellIs" dxfId="31238" priority="2893" stopIfTrue="1" operator="equal">
      <formula>"1 Modify"</formula>
    </cfRule>
  </conditionalFormatting>
  <conditionalFormatting sqref="C966">
    <cfRule type="cellIs" dxfId="31237" priority="2894" stopIfTrue="1" operator="equal">
      <formula>"2 Add"</formula>
    </cfRule>
  </conditionalFormatting>
  <conditionalFormatting sqref="C966">
    <cfRule type="cellIs" dxfId="31236" priority="2895" stopIfTrue="1" operator="equal">
      <formula>"3 Delete"</formula>
    </cfRule>
  </conditionalFormatting>
  <conditionalFormatting sqref="C967">
    <cfRule type="cellIs" dxfId="31235" priority="2896" stopIfTrue="1" operator="equal">
      <formula>"1 Modify"</formula>
    </cfRule>
  </conditionalFormatting>
  <conditionalFormatting sqref="C967">
    <cfRule type="cellIs" dxfId="31234" priority="2897" stopIfTrue="1" operator="equal">
      <formula>"2 Add"</formula>
    </cfRule>
  </conditionalFormatting>
  <conditionalFormatting sqref="C967">
    <cfRule type="cellIs" dxfId="31233" priority="2898" stopIfTrue="1" operator="equal">
      <formula>"3 Delete"</formula>
    </cfRule>
  </conditionalFormatting>
  <conditionalFormatting sqref="C968">
    <cfRule type="cellIs" dxfId="31232" priority="2899" stopIfTrue="1" operator="equal">
      <formula>"1 Modify"</formula>
    </cfRule>
  </conditionalFormatting>
  <conditionalFormatting sqref="C968">
    <cfRule type="cellIs" dxfId="31231" priority="2900" stopIfTrue="1" operator="equal">
      <formula>"2 Add"</formula>
    </cfRule>
  </conditionalFormatting>
  <conditionalFormatting sqref="C968">
    <cfRule type="cellIs" dxfId="31230" priority="2901" stopIfTrue="1" operator="equal">
      <formula>"3 Delete"</formula>
    </cfRule>
  </conditionalFormatting>
  <conditionalFormatting sqref="C969">
    <cfRule type="cellIs" dxfId="31229" priority="2902" stopIfTrue="1" operator="equal">
      <formula>"1 Modify"</formula>
    </cfRule>
  </conditionalFormatting>
  <conditionalFormatting sqref="C969">
    <cfRule type="cellIs" dxfId="31228" priority="2903" stopIfTrue="1" operator="equal">
      <formula>"2 Add"</formula>
    </cfRule>
  </conditionalFormatting>
  <conditionalFormatting sqref="C969">
    <cfRule type="cellIs" dxfId="31227" priority="2904" stopIfTrue="1" operator="equal">
      <formula>"3 Delete"</formula>
    </cfRule>
  </conditionalFormatting>
  <conditionalFormatting sqref="C970">
    <cfRule type="cellIs" dxfId="31226" priority="2905" stopIfTrue="1" operator="equal">
      <formula>"1 Modify"</formula>
    </cfRule>
  </conditionalFormatting>
  <conditionalFormatting sqref="C970">
    <cfRule type="cellIs" dxfId="31225" priority="2906" stopIfTrue="1" operator="equal">
      <formula>"2 Add"</formula>
    </cfRule>
  </conditionalFormatting>
  <conditionalFormatting sqref="C970">
    <cfRule type="cellIs" dxfId="31224" priority="2907" stopIfTrue="1" operator="equal">
      <formula>"3 Delete"</formula>
    </cfRule>
  </conditionalFormatting>
  <conditionalFormatting sqref="C971">
    <cfRule type="cellIs" dxfId="31223" priority="2908" stopIfTrue="1" operator="equal">
      <formula>"1 Modify"</formula>
    </cfRule>
  </conditionalFormatting>
  <conditionalFormatting sqref="C971">
    <cfRule type="cellIs" dxfId="31222" priority="2909" stopIfTrue="1" operator="equal">
      <formula>"2 Add"</formula>
    </cfRule>
  </conditionalFormatting>
  <conditionalFormatting sqref="C971">
    <cfRule type="cellIs" dxfId="31221" priority="2910" stopIfTrue="1" operator="equal">
      <formula>"3 Delete"</formula>
    </cfRule>
  </conditionalFormatting>
  <conditionalFormatting sqref="C972">
    <cfRule type="cellIs" dxfId="31220" priority="2911" stopIfTrue="1" operator="equal">
      <formula>"1 Modify"</formula>
    </cfRule>
  </conditionalFormatting>
  <conditionalFormatting sqref="C972">
    <cfRule type="cellIs" dxfId="31219" priority="2912" stopIfTrue="1" operator="equal">
      <formula>"2 Add"</formula>
    </cfRule>
  </conditionalFormatting>
  <conditionalFormatting sqref="C972">
    <cfRule type="cellIs" dxfId="31218" priority="2913" stopIfTrue="1" operator="equal">
      <formula>"3 Delete"</formula>
    </cfRule>
  </conditionalFormatting>
  <conditionalFormatting sqref="C973">
    <cfRule type="cellIs" dxfId="31217" priority="2914" stopIfTrue="1" operator="equal">
      <formula>"1 Modify"</formula>
    </cfRule>
  </conditionalFormatting>
  <conditionalFormatting sqref="C973">
    <cfRule type="cellIs" dxfId="31216" priority="2915" stopIfTrue="1" operator="equal">
      <formula>"2 Add"</formula>
    </cfRule>
  </conditionalFormatting>
  <conditionalFormatting sqref="C973">
    <cfRule type="cellIs" dxfId="31215" priority="2916" stopIfTrue="1" operator="equal">
      <formula>"3 Delete"</formula>
    </cfRule>
  </conditionalFormatting>
  <conditionalFormatting sqref="C974">
    <cfRule type="cellIs" dxfId="31214" priority="2917" stopIfTrue="1" operator="equal">
      <formula>"1 Modify"</formula>
    </cfRule>
  </conditionalFormatting>
  <conditionalFormatting sqref="C974">
    <cfRule type="cellIs" dxfId="31213" priority="2918" stopIfTrue="1" operator="equal">
      <formula>"2 Add"</formula>
    </cfRule>
  </conditionalFormatting>
  <conditionalFormatting sqref="C974">
    <cfRule type="cellIs" dxfId="31212" priority="2919" stopIfTrue="1" operator="equal">
      <formula>"3 Delete"</formula>
    </cfRule>
  </conditionalFormatting>
  <conditionalFormatting sqref="C975">
    <cfRule type="cellIs" dxfId="31211" priority="2920" stopIfTrue="1" operator="equal">
      <formula>"1 Modify"</formula>
    </cfRule>
  </conditionalFormatting>
  <conditionalFormatting sqref="C975">
    <cfRule type="cellIs" dxfId="31210" priority="2921" stopIfTrue="1" operator="equal">
      <formula>"2 Add"</formula>
    </cfRule>
  </conditionalFormatting>
  <conditionalFormatting sqref="C975">
    <cfRule type="cellIs" dxfId="31209" priority="2922" stopIfTrue="1" operator="equal">
      <formula>"3 Delete"</formula>
    </cfRule>
  </conditionalFormatting>
  <conditionalFormatting sqref="C976">
    <cfRule type="cellIs" dxfId="31208" priority="2923" stopIfTrue="1" operator="equal">
      <formula>"1 Modify"</formula>
    </cfRule>
  </conditionalFormatting>
  <conditionalFormatting sqref="C976">
    <cfRule type="cellIs" dxfId="31207" priority="2924" stopIfTrue="1" operator="equal">
      <formula>"2 Add"</formula>
    </cfRule>
  </conditionalFormatting>
  <conditionalFormatting sqref="C976">
    <cfRule type="cellIs" dxfId="31206" priority="2925" stopIfTrue="1" operator="equal">
      <formula>"3 Delete"</formula>
    </cfRule>
  </conditionalFormatting>
  <conditionalFormatting sqref="C977">
    <cfRule type="cellIs" dxfId="31205" priority="2926" stopIfTrue="1" operator="equal">
      <formula>"1 Modify"</formula>
    </cfRule>
  </conditionalFormatting>
  <conditionalFormatting sqref="C977">
    <cfRule type="cellIs" dxfId="31204" priority="2927" stopIfTrue="1" operator="equal">
      <formula>"2 Add"</formula>
    </cfRule>
  </conditionalFormatting>
  <conditionalFormatting sqref="C977">
    <cfRule type="cellIs" dxfId="31203" priority="2928" stopIfTrue="1" operator="equal">
      <formula>"3 Delete"</formula>
    </cfRule>
  </conditionalFormatting>
  <conditionalFormatting sqref="C978">
    <cfRule type="cellIs" dxfId="31202" priority="2929" stopIfTrue="1" operator="equal">
      <formula>"1 Modify"</formula>
    </cfRule>
  </conditionalFormatting>
  <conditionalFormatting sqref="C978">
    <cfRule type="cellIs" dxfId="31201" priority="2930" stopIfTrue="1" operator="equal">
      <formula>"2 Add"</formula>
    </cfRule>
  </conditionalFormatting>
  <conditionalFormatting sqref="C978">
    <cfRule type="cellIs" dxfId="31200" priority="2931" stopIfTrue="1" operator="equal">
      <formula>"3 Delete"</formula>
    </cfRule>
  </conditionalFormatting>
  <conditionalFormatting sqref="C979">
    <cfRule type="cellIs" dxfId="31199" priority="2932" stopIfTrue="1" operator="equal">
      <formula>"1 Modify"</formula>
    </cfRule>
  </conditionalFormatting>
  <conditionalFormatting sqref="C979">
    <cfRule type="cellIs" dxfId="31198" priority="2933" stopIfTrue="1" operator="equal">
      <formula>"2 Add"</formula>
    </cfRule>
  </conditionalFormatting>
  <conditionalFormatting sqref="C979">
    <cfRule type="cellIs" dxfId="31197" priority="2934" stopIfTrue="1" operator="equal">
      <formula>"3 Delete"</formula>
    </cfRule>
  </conditionalFormatting>
  <conditionalFormatting sqref="C980">
    <cfRule type="cellIs" dxfId="31196" priority="2935" stopIfTrue="1" operator="equal">
      <formula>"1 Modify"</formula>
    </cfRule>
  </conditionalFormatting>
  <conditionalFormatting sqref="C980">
    <cfRule type="cellIs" dxfId="31195" priority="2936" stopIfTrue="1" operator="equal">
      <formula>"2 Add"</formula>
    </cfRule>
  </conditionalFormatting>
  <conditionalFormatting sqref="C980">
    <cfRule type="cellIs" dxfId="31194" priority="2937" stopIfTrue="1" operator="equal">
      <formula>"3 Delete"</formula>
    </cfRule>
  </conditionalFormatting>
  <conditionalFormatting sqref="C981">
    <cfRule type="cellIs" dxfId="31193" priority="2938" stopIfTrue="1" operator="equal">
      <formula>"1 Modify"</formula>
    </cfRule>
  </conditionalFormatting>
  <conditionalFormatting sqref="C981">
    <cfRule type="cellIs" dxfId="31192" priority="2939" stopIfTrue="1" operator="equal">
      <formula>"2 Add"</formula>
    </cfRule>
  </conditionalFormatting>
  <conditionalFormatting sqref="C981">
    <cfRule type="cellIs" dxfId="31191" priority="2940" stopIfTrue="1" operator="equal">
      <formula>"3 Delete"</formula>
    </cfRule>
  </conditionalFormatting>
  <conditionalFormatting sqref="C982">
    <cfRule type="cellIs" dxfId="31190" priority="2941" stopIfTrue="1" operator="equal">
      <formula>"1 Modify"</formula>
    </cfRule>
  </conditionalFormatting>
  <conditionalFormatting sqref="C982">
    <cfRule type="cellIs" dxfId="31189" priority="2942" stopIfTrue="1" operator="equal">
      <formula>"2 Add"</formula>
    </cfRule>
  </conditionalFormatting>
  <conditionalFormatting sqref="C982">
    <cfRule type="cellIs" dxfId="31188" priority="2943" stopIfTrue="1" operator="equal">
      <formula>"3 Delete"</formula>
    </cfRule>
  </conditionalFormatting>
  <conditionalFormatting sqref="C983">
    <cfRule type="cellIs" dxfId="31187" priority="2944" stopIfTrue="1" operator="equal">
      <formula>"1 Modify"</formula>
    </cfRule>
  </conditionalFormatting>
  <conditionalFormatting sqref="C983">
    <cfRule type="cellIs" dxfId="31186" priority="2945" stopIfTrue="1" operator="equal">
      <formula>"2 Add"</formula>
    </cfRule>
  </conditionalFormatting>
  <conditionalFormatting sqref="C983">
    <cfRule type="cellIs" dxfId="31185" priority="2946" stopIfTrue="1" operator="equal">
      <formula>"3 Delete"</formula>
    </cfRule>
  </conditionalFormatting>
  <conditionalFormatting sqref="C984">
    <cfRule type="cellIs" dxfId="31184" priority="2947" stopIfTrue="1" operator="equal">
      <formula>"1 Modify"</formula>
    </cfRule>
  </conditionalFormatting>
  <conditionalFormatting sqref="C984">
    <cfRule type="cellIs" dxfId="31183" priority="2948" stopIfTrue="1" operator="equal">
      <formula>"2 Add"</formula>
    </cfRule>
  </conditionalFormatting>
  <conditionalFormatting sqref="C984">
    <cfRule type="cellIs" dxfId="31182" priority="2949" stopIfTrue="1" operator="equal">
      <formula>"3 Delete"</formula>
    </cfRule>
  </conditionalFormatting>
  <conditionalFormatting sqref="C985">
    <cfRule type="cellIs" dxfId="31181" priority="2950" stopIfTrue="1" operator="equal">
      <formula>"1 Modify"</formula>
    </cfRule>
  </conditionalFormatting>
  <conditionalFormatting sqref="C985">
    <cfRule type="cellIs" dxfId="31180" priority="2951" stopIfTrue="1" operator="equal">
      <formula>"2 Add"</formula>
    </cfRule>
  </conditionalFormatting>
  <conditionalFormatting sqref="C985">
    <cfRule type="cellIs" dxfId="31179" priority="2952" stopIfTrue="1" operator="equal">
      <formula>"3 Delete"</formula>
    </cfRule>
  </conditionalFormatting>
  <conditionalFormatting sqref="C986">
    <cfRule type="cellIs" dxfId="31178" priority="2953" stopIfTrue="1" operator="equal">
      <formula>"1 Modify"</formula>
    </cfRule>
  </conditionalFormatting>
  <conditionalFormatting sqref="C986">
    <cfRule type="cellIs" dxfId="31177" priority="2954" stopIfTrue="1" operator="equal">
      <formula>"2 Add"</formula>
    </cfRule>
  </conditionalFormatting>
  <conditionalFormatting sqref="C986">
    <cfRule type="cellIs" dxfId="31176" priority="2955" stopIfTrue="1" operator="equal">
      <formula>"3 Delete"</formula>
    </cfRule>
  </conditionalFormatting>
  <conditionalFormatting sqref="C987">
    <cfRule type="cellIs" dxfId="31175" priority="2956" stopIfTrue="1" operator="equal">
      <formula>"1 Modify"</formula>
    </cfRule>
  </conditionalFormatting>
  <conditionalFormatting sqref="C987">
    <cfRule type="cellIs" dxfId="31174" priority="2957" stopIfTrue="1" operator="equal">
      <formula>"2 Add"</formula>
    </cfRule>
  </conditionalFormatting>
  <conditionalFormatting sqref="C987">
    <cfRule type="cellIs" dxfId="31173" priority="2958" stopIfTrue="1" operator="equal">
      <formula>"3 Delete"</formula>
    </cfRule>
  </conditionalFormatting>
  <conditionalFormatting sqref="C988">
    <cfRule type="cellIs" dxfId="31172" priority="2959" stopIfTrue="1" operator="equal">
      <formula>"1 Modify"</formula>
    </cfRule>
  </conditionalFormatting>
  <conditionalFormatting sqref="C988">
    <cfRule type="cellIs" dxfId="31171" priority="2960" stopIfTrue="1" operator="equal">
      <formula>"2 Add"</formula>
    </cfRule>
  </conditionalFormatting>
  <conditionalFormatting sqref="C988">
    <cfRule type="cellIs" dxfId="31170" priority="2961" stopIfTrue="1" operator="equal">
      <formula>"3 Delete"</formula>
    </cfRule>
  </conditionalFormatting>
  <conditionalFormatting sqref="C989">
    <cfRule type="cellIs" dxfId="31169" priority="2962" stopIfTrue="1" operator="equal">
      <formula>"1 Modify"</formula>
    </cfRule>
  </conditionalFormatting>
  <conditionalFormatting sqref="C989">
    <cfRule type="cellIs" dxfId="31168" priority="2963" stopIfTrue="1" operator="equal">
      <formula>"2 Add"</formula>
    </cfRule>
  </conditionalFormatting>
  <conditionalFormatting sqref="C989">
    <cfRule type="cellIs" dxfId="31167" priority="2964" stopIfTrue="1" operator="equal">
      <formula>"3 Delete"</formula>
    </cfRule>
  </conditionalFormatting>
  <conditionalFormatting sqref="C990">
    <cfRule type="cellIs" dxfId="31166" priority="2965" stopIfTrue="1" operator="equal">
      <formula>"1 Modify"</formula>
    </cfRule>
  </conditionalFormatting>
  <conditionalFormatting sqref="C990">
    <cfRule type="cellIs" dxfId="31165" priority="2966" stopIfTrue="1" operator="equal">
      <formula>"2 Add"</formula>
    </cfRule>
  </conditionalFormatting>
  <conditionalFormatting sqref="C990">
    <cfRule type="cellIs" dxfId="31164" priority="2967" stopIfTrue="1" operator="equal">
      <formula>"3 Delete"</formula>
    </cfRule>
  </conditionalFormatting>
  <conditionalFormatting sqref="C991">
    <cfRule type="cellIs" dxfId="31163" priority="2968" stopIfTrue="1" operator="equal">
      <formula>"1 Modify"</formula>
    </cfRule>
  </conditionalFormatting>
  <conditionalFormatting sqref="C991">
    <cfRule type="cellIs" dxfId="31162" priority="2969" stopIfTrue="1" operator="equal">
      <formula>"2 Add"</formula>
    </cfRule>
  </conditionalFormatting>
  <conditionalFormatting sqref="C991">
    <cfRule type="cellIs" dxfId="31161" priority="2970" stopIfTrue="1" operator="equal">
      <formula>"3 Delete"</formula>
    </cfRule>
  </conditionalFormatting>
  <conditionalFormatting sqref="C992">
    <cfRule type="cellIs" dxfId="31160" priority="2971" stopIfTrue="1" operator="equal">
      <formula>"1 Modify"</formula>
    </cfRule>
  </conditionalFormatting>
  <conditionalFormatting sqref="C992">
    <cfRule type="cellIs" dxfId="31159" priority="2972" stopIfTrue="1" operator="equal">
      <formula>"2 Add"</formula>
    </cfRule>
  </conditionalFormatting>
  <conditionalFormatting sqref="C992">
    <cfRule type="cellIs" dxfId="31158" priority="2973" stopIfTrue="1" operator="equal">
      <formula>"3 Delete"</formula>
    </cfRule>
  </conditionalFormatting>
  <conditionalFormatting sqref="C993">
    <cfRule type="cellIs" dxfId="31157" priority="2974" stopIfTrue="1" operator="equal">
      <formula>"1 Modify"</formula>
    </cfRule>
  </conditionalFormatting>
  <conditionalFormatting sqref="C993">
    <cfRule type="cellIs" dxfId="31156" priority="2975" stopIfTrue="1" operator="equal">
      <formula>"2 Add"</formula>
    </cfRule>
  </conditionalFormatting>
  <conditionalFormatting sqref="C993">
    <cfRule type="cellIs" dxfId="31155" priority="2976" stopIfTrue="1" operator="equal">
      <formula>"3 Delete"</formula>
    </cfRule>
  </conditionalFormatting>
  <conditionalFormatting sqref="C994">
    <cfRule type="cellIs" dxfId="31154" priority="2977" stopIfTrue="1" operator="equal">
      <formula>"1 Modify"</formula>
    </cfRule>
  </conditionalFormatting>
  <conditionalFormatting sqref="C994">
    <cfRule type="cellIs" dxfId="31153" priority="2978" stopIfTrue="1" operator="equal">
      <formula>"2 Add"</formula>
    </cfRule>
  </conditionalFormatting>
  <conditionalFormatting sqref="C994">
    <cfRule type="cellIs" dxfId="31152" priority="2979" stopIfTrue="1" operator="equal">
      <formula>"3 Delete"</formula>
    </cfRule>
  </conditionalFormatting>
  <conditionalFormatting sqref="C995">
    <cfRule type="cellIs" dxfId="31151" priority="2980" stopIfTrue="1" operator="equal">
      <formula>"1 Modify"</formula>
    </cfRule>
  </conditionalFormatting>
  <conditionalFormatting sqref="C995">
    <cfRule type="cellIs" dxfId="31150" priority="2981" stopIfTrue="1" operator="equal">
      <formula>"2 Add"</formula>
    </cfRule>
  </conditionalFormatting>
  <conditionalFormatting sqref="C995">
    <cfRule type="cellIs" dxfId="31149" priority="2982" stopIfTrue="1" operator="equal">
      <formula>"3 Delete"</formula>
    </cfRule>
  </conditionalFormatting>
  <conditionalFormatting sqref="C996">
    <cfRule type="cellIs" dxfId="31148" priority="2983" stopIfTrue="1" operator="equal">
      <formula>"1 Modify"</formula>
    </cfRule>
  </conditionalFormatting>
  <conditionalFormatting sqref="C996">
    <cfRule type="cellIs" dxfId="31147" priority="2984" stopIfTrue="1" operator="equal">
      <formula>"2 Add"</formula>
    </cfRule>
  </conditionalFormatting>
  <conditionalFormatting sqref="C996">
    <cfRule type="cellIs" dxfId="31146" priority="2985" stopIfTrue="1" operator="equal">
      <formula>"3 Delete"</formula>
    </cfRule>
  </conditionalFormatting>
  <conditionalFormatting sqref="C997">
    <cfRule type="cellIs" dxfId="31145" priority="2986" stopIfTrue="1" operator="equal">
      <formula>"1 Modify"</formula>
    </cfRule>
  </conditionalFormatting>
  <conditionalFormatting sqref="C997">
    <cfRule type="cellIs" dxfId="31144" priority="2987" stopIfTrue="1" operator="equal">
      <formula>"2 Add"</formula>
    </cfRule>
  </conditionalFormatting>
  <conditionalFormatting sqref="C997">
    <cfRule type="cellIs" dxfId="31143" priority="2988" stopIfTrue="1" operator="equal">
      <formula>"3 Delete"</formula>
    </cfRule>
  </conditionalFormatting>
  <conditionalFormatting sqref="C998">
    <cfRule type="cellIs" dxfId="31142" priority="2989" stopIfTrue="1" operator="equal">
      <formula>"1 Modify"</formula>
    </cfRule>
  </conditionalFormatting>
  <conditionalFormatting sqref="C998">
    <cfRule type="cellIs" dxfId="31141" priority="2990" stopIfTrue="1" operator="equal">
      <formula>"2 Add"</formula>
    </cfRule>
  </conditionalFormatting>
  <conditionalFormatting sqref="C998">
    <cfRule type="cellIs" dxfId="31140" priority="2991" stopIfTrue="1" operator="equal">
      <formula>"3 Delete"</formula>
    </cfRule>
  </conditionalFormatting>
  <conditionalFormatting sqref="C999">
    <cfRule type="cellIs" dxfId="31139" priority="2992" stopIfTrue="1" operator="equal">
      <formula>"1 Modify"</formula>
    </cfRule>
  </conditionalFormatting>
  <conditionalFormatting sqref="C999">
    <cfRule type="cellIs" dxfId="31138" priority="2993" stopIfTrue="1" operator="equal">
      <formula>"2 Add"</formula>
    </cfRule>
  </conditionalFormatting>
  <conditionalFormatting sqref="C999">
    <cfRule type="cellIs" dxfId="31137" priority="2994" stopIfTrue="1" operator="equal">
      <formula>"3 Delete"</formula>
    </cfRule>
  </conditionalFormatting>
  <conditionalFormatting sqref="C1000">
    <cfRule type="cellIs" dxfId="31136" priority="2995" stopIfTrue="1" operator="equal">
      <formula>"1 Modify"</formula>
    </cfRule>
  </conditionalFormatting>
  <conditionalFormatting sqref="C1000">
    <cfRule type="cellIs" dxfId="31135" priority="2996" stopIfTrue="1" operator="equal">
      <formula>"2 Add"</formula>
    </cfRule>
  </conditionalFormatting>
  <conditionalFormatting sqref="C1000">
    <cfRule type="cellIs" dxfId="31134" priority="2997" stopIfTrue="1" operator="equal">
      <formula>"3 Delete"</formula>
    </cfRule>
  </conditionalFormatting>
  <conditionalFormatting sqref="C1001">
    <cfRule type="cellIs" dxfId="31133" priority="2998" stopIfTrue="1" operator="equal">
      <formula>"1 Modify"</formula>
    </cfRule>
  </conditionalFormatting>
  <conditionalFormatting sqref="C1001">
    <cfRule type="cellIs" dxfId="31132" priority="2999" stopIfTrue="1" operator="equal">
      <formula>"2 Add"</formula>
    </cfRule>
  </conditionalFormatting>
  <conditionalFormatting sqref="C1001">
    <cfRule type="cellIs" dxfId="31131" priority="3000" stopIfTrue="1" operator="equal">
      <formula>"3 Delete"</formula>
    </cfRule>
  </conditionalFormatting>
  <conditionalFormatting sqref="C1002">
    <cfRule type="cellIs" dxfId="31130" priority="3001" stopIfTrue="1" operator="equal">
      <formula>"1 Modify"</formula>
    </cfRule>
  </conditionalFormatting>
  <conditionalFormatting sqref="C1002">
    <cfRule type="cellIs" dxfId="31129" priority="3002" stopIfTrue="1" operator="equal">
      <formula>"2 Add"</formula>
    </cfRule>
  </conditionalFormatting>
  <conditionalFormatting sqref="C1002">
    <cfRule type="cellIs" dxfId="31128" priority="3003" stopIfTrue="1" operator="equal">
      <formula>"3 Delete"</formula>
    </cfRule>
  </conditionalFormatting>
  <conditionalFormatting sqref="C1002">
    <cfRule type="cellIs" priority="3004" stopIfTrue="1" operator="equal">
      <formula>"1 Modify"</formula>
    </cfRule>
  </conditionalFormatting>
  <conditionalFormatting sqref="C1002">
    <cfRule type="cellIs" priority="3005" stopIfTrue="1" operator="equal">
      <formula>"2 Add"</formula>
    </cfRule>
  </conditionalFormatting>
  <conditionalFormatting sqref="C1002">
    <cfRule type="cellIs" priority="3006" stopIfTrue="1" operator="equal">
      <formula>"3 Delete"</formula>
    </cfRule>
  </conditionalFormatting>
  <conditionalFormatting sqref="C1003">
    <cfRule type="cellIs" dxfId="31127" priority="3007" stopIfTrue="1" operator="equal">
      <formula>"1 Modify"</formula>
    </cfRule>
  </conditionalFormatting>
  <conditionalFormatting sqref="C1003">
    <cfRule type="cellIs" dxfId="31126" priority="3008" stopIfTrue="1" operator="equal">
      <formula>"2 Add"</formula>
    </cfRule>
  </conditionalFormatting>
  <conditionalFormatting sqref="C1003">
    <cfRule type="cellIs" dxfId="31125" priority="3009" stopIfTrue="1" operator="equal">
      <formula>"3 Delete"</formula>
    </cfRule>
  </conditionalFormatting>
  <conditionalFormatting sqref="C1004">
    <cfRule type="cellIs" dxfId="31124" priority="3010" stopIfTrue="1" operator="equal">
      <formula>"1 Modify"</formula>
    </cfRule>
  </conditionalFormatting>
  <conditionalFormatting sqref="C1004">
    <cfRule type="cellIs" dxfId="31123" priority="3011" stopIfTrue="1" operator="equal">
      <formula>"2 Add"</formula>
    </cfRule>
  </conditionalFormatting>
  <conditionalFormatting sqref="C1004">
    <cfRule type="cellIs" dxfId="31122" priority="3012" stopIfTrue="1" operator="equal">
      <formula>"3 Delete"</formula>
    </cfRule>
  </conditionalFormatting>
  <conditionalFormatting sqref="C1005">
    <cfRule type="cellIs" dxfId="31121" priority="3013" stopIfTrue="1" operator="equal">
      <formula>"1 Modify"</formula>
    </cfRule>
  </conditionalFormatting>
  <conditionalFormatting sqref="C1005">
    <cfRule type="cellIs" dxfId="31120" priority="3014" stopIfTrue="1" operator="equal">
      <formula>"2 Add"</formula>
    </cfRule>
  </conditionalFormatting>
  <conditionalFormatting sqref="C1005">
    <cfRule type="cellIs" dxfId="31119" priority="3015" stopIfTrue="1" operator="equal">
      <formula>"3 Delete"</formula>
    </cfRule>
  </conditionalFormatting>
  <conditionalFormatting sqref="C1006">
    <cfRule type="cellIs" dxfId="31118" priority="3016" stopIfTrue="1" operator="equal">
      <formula>"1 Modify"</formula>
    </cfRule>
  </conditionalFormatting>
  <conditionalFormatting sqref="C1006">
    <cfRule type="cellIs" dxfId="31117" priority="3017" stopIfTrue="1" operator="equal">
      <formula>"2 Add"</formula>
    </cfRule>
  </conditionalFormatting>
  <conditionalFormatting sqref="C1006">
    <cfRule type="cellIs" dxfId="31116" priority="3018" stopIfTrue="1" operator="equal">
      <formula>"3 Delete"</formula>
    </cfRule>
  </conditionalFormatting>
  <conditionalFormatting sqref="C1007">
    <cfRule type="cellIs" dxfId="31115" priority="3019" stopIfTrue="1" operator="equal">
      <formula>"1 Modify"</formula>
    </cfRule>
  </conditionalFormatting>
  <conditionalFormatting sqref="C1007">
    <cfRule type="cellIs" dxfId="31114" priority="3020" stopIfTrue="1" operator="equal">
      <formula>"2 Add"</formula>
    </cfRule>
  </conditionalFormatting>
  <conditionalFormatting sqref="C1007">
    <cfRule type="cellIs" dxfId="31113" priority="3021" stopIfTrue="1" operator="equal">
      <formula>"3 Delete"</formula>
    </cfRule>
  </conditionalFormatting>
  <conditionalFormatting sqref="C1008">
    <cfRule type="cellIs" dxfId="31112" priority="3022" stopIfTrue="1" operator="equal">
      <formula>"1 Modify"</formula>
    </cfRule>
  </conditionalFormatting>
  <conditionalFormatting sqref="C1008">
    <cfRule type="cellIs" dxfId="31111" priority="3023" stopIfTrue="1" operator="equal">
      <formula>"2 Add"</formula>
    </cfRule>
  </conditionalFormatting>
  <conditionalFormatting sqref="C1008">
    <cfRule type="cellIs" dxfId="31110" priority="3024" stopIfTrue="1" operator="equal">
      <formula>"3 Delete"</formula>
    </cfRule>
  </conditionalFormatting>
  <conditionalFormatting sqref="C1009">
    <cfRule type="cellIs" dxfId="31109" priority="3025" stopIfTrue="1" operator="equal">
      <formula>"1 Modify"</formula>
    </cfRule>
  </conditionalFormatting>
  <conditionalFormatting sqref="C1009">
    <cfRule type="cellIs" dxfId="31108" priority="3026" stopIfTrue="1" operator="equal">
      <formula>"2 Add"</formula>
    </cfRule>
  </conditionalFormatting>
  <conditionalFormatting sqref="C1009">
    <cfRule type="cellIs" dxfId="31107" priority="3027" stopIfTrue="1" operator="equal">
      <formula>"3 Delete"</formula>
    </cfRule>
  </conditionalFormatting>
  <conditionalFormatting sqref="C1010">
    <cfRule type="cellIs" dxfId="31106" priority="3028" stopIfTrue="1" operator="equal">
      <formula>"1 Modify"</formula>
    </cfRule>
  </conditionalFormatting>
  <conditionalFormatting sqref="C1010">
    <cfRule type="cellIs" dxfId="31105" priority="3029" stopIfTrue="1" operator="equal">
      <formula>"2 Add"</formula>
    </cfRule>
  </conditionalFormatting>
  <conditionalFormatting sqref="C1010">
    <cfRule type="cellIs" dxfId="31104" priority="3030" stopIfTrue="1" operator="equal">
      <formula>"3 Delete"</formula>
    </cfRule>
  </conditionalFormatting>
  <conditionalFormatting sqref="C1011">
    <cfRule type="cellIs" dxfId="31103" priority="3031" stopIfTrue="1" operator="equal">
      <formula>"1 Modify"</formula>
    </cfRule>
  </conditionalFormatting>
  <conditionalFormatting sqref="C1011">
    <cfRule type="cellIs" dxfId="31102" priority="3032" stopIfTrue="1" operator="equal">
      <formula>"2 Add"</formula>
    </cfRule>
  </conditionalFormatting>
  <conditionalFormatting sqref="C1011">
    <cfRule type="cellIs" dxfId="31101" priority="3033" stopIfTrue="1" operator="equal">
      <formula>"3 Delete"</formula>
    </cfRule>
  </conditionalFormatting>
  <conditionalFormatting sqref="C1012">
    <cfRule type="cellIs" dxfId="31100" priority="3034" stopIfTrue="1" operator="equal">
      <formula>"1 Modify"</formula>
    </cfRule>
  </conditionalFormatting>
  <conditionalFormatting sqref="C1012">
    <cfRule type="cellIs" dxfId="31099" priority="3035" stopIfTrue="1" operator="equal">
      <formula>"2 Add"</formula>
    </cfRule>
  </conditionalFormatting>
  <conditionalFormatting sqref="C1012">
    <cfRule type="cellIs" dxfId="31098" priority="3036" stopIfTrue="1" operator="equal">
      <formula>"3 Delete"</formula>
    </cfRule>
  </conditionalFormatting>
  <conditionalFormatting sqref="C1013">
    <cfRule type="cellIs" dxfId="31097" priority="3037" stopIfTrue="1" operator="equal">
      <formula>"1 Modify"</formula>
    </cfRule>
  </conditionalFormatting>
  <conditionalFormatting sqref="C1013">
    <cfRule type="cellIs" dxfId="31096" priority="3038" stopIfTrue="1" operator="equal">
      <formula>"2 Add"</formula>
    </cfRule>
  </conditionalFormatting>
  <conditionalFormatting sqref="C1013">
    <cfRule type="cellIs" dxfId="31095" priority="3039" stopIfTrue="1" operator="equal">
      <formula>"3 Delete"</formula>
    </cfRule>
  </conditionalFormatting>
  <conditionalFormatting sqref="C1014">
    <cfRule type="cellIs" dxfId="31094" priority="3040" stopIfTrue="1" operator="equal">
      <formula>"1 Modify"</formula>
    </cfRule>
  </conditionalFormatting>
  <conditionalFormatting sqref="C1014">
    <cfRule type="cellIs" dxfId="31093" priority="3041" stopIfTrue="1" operator="equal">
      <formula>"2 Add"</formula>
    </cfRule>
  </conditionalFormatting>
  <conditionalFormatting sqref="C1014">
    <cfRule type="cellIs" dxfId="31092" priority="3042" stopIfTrue="1" operator="equal">
      <formula>"3 Delete"</formula>
    </cfRule>
  </conditionalFormatting>
  <conditionalFormatting sqref="C1015">
    <cfRule type="cellIs" dxfId="31091" priority="3043" stopIfTrue="1" operator="equal">
      <formula>"1 Modify"</formula>
    </cfRule>
  </conditionalFormatting>
  <conditionalFormatting sqref="C1015">
    <cfRule type="cellIs" dxfId="31090" priority="3044" stopIfTrue="1" operator="equal">
      <formula>"2 Add"</formula>
    </cfRule>
  </conditionalFormatting>
  <conditionalFormatting sqref="C1015">
    <cfRule type="cellIs" dxfId="31089" priority="3045" stopIfTrue="1" operator="equal">
      <formula>"3 Delete"</formula>
    </cfRule>
  </conditionalFormatting>
  <conditionalFormatting sqref="C1016">
    <cfRule type="cellIs" dxfId="31088" priority="3046" stopIfTrue="1" operator="equal">
      <formula>"1 Modify"</formula>
    </cfRule>
  </conditionalFormatting>
  <conditionalFormatting sqref="C1016">
    <cfRule type="cellIs" dxfId="31087" priority="3047" stopIfTrue="1" operator="equal">
      <formula>"2 Add"</formula>
    </cfRule>
  </conditionalFormatting>
  <conditionalFormatting sqref="C1016">
    <cfRule type="cellIs" dxfId="31086" priority="3048" stopIfTrue="1" operator="equal">
      <formula>"3 Delete"</formula>
    </cfRule>
  </conditionalFormatting>
  <conditionalFormatting sqref="C1017">
    <cfRule type="cellIs" dxfId="31085" priority="3049" stopIfTrue="1" operator="equal">
      <formula>"1 Modify"</formula>
    </cfRule>
  </conditionalFormatting>
  <conditionalFormatting sqref="C1017">
    <cfRule type="cellIs" dxfId="31084" priority="3050" stopIfTrue="1" operator="equal">
      <formula>"2 Add"</formula>
    </cfRule>
  </conditionalFormatting>
  <conditionalFormatting sqref="C1017">
    <cfRule type="cellIs" dxfId="31083" priority="3051" stopIfTrue="1" operator="equal">
      <formula>"3 Delete"</formula>
    </cfRule>
  </conditionalFormatting>
  <conditionalFormatting sqref="C1018">
    <cfRule type="cellIs" dxfId="31082" priority="3052" stopIfTrue="1" operator="equal">
      <formula>"1 Modify"</formula>
    </cfRule>
  </conditionalFormatting>
  <conditionalFormatting sqref="C1018">
    <cfRule type="cellIs" dxfId="31081" priority="3053" stopIfTrue="1" operator="equal">
      <formula>"2 Add"</formula>
    </cfRule>
  </conditionalFormatting>
  <conditionalFormatting sqref="C1018">
    <cfRule type="cellIs" dxfId="31080" priority="3054" stopIfTrue="1" operator="equal">
      <formula>"3 Delete"</formula>
    </cfRule>
  </conditionalFormatting>
  <conditionalFormatting sqref="C1019">
    <cfRule type="cellIs" dxfId="31079" priority="3055" stopIfTrue="1" operator="equal">
      <formula>"1 Modify"</formula>
    </cfRule>
  </conditionalFormatting>
  <conditionalFormatting sqref="C1019">
    <cfRule type="cellIs" dxfId="31078" priority="3056" stopIfTrue="1" operator="equal">
      <formula>"2 Add"</formula>
    </cfRule>
  </conditionalFormatting>
  <conditionalFormatting sqref="C1019">
    <cfRule type="cellIs" dxfId="31077" priority="3057" stopIfTrue="1" operator="equal">
      <formula>"3 Delete"</formula>
    </cfRule>
  </conditionalFormatting>
  <conditionalFormatting sqref="C1020">
    <cfRule type="cellIs" dxfId="31076" priority="3058" stopIfTrue="1" operator="equal">
      <formula>"1 Modify"</formula>
    </cfRule>
  </conditionalFormatting>
  <conditionalFormatting sqref="C1020">
    <cfRule type="cellIs" dxfId="31075" priority="3059" stopIfTrue="1" operator="equal">
      <formula>"2 Add"</formula>
    </cfRule>
  </conditionalFormatting>
  <conditionalFormatting sqref="C1020">
    <cfRule type="cellIs" dxfId="31074" priority="3060" stopIfTrue="1" operator="equal">
      <formula>"3 Delete"</formula>
    </cfRule>
  </conditionalFormatting>
  <conditionalFormatting sqref="C1021">
    <cfRule type="cellIs" dxfId="31073" priority="3061" stopIfTrue="1" operator="equal">
      <formula>"1 Modify"</formula>
    </cfRule>
  </conditionalFormatting>
  <conditionalFormatting sqref="C1021">
    <cfRule type="cellIs" dxfId="31072" priority="3062" stopIfTrue="1" operator="equal">
      <formula>"2 Add"</formula>
    </cfRule>
  </conditionalFormatting>
  <conditionalFormatting sqref="C1021">
    <cfRule type="cellIs" dxfId="31071" priority="3063" stopIfTrue="1" operator="equal">
      <formula>"3 Delete"</formula>
    </cfRule>
  </conditionalFormatting>
  <conditionalFormatting sqref="C1022">
    <cfRule type="cellIs" dxfId="31070" priority="3064" stopIfTrue="1" operator="equal">
      <formula>"1 Modify"</formula>
    </cfRule>
  </conditionalFormatting>
  <conditionalFormatting sqref="C1022">
    <cfRule type="cellIs" dxfId="31069" priority="3065" stopIfTrue="1" operator="equal">
      <formula>"2 Add"</formula>
    </cfRule>
  </conditionalFormatting>
  <conditionalFormatting sqref="C1022">
    <cfRule type="cellIs" dxfId="31068" priority="3066" stopIfTrue="1" operator="equal">
      <formula>"3 Delete"</formula>
    </cfRule>
  </conditionalFormatting>
  <conditionalFormatting sqref="C1023">
    <cfRule type="cellIs" dxfId="31067" priority="3067" stopIfTrue="1" operator="equal">
      <formula>"1 Modify"</formula>
    </cfRule>
  </conditionalFormatting>
  <conditionalFormatting sqref="C1023">
    <cfRule type="cellIs" dxfId="31066" priority="3068" stopIfTrue="1" operator="equal">
      <formula>"2 Add"</formula>
    </cfRule>
  </conditionalFormatting>
  <conditionalFormatting sqref="C1023">
    <cfRule type="cellIs" dxfId="31065" priority="3069" stopIfTrue="1" operator="equal">
      <formula>"3 Delete"</formula>
    </cfRule>
  </conditionalFormatting>
  <conditionalFormatting sqref="C1024">
    <cfRule type="cellIs" dxfId="31064" priority="3070" stopIfTrue="1" operator="equal">
      <formula>"1 Modify"</formula>
    </cfRule>
  </conditionalFormatting>
  <conditionalFormatting sqref="C1024">
    <cfRule type="cellIs" dxfId="31063" priority="3071" stopIfTrue="1" operator="equal">
      <formula>"2 Add"</formula>
    </cfRule>
  </conditionalFormatting>
  <conditionalFormatting sqref="C1024">
    <cfRule type="cellIs" dxfId="31062" priority="3072" stopIfTrue="1" operator="equal">
      <formula>"3 Delete"</formula>
    </cfRule>
  </conditionalFormatting>
  <conditionalFormatting sqref="C1025">
    <cfRule type="cellIs" dxfId="31061" priority="3073" stopIfTrue="1" operator="equal">
      <formula>"1 Modify"</formula>
    </cfRule>
  </conditionalFormatting>
  <conditionalFormatting sqref="C1025">
    <cfRule type="cellIs" dxfId="31060" priority="3074" stopIfTrue="1" operator="equal">
      <formula>"2 Add"</formula>
    </cfRule>
  </conditionalFormatting>
  <conditionalFormatting sqref="C1025">
    <cfRule type="cellIs" dxfId="31059" priority="3075" stopIfTrue="1" operator="equal">
      <formula>"3 Delete"</formula>
    </cfRule>
  </conditionalFormatting>
  <conditionalFormatting sqref="C1026">
    <cfRule type="cellIs" dxfId="31058" priority="3076" stopIfTrue="1" operator="equal">
      <formula>"1 Modify"</formula>
    </cfRule>
  </conditionalFormatting>
  <conditionalFormatting sqref="C1026">
    <cfRule type="cellIs" dxfId="31057" priority="3077" stopIfTrue="1" operator="equal">
      <formula>"2 Add"</formula>
    </cfRule>
  </conditionalFormatting>
  <conditionalFormatting sqref="C1026">
    <cfRule type="cellIs" dxfId="31056" priority="3078" stopIfTrue="1" operator="equal">
      <formula>"3 Delete"</formula>
    </cfRule>
  </conditionalFormatting>
  <conditionalFormatting sqref="C1027">
    <cfRule type="cellIs" dxfId="31055" priority="3079" stopIfTrue="1" operator="equal">
      <formula>"1 Modify"</formula>
    </cfRule>
  </conditionalFormatting>
  <conditionalFormatting sqref="C1027">
    <cfRule type="cellIs" dxfId="31054" priority="3080" stopIfTrue="1" operator="equal">
      <formula>"2 Add"</formula>
    </cfRule>
  </conditionalFormatting>
  <conditionalFormatting sqref="C1027">
    <cfRule type="cellIs" dxfId="31053" priority="3081" stopIfTrue="1" operator="equal">
      <formula>"3 Delete"</formula>
    </cfRule>
  </conditionalFormatting>
  <conditionalFormatting sqref="C1028">
    <cfRule type="cellIs" dxfId="31052" priority="3082" stopIfTrue="1" operator="equal">
      <formula>"1 Modify"</formula>
    </cfRule>
  </conditionalFormatting>
  <conditionalFormatting sqref="C1028">
    <cfRule type="cellIs" dxfId="31051" priority="3083" stopIfTrue="1" operator="equal">
      <formula>"2 Add"</formula>
    </cfRule>
  </conditionalFormatting>
  <conditionalFormatting sqref="C1028">
    <cfRule type="cellIs" dxfId="31050" priority="3084" stopIfTrue="1" operator="equal">
      <formula>"3 Delete"</formula>
    </cfRule>
  </conditionalFormatting>
  <conditionalFormatting sqref="C1029">
    <cfRule type="cellIs" dxfId="31049" priority="3085" stopIfTrue="1" operator="equal">
      <formula>"1 Modify"</formula>
    </cfRule>
  </conditionalFormatting>
  <conditionalFormatting sqref="C1029">
    <cfRule type="cellIs" dxfId="31048" priority="3086" stopIfTrue="1" operator="equal">
      <formula>"2 Add"</formula>
    </cfRule>
  </conditionalFormatting>
  <conditionalFormatting sqref="C1029">
    <cfRule type="cellIs" dxfId="31047" priority="3087" stopIfTrue="1" operator="equal">
      <formula>"3 Delete"</formula>
    </cfRule>
  </conditionalFormatting>
  <conditionalFormatting sqref="C1030">
    <cfRule type="cellIs" dxfId="31046" priority="3088" stopIfTrue="1" operator="equal">
      <formula>"1 Modify"</formula>
    </cfRule>
  </conditionalFormatting>
  <conditionalFormatting sqref="C1030">
    <cfRule type="cellIs" dxfId="31045" priority="3089" stopIfTrue="1" operator="equal">
      <formula>"2 Add"</formula>
    </cfRule>
  </conditionalFormatting>
  <conditionalFormatting sqref="C1030">
    <cfRule type="cellIs" dxfId="31044" priority="3090" stopIfTrue="1" operator="equal">
      <formula>"3 Delete"</formula>
    </cfRule>
  </conditionalFormatting>
  <conditionalFormatting sqref="C1031">
    <cfRule type="cellIs" dxfId="31043" priority="3091" stopIfTrue="1" operator="equal">
      <formula>"1 Modify"</formula>
    </cfRule>
  </conditionalFormatting>
  <conditionalFormatting sqref="C1031">
    <cfRule type="cellIs" dxfId="31042" priority="3092" stopIfTrue="1" operator="equal">
      <formula>"2 Add"</formula>
    </cfRule>
  </conditionalFormatting>
  <conditionalFormatting sqref="C1031">
    <cfRule type="cellIs" dxfId="31041" priority="3093" stopIfTrue="1" operator="equal">
      <formula>"3 Delete"</formula>
    </cfRule>
  </conditionalFormatting>
  <conditionalFormatting sqref="C1032">
    <cfRule type="cellIs" dxfId="31040" priority="3094" stopIfTrue="1" operator="equal">
      <formula>"1 Modify"</formula>
    </cfRule>
  </conditionalFormatting>
  <conditionalFormatting sqref="C1032">
    <cfRule type="cellIs" dxfId="31039" priority="3095" stopIfTrue="1" operator="equal">
      <formula>"2 Add"</formula>
    </cfRule>
  </conditionalFormatting>
  <conditionalFormatting sqref="C1032">
    <cfRule type="cellIs" dxfId="31038" priority="3096" stopIfTrue="1" operator="equal">
      <formula>"3 Delete"</formula>
    </cfRule>
  </conditionalFormatting>
  <conditionalFormatting sqref="C1033">
    <cfRule type="cellIs" dxfId="31037" priority="3097" stopIfTrue="1" operator="equal">
      <formula>"1 Modify"</formula>
    </cfRule>
  </conditionalFormatting>
  <conditionalFormatting sqref="C1033">
    <cfRule type="cellIs" dxfId="31036" priority="3098" stopIfTrue="1" operator="equal">
      <formula>"2 Add"</formula>
    </cfRule>
  </conditionalFormatting>
  <conditionalFormatting sqref="C1033">
    <cfRule type="cellIs" dxfId="31035" priority="3099" stopIfTrue="1" operator="equal">
      <formula>"3 Delete"</formula>
    </cfRule>
  </conditionalFormatting>
  <conditionalFormatting sqref="C1034">
    <cfRule type="cellIs" dxfId="31034" priority="3100" stopIfTrue="1" operator="equal">
      <formula>"1 Modify"</formula>
    </cfRule>
  </conditionalFormatting>
  <conditionalFormatting sqref="C1034">
    <cfRule type="cellIs" dxfId="31033" priority="3101" stopIfTrue="1" operator="equal">
      <formula>"2 Add"</formula>
    </cfRule>
  </conditionalFormatting>
  <conditionalFormatting sqref="C1034">
    <cfRule type="cellIs" dxfId="31032" priority="3102" stopIfTrue="1" operator="equal">
      <formula>"3 Delete"</formula>
    </cfRule>
  </conditionalFormatting>
  <conditionalFormatting sqref="C1035">
    <cfRule type="cellIs" dxfId="31031" priority="3103" stopIfTrue="1" operator="equal">
      <formula>"1 Modify"</formula>
    </cfRule>
  </conditionalFormatting>
  <conditionalFormatting sqref="C1035">
    <cfRule type="cellIs" dxfId="31030" priority="3104" stopIfTrue="1" operator="equal">
      <formula>"2 Add"</formula>
    </cfRule>
  </conditionalFormatting>
  <conditionalFormatting sqref="C1035">
    <cfRule type="cellIs" dxfId="31029" priority="3105" stopIfTrue="1" operator="equal">
      <formula>"3 Delete"</formula>
    </cfRule>
  </conditionalFormatting>
  <conditionalFormatting sqref="C1036">
    <cfRule type="cellIs" dxfId="31028" priority="3106" stopIfTrue="1" operator="equal">
      <formula>"1 Modify"</formula>
    </cfRule>
  </conditionalFormatting>
  <conditionalFormatting sqref="C1036">
    <cfRule type="cellIs" dxfId="31027" priority="3107" stopIfTrue="1" operator="equal">
      <formula>"2 Add"</formula>
    </cfRule>
  </conditionalFormatting>
  <conditionalFormatting sqref="C1036">
    <cfRule type="cellIs" dxfId="31026" priority="3108" stopIfTrue="1" operator="equal">
      <formula>"3 Delete"</formula>
    </cfRule>
  </conditionalFormatting>
  <conditionalFormatting sqref="C1037">
    <cfRule type="cellIs" dxfId="31025" priority="3109" stopIfTrue="1" operator="equal">
      <formula>"1 Modify"</formula>
    </cfRule>
  </conditionalFormatting>
  <conditionalFormatting sqref="C1037">
    <cfRule type="cellIs" dxfId="31024" priority="3110" stopIfTrue="1" operator="equal">
      <formula>"2 Add"</formula>
    </cfRule>
  </conditionalFormatting>
  <conditionalFormatting sqref="C1037">
    <cfRule type="cellIs" dxfId="31023" priority="3111" stopIfTrue="1" operator="equal">
      <formula>"3 Delete"</formula>
    </cfRule>
  </conditionalFormatting>
  <conditionalFormatting sqref="C1038">
    <cfRule type="cellIs" dxfId="31022" priority="3112" stopIfTrue="1" operator="equal">
      <formula>"1 Modify"</formula>
    </cfRule>
  </conditionalFormatting>
  <conditionalFormatting sqref="C1038">
    <cfRule type="cellIs" dxfId="31021" priority="3113" stopIfTrue="1" operator="equal">
      <formula>"2 Add"</formula>
    </cfRule>
  </conditionalFormatting>
  <conditionalFormatting sqref="C1038">
    <cfRule type="cellIs" dxfId="31020" priority="3114" stopIfTrue="1" operator="equal">
      <formula>"3 Delete"</formula>
    </cfRule>
  </conditionalFormatting>
  <conditionalFormatting sqref="C1039">
    <cfRule type="cellIs" dxfId="31019" priority="3115" stopIfTrue="1" operator="equal">
      <formula>"1 Modify"</formula>
    </cfRule>
  </conditionalFormatting>
  <conditionalFormatting sqref="C1039">
    <cfRule type="cellIs" dxfId="31018" priority="3116" stopIfTrue="1" operator="equal">
      <formula>"2 Add"</formula>
    </cfRule>
  </conditionalFormatting>
  <conditionalFormatting sqref="C1039">
    <cfRule type="cellIs" dxfId="31017" priority="3117" stopIfTrue="1" operator="equal">
      <formula>"3 Delete"</formula>
    </cfRule>
  </conditionalFormatting>
  <conditionalFormatting sqref="C1040">
    <cfRule type="cellIs" dxfId="31016" priority="3118" stopIfTrue="1" operator="equal">
      <formula>"1 Modify"</formula>
    </cfRule>
  </conditionalFormatting>
  <conditionalFormatting sqref="C1040">
    <cfRule type="cellIs" dxfId="31015" priority="3119" stopIfTrue="1" operator="equal">
      <formula>"2 Add"</formula>
    </cfRule>
  </conditionalFormatting>
  <conditionalFormatting sqref="C1040">
    <cfRule type="cellIs" dxfId="31014" priority="3120" stopIfTrue="1" operator="equal">
      <formula>"3 Delete"</formula>
    </cfRule>
  </conditionalFormatting>
  <conditionalFormatting sqref="C1041">
    <cfRule type="cellIs" dxfId="31013" priority="3121" stopIfTrue="1" operator="equal">
      <formula>"1 Modify"</formula>
    </cfRule>
  </conditionalFormatting>
  <conditionalFormatting sqref="C1041">
    <cfRule type="cellIs" dxfId="31012" priority="3122" stopIfTrue="1" operator="equal">
      <formula>"2 Add"</formula>
    </cfRule>
  </conditionalFormatting>
  <conditionalFormatting sqref="C1041">
    <cfRule type="cellIs" dxfId="31011" priority="3123" stopIfTrue="1" operator="equal">
      <formula>"3 Delete"</formula>
    </cfRule>
  </conditionalFormatting>
  <conditionalFormatting sqref="C1042">
    <cfRule type="cellIs" dxfId="31010" priority="3124" stopIfTrue="1" operator="equal">
      <formula>"1 Modify"</formula>
    </cfRule>
  </conditionalFormatting>
  <conditionalFormatting sqref="C1042">
    <cfRule type="cellIs" dxfId="31009" priority="3125" stopIfTrue="1" operator="equal">
      <formula>"2 Add"</formula>
    </cfRule>
  </conditionalFormatting>
  <conditionalFormatting sqref="C1042">
    <cfRule type="cellIs" dxfId="31008" priority="3126" stopIfTrue="1" operator="equal">
      <formula>"3 Delete"</formula>
    </cfRule>
  </conditionalFormatting>
  <conditionalFormatting sqref="C1043">
    <cfRule type="cellIs" dxfId="31007" priority="3127" stopIfTrue="1" operator="equal">
      <formula>"1 Modify"</formula>
    </cfRule>
  </conditionalFormatting>
  <conditionalFormatting sqref="C1043">
    <cfRule type="cellIs" dxfId="31006" priority="3128" stopIfTrue="1" operator="equal">
      <formula>"2 Add"</formula>
    </cfRule>
  </conditionalFormatting>
  <conditionalFormatting sqref="C1043">
    <cfRule type="cellIs" dxfId="31005" priority="3129" stopIfTrue="1" operator="equal">
      <formula>"3 Delete"</formula>
    </cfRule>
  </conditionalFormatting>
  <conditionalFormatting sqref="C1044">
    <cfRule type="cellIs" dxfId="31004" priority="3130" stopIfTrue="1" operator="equal">
      <formula>"1 Modify"</formula>
    </cfRule>
  </conditionalFormatting>
  <conditionalFormatting sqref="C1044">
    <cfRule type="cellIs" dxfId="31003" priority="3131" stopIfTrue="1" operator="equal">
      <formula>"2 Add"</formula>
    </cfRule>
  </conditionalFormatting>
  <conditionalFormatting sqref="C1044">
    <cfRule type="cellIs" dxfId="31002" priority="3132" stopIfTrue="1" operator="equal">
      <formula>"3 Delete"</formula>
    </cfRule>
  </conditionalFormatting>
  <conditionalFormatting sqref="C1045">
    <cfRule type="cellIs" dxfId="31001" priority="3133" stopIfTrue="1" operator="equal">
      <formula>"1 Modify"</formula>
    </cfRule>
  </conditionalFormatting>
  <conditionalFormatting sqref="C1045">
    <cfRule type="cellIs" dxfId="31000" priority="3134" stopIfTrue="1" operator="equal">
      <formula>"2 Add"</formula>
    </cfRule>
  </conditionalFormatting>
  <conditionalFormatting sqref="C1045">
    <cfRule type="cellIs" dxfId="30999" priority="3135" stopIfTrue="1" operator="equal">
      <formula>"3 Delete"</formula>
    </cfRule>
  </conditionalFormatting>
  <conditionalFormatting sqref="C1046">
    <cfRule type="cellIs" dxfId="30998" priority="3136" stopIfTrue="1" operator="equal">
      <formula>"1 Modify"</formula>
    </cfRule>
  </conditionalFormatting>
  <conditionalFormatting sqref="C1046">
    <cfRule type="cellIs" dxfId="30997" priority="3137" stopIfTrue="1" operator="equal">
      <formula>"2 Add"</formula>
    </cfRule>
  </conditionalFormatting>
  <conditionalFormatting sqref="C1046">
    <cfRule type="cellIs" dxfId="30996" priority="3138" stopIfTrue="1" operator="equal">
      <formula>"3 Delete"</formula>
    </cfRule>
  </conditionalFormatting>
  <conditionalFormatting sqref="C1047">
    <cfRule type="cellIs" dxfId="30995" priority="3139" stopIfTrue="1" operator="equal">
      <formula>"1 Modify"</formula>
    </cfRule>
  </conditionalFormatting>
  <conditionalFormatting sqref="C1047">
    <cfRule type="cellIs" dxfId="30994" priority="3140" stopIfTrue="1" operator="equal">
      <formula>"2 Add"</formula>
    </cfRule>
  </conditionalFormatting>
  <conditionalFormatting sqref="C1047">
    <cfRule type="cellIs" dxfId="30993" priority="3141" stopIfTrue="1" operator="equal">
      <formula>"3 Delete"</formula>
    </cfRule>
  </conditionalFormatting>
  <conditionalFormatting sqref="C1048">
    <cfRule type="cellIs" dxfId="30992" priority="3142" stopIfTrue="1" operator="equal">
      <formula>"1 Modify"</formula>
    </cfRule>
  </conditionalFormatting>
  <conditionalFormatting sqref="C1048">
    <cfRule type="cellIs" dxfId="30991" priority="3143" stopIfTrue="1" operator="equal">
      <formula>"2 Add"</formula>
    </cfRule>
  </conditionalFormatting>
  <conditionalFormatting sqref="C1048">
    <cfRule type="cellIs" dxfId="30990" priority="3144" stopIfTrue="1" operator="equal">
      <formula>"3 Delete"</formula>
    </cfRule>
  </conditionalFormatting>
  <conditionalFormatting sqref="C1049">
    <cfRule type="cellIs" dxfId="30989" priority="3145" stopIfTrue="1" operator="equal">
      <formula>"1 Modify"</formula>
    </cfRule>
  </conditionalFormatting>
  <conditionalFormatting sqref="C1049">
    <cfRule type="cellIs" dxfId="30988" priority="3146" stopIfTrue="1" operator="equal">
      <formula>"2 Add"</formula>
    </cfRule>
  </conditionalFormatting>
  <conditionalFormatting sqref="C1049">
    <cfRule type="cellIs" dxfId="30987" priority="3147" stopIfTrue="1" operator="equal">
      <formula>"3 Delete"</formula>
    </cfRule>
  </conditionalFormatting>
  <conditionalFormatting sqref="C1050">
    <cfRule type="cellIs" dxfId="30986" priority="3148" stopIfTrue="1" operator="equal">
      <formula>"1 Modify"</formula>
    </cfRule>
  </conditionalFormatting>
  <conditionalFormatting sqref="C1050">
    <cfRule type="cellIs" dxfId="30985" priority="3149" stopIfTrue="1" operator="equal">
      <formula>"2 Add"</formula>
    </cfRule>
  </conditionalFormatting>
  <conditionalFormatting sqref="C1050">
    <cfRule type="cellIs" dxfId="30984" priority="3150" stopIfTrue="1" operator="equal">
      <formula>"3 Delete"</formula>
    </cfRule>
  </conditionalFormatting>
  <conditionalFormatting sqref="C1051">
    <cfRule type="cellIs" dxfId="30983" priority="3151" stopIfTrue="1" operator="equal">
      <formula>"1 Modify"</formula>
    </cfRule>
  </conditionalFormatting>
  <conditionalFormatting sqref="C1051">
    <cfRule type="cellIs" dxfId="30982" priority="3152" stopIfTrue="1" operator="equal">
      <formula>"2 Add"</formula>
    </cfRule>
  </conditionalFormatting>
  <conditionalFormatting sqref="C1051">
    <cfRule type="cellIs" dxfId="30981" priority="3153" stopIfTrue="1" operator="equal">
      <formula>"3 Delete"</formula>
    </cfRule>
  </conditionalFormatting>
  <conditionalFormatting sqref="C1052">
    <cfRule type="cellIs" dxfId="30980" priority="3154" stopIfTrue="1" operator="equal">
      <formula>"1 Modify"</formula>
    </cfRule>
  </conditionalFormatting>
  <conditionalFormatting sqref="C1052">
    <cfRule type="cellIs" dxfId="30979" priority="3155" stopIfTrue="1" operator="equal">
      <formula>"2 Add"</formula>
    </cfRule>
  </conditionalFormatting>
  <conditionalFormatting sqref="C1052">
    <cfRule type="cellIs" dxfId="30978" priority="3156" stopIfTrue="1" operator="equal">
      <formula>"3 Delete"</formula>
    </cfRule>
  </conditionalFormatting>
  <conditionalFormatting sqref="C1053">
    <cfRule type="cellIs" dxfId="30977" priority="3157" stopIfTrue="1" operator="equal">
      <formula>"1 Modify"</formula>
    </cfRule>
  </conditionalFormatting>
  <conditionalFormatting sqref="C1053">
    <cfRule type="cellIs" dxfId="30976" priority="3158" stopIfTrue="1" operator="equal">
      <formula>"2 Add"</formula>
    </cfRule>
  </conditionalFormatting>
  <conditionalFormatting sqref="C1053">
    <cfRule type="cellIs" dxfId="30975" priority="3159" stopIfTrue="1" operator="equal">
      <formula>"3 Delete"</formula>
    </cfRule>
  </conditionalFormatting>
  <conditionalFormatting sqref="C1054">
    <cfRule type="cellIs" dxfId="30974" priority="3160" stopIfTrue="1" operator="equal">
      <formula>"1 Modify"</formula>
    </cfRule>
  </conditionalFormatting>
  <conditionalFormatting sqref="C1054">
    <cfRule type="cellIs" dxfId="30973" priority="3161" stopIfTrue="1" operator="equal">
      <formula>"2 Add"</formula>
    </cfRule>
  </conditionalFormatting>
  <conditionalFormatting sqref="C1054">
    <cfRule type="cellIs" dxfId="30972" priority="3162" stopIfTrue="1" operator="equal">
      <formula>"3 Delete"</formula>
    </cfRule>
  </conditionalFormatting>
  <conditionalFormatting sqref="C1055">
    <cfRule type="cellIs" dxfId="30971" priority="3163" stopIfTrue="1" operator="equal">
      <formula>"1 Modify"</formula>
    </cfRule>
  </conditionalFormatting>
  <conditionalFormatting sqref="C1055">
    <cfRule type="cellIs" dxfId="30970" priority="3164" stopIfTrue="1" operator="equal">
      <formula>"2 Add"</formula>
    </cfRule>
  </conditionalFormatting>
  <conditionalFormatting sqref="C1055">
    <cfRule type="cellIs" dxfId="30969" priority="3165" stopIfTrue="1" operator="equal">
      <formula>"3 Delete"</formula>
    </cfRule>
  </conditionalFormatting>
  <conditionalFormatting sqref="C1056">
    <cfRule type="cellIs" dxfId="30968" priority="3166" stopIfTrue="1" operator="equal">
      <formula>"1 Modify"</formula>
    </cfRule>
  </conditionalFormatting>
  <conditionalFormatting sqref="C1056">
    <cfRule type="cellIs" dxfId="30967" priority="3167" stopIfTrue="1" operator="equal">
      <formula>"2 Add"</formula>
    </cfRule>
  </conditionalFormatting>
  <conditionalFormatting sqref="C1056">
    <cfRule type="cellIs" dxfId="30966" priority="3168" stopIfTrue="1" operator="equal">
      <formula>"3 Delete"</formula>
    </cfRule>
  </conditionalFormatting>
  <conditionalFormatting sqref="C1057">
    <cfRule type="cellIs" dxfId="30965" priority="3169" stopIfTrue="1" operator="equal">
      <formula>"1 Modify"</formula>
    </cfRule>
  </conditionalFormatting>
  <conditionalFormatting sqref="C1057">
    <cfRule type="cellIs" dxfId="30964" priority="3170" stopIfTrue="1" operator="equal">
      <formula>"2 Add"</formula>
    </cfRule>
  </conditionalFormatting>
  <conditionalFormatting sqref="C1057">
    <cfRule type="cellIs" dxfId="30963" priority="3171" stopIfTrue="1" operator="equal">
      <formula>"3 Delete"</formula>
    </cfRule>
  </conditionalFormatting>
  <conditionalFormatting sqref="C1058">
    <cfRule type="cellIs" dxfId="30962" priority="3172" stopIfTrue="1" operator="equal">
      <formula>"1 Modify"</formula>
    </cfRule>
  </conditionalFormatting>
  <conditionalFormatting sqref="C1058">
    <cfRule type="cellIs" dxfId="30961" priority="3173" stopIfTrue="1" operator="equal">
      <formula>"2 Add"</formula>
    </cfRule>
  </conditionalFormatting>
  <conditionalFormatting sqref="C1058">
    <cfRule type="cellIs" dxfId="30960" priority="3174" stopIfTrue="1" operator="equal">
      <formula>"3 Delete"</formula>
    </cfRule>
  </conditionalFormatting>
  <conditionalFormatting sqref="C1059">
    <cfRule type="cellIs" dxfId="30959" priority="3175" stopIfTrue="1" operator="equal">
      <formula>"1 Modify"</formula>
    </cfRule>
  </conditionalFormatting>
  <conditionalFormatting sqref="C1059">
    <cfRule type="cellIs" dxfId="30958" priority="3176" stopIfTrue="1" operator="equal">
      <formula>"2 Add"</formula>
    </cfRule>
  </conditionalFormatting>
  <conditionalFormatting sqref="C1059">
    <cfRule type="cellIs" dxfId="30957" priority="3177" stopIfTrue="1" operator="equal">
      <formula>"3 Delete"</formula>
    </cfRule>
  </conditionalFormatting>
  <conditionalFormatting sqref="C1060">
    <cfRule type="cellIs" dxfId="30956" priority="3178" stopIfTrue="1" operator="equal">
      <formula>"1 Modify"</formula>
    </cfRule>
  </conditionalFormatting>
  <conditionalFormatting sqref="C1060">
    <cfRule type="cellIs" dxfId="30955" priority="3179" stopIfTrue="1" operator="equal">
      <formula>"2 Add"</formula>
    </cfRule>
  </conditionalFormatting>
  <conditionalFormatting sqref="C1060">
    <cfRule type="cellIs" dxfId="30954" priority="3180" stopIfTrue="1" operator="equal">
      <formula>"3 Delete"</formula>
    </cfRule>
  </conditionalFormatting>
  <conditionalFormatting sqref="C1061">
    <cfRule type="cellIs" dxfId="30953" priority="3181" stopIfTrue="1" operator="equal">
      <formula>"1 Modify"</formula>
    </cfRule>
  </conditionalFormatting>
  <conditionalFormatting sqref="C1061">
    <cfRule type="cellIs" dxfId="30952" priority="3182" stopIfTrue="1" operator="equal">
      <formula>"2 Add"</formula>
    </cfRule>
  </conditionalFormatting>
  <conditionalFormatting sqref="C1061">
    <cfRule type="cellIs" dxfId="30951" priority="3183" stopIfTrue="1" operator="equal">
      <formula>"3 Delete"</formula>
    </cfRule>
  </conditionalFormatting>
  <conditionalFormatting sqref="C1062">
    <cfRule type="cellIs" dxfId="30950" priority="3184" stopIfTrue="1" operator="equal">
      <formula>"1 Modify"</formula>
    </cfRule>
  </conditionalFormatting>
  <conditionalFormatting sqref="C1062">
    <cfRule type="cellIs" dxfId="30949" priority="3185" stopIfTrue="1" operator="equal">
      <formula>"2 Add"</formula>
    </cfRule>
  </conditionalFormatting>
  <conditionalFormatting sqref="C1062">
    <cfRule type="cellIs" dxfId="30948" priority="3186" stopIfTrue="1" operator="equal">
      <formula>"3 Delete"</formula>
    </cfRule>
  </conditionalFormatting>
  <conditionalFormatting sqref="C1063">
    <cfRule type="cellIs" dxfId="30947" priority="3187" stopIfTrue="1" operator="equal">
      <formula>"1 Modify"</formula>
    </cfRule>
  </conditionalFormatting>
  <conditionalFormatting sqref="C1063">
    <cfRule type="cellIs" dxfId="30946" priority="3188" stopIfTrue="1" operator="equal">
      <formula>"2 Add"</formula>
    </cfRule>
  </conditionalFormatting>
  <conditionalFormatting sqref="C1063">
    <cfRule type="cellIs" dxfId="30945" priority="3189" stopIfTrue="1" operator="equal">
      <formula>"3 Delete"</formula>
    </cfRule>
  </conditionalFormatting>
  <conditionalFormatting sqref="C1064">
    <cfRule type="cellIs" dxfId="30944" priority="3190" stopIfTrue="1" operator="equal">
      <formula>"1 Modify"</formula>
    </cfRule>
  </conditionalFormatting>
  <conditionalFormatting sqref="C1064">
    <cfRule type="cellIs" dxfId="30943" priority="3191" stopIfTrue="1" operator="equal">
      <formula>"2 Add"</formula>
    </cfRule>
  </conditionalFormatting>
  <conditionalFormatting sqref="C1064">
    <cfRule type="cellIs" dxfId="30942" priority="3192" stopIfTrue="1" operator="equal">
      <formula>"3 Delete"</formula>
    </cfRule>
  </conditionalFormatting>
  <conditionalFormatting sqref="C1065">
    <cfRule type="cellIs" dxfId="30941" priority="3193" stopIfTrue="1" operator="equal">
      <formula>"1 Modify"</formula>
    </cfRule>
  </conditionalFormatting>
  <conditionalFormatting sqref="C1065">
    <cfRule type="cellIs" dxfId="30940" priority="3194" stopIfTrue="1" operator="equal">
      <formula>"2 Add"</formula>
    </cfRule>
  </conditionalFormatting>
  <conditionalFormatting sqref="C1065">
    <cfRule type="cellIs" dxfId="30939" priority="3195" stopIfTrue="1" operator="equal">
      <formula>"3 Delete"</formula>
    </cfRule>
  </conditionalFormatting>
  <conditionalFormatting sqref="C1066">
    <cfRule type="cellIs" dxfId="30938" priority="3196" stopIfTrue="1" operator="equal">
      <formula>"1 Modify"</formula>
    </cfRule>
  </conditionalFormatting>
  <conditionalFormatting sqref="C1066">
    <cfRule type="cellIs" dxfId="30937" priority="3197" stopIfTrue="1" operator="equal">
      <formula>"2 Add"</formula>
    </cfRule>
  </conditionalFormatting>
  <conditionalFormatting sqref="C1066">
    <cfRule type="cellIs" dxfId="30936" priority="3198" stopIfTrue="1" operator="equal">
      <formula>"3 Delete"</formula>
    </cfRule>
  </conditionalFormatting>
  <conditionalFormatting sqref="C1067">
    <cfRule type="cellIs" dxfId="30935" priority="3199" stopIfTrue="1" operator="equal">
      <formula>"1 Modify"</formula>
    </cfRule>
  </conditionalFormatting>
  <conditionalFormatting sqref="C1067">
    <cfRule type="cellIs" dxfId="30934" priority="3200" stopIfTrue="1" operator="equal">
      <formula>"2 Add"</formula>
    </cfRule>
  </conditionalFormatting>
  <conditionalFormatting sqref="C1067">
    <cfRule type="cellIs" dxfId="30933" priority="3201" stopIfTrue="1" operator="equal">
      <formula>"3 Delete"</formula>
    </cfRule>
  </conditionalFormatting>
  <conditionalFormatting sqref="C1068">
    <cfRule type="cellIs" dxfId="30932" priority="3202" stopIfTrue="1" operator="equal">
      <formula>"1 Modify"</formula>
    </cfRule>
  </conditionalFormatting>
  <conditionalFormatting sqref="C1068">
    <cfRule type="cellIs" dxfId="30931" priority="3203" stopIfTrue="1" operator="equal">
      <formula>"2 Add"</formula>
    </cfRule>
  </conditionalFormatting>
  <conditionalFormatting sqref="C1068">
    <cfRule type="cellIs" dxfId="30930" priority="3204" stopIfTrue="1" operator="equal">
      <formula>"3 Delete"</formula>
    </cfRule>
  </conditionalFormatting>
  <conditionalFormatting sqref="C1069">
    <cfRule type="cellIs" dxfId="30929" priority="3205" stopIfTrue="1" operator="equal">
      <formula>"1 Modify"</formula>
    </cfRule>
  </conditionalFormatting>
  <conditionalFormatting sqref="C1069">
    <cfRule type="cellIs" dxfId="30928" priority="3206" stopIfTrue="1" operator="equal">
      <formula>"2 Add"</formula>
    </cfRule>
  </conditionalFormatting>
  <conditionalFormatting sqref="C1069">
    <cfRule type="cellIs" dxfId="30927" priority="3207" stopIfTrue="1" operator="equal">
      <formula>"3 Delete"</formula>
    </cfRule>
  </conditionalFormatting>
  <conditionalFormatting sqref="C1070">
    <cfRule type="cellIs" dxfId="30926" priority="3208" stopIfTrue="1" operator="equal">
      <formula>"1 Modify"</formula>
    </cfRule>
  </conditionalFormatting>
  <conditionalFormatting sqref="C1070">
    <cfRule type="cellIs" dxfId="30925" priority="3209" stopIfTrue="1" operator="equal">
      <formula>"2 Add"</formula>
    </cfRule>
  </conditionalFormatting>
  <conditionalFormatting sqref="C1070">
    <cfRule type="cellIs" dxfId="30924" priority="3210" stopIfTrue="1" operator="equal">
      <formula>"3 Delete"</formula>
    </cfRule>
  </conditionalFormatting>
  <conditionalFormatting sqref="C1071">
    <cfRule type="cellIs" dxfId="30923" priority="3211" stopIfTrue="1" operator="equal">
      <formula>"1 Modify"</formula>
    </cfRule>
  </conditionalFormatting>
  <conditionalFormatting sqref="C1071">
    <cfRule type="cellIs" dxfId="30922" priority="3212" stopIfTrue="1" operator="equal">
      <formula>"2 Add"</formula>
    </cfRule>
  </conditionalFormatting>
  <conditionalFormatting sqref="C1071">
    <cfRule type="cellIs" dxfId="30921" priority="3213" stopIfTrue="1" operator="equal">
      <formula>"3 Delete"</formula>
    </cfRule>
  </conditionalFormatting>
  <conditionalFormatting sqref="C1072">
    <cfRule type="cellIs" dxfId="30920" priority="3214" stopIfTrue="1" operator="equal">
      <formula>"1 Modify"</formula>
    </cfRule>
  </conditionalFormatting>
  <conditionalFormatting sqref="C1072">
    <cfRule type="cellIs" dxfId="30919" priority="3215" stopIfTrue="1" operator="equal">
      <formula>"2 Add"</formula>
    </cfRule>
  </conditionalFormatting>
  <conditionalFormatting sqref="C1072">
    <cfRule type="cellIs" dxfId="30918" priority="3216" stopIfTrue="1" operator="equal">
      <formula>"3 Delete"</formula>
    </cfRule>
  </conditionalFormatting>
  <conditionalFormatting sqref="C1073">
    <cfRule type="cellIs" dxfId="30917" priority="3217" stopIfTrue="1" operator="equal">
      <formula>"1 Modify"</formula>
    </cfRule>
  </conditionalFormatting>
  <conditionalFormatting sqref="C1073">
    <cfRule type="cellIs" dxfId="30916" priority="3218" stopIfTrue="1" operator="equal">
      <formula>"2 Add"</formula>
    </cfRule>
  </conditionalFormatting>
  <conditionalFormatting sqref="C1073">
    <cfRule type="cellIs" dxfId="30915" priority="3219" stopIfTrue="1" operator="equal">
      <formula>"3 Delete"</formula>
    </cfRule>
  </conditionalFormatting>
  <conditionalFormatting sqref="C1074">
    <cfRule type="cellIs" dxfId="30914" priority="3220" stopIfTrue="1" operator="equal">
      <formula>"1 Modify"</formula>
    </cfRule>
  </conditionalFormatting>
  <conditionalFormatting sqref="C1074">
    <cfRule type="cellIs" dxfId="30913" priority="3221" stopIfTrue="1" operator="equal">
      <formula>"2 Add"</formula>
    </cfRule>
  </conditionalFormatting>
  <conditionalFormatting sqref="C1074">
    <cfRule type="cellIs" dxfId="30912" priority="3222" stopIfTrue="1" operator="equal">
      <formula>"3 Delete"</formula>
    </cfRule>
  </conditionalFormatting>
  <conditionalFormatting sqref="C1075">
    <cfRule type="cellIs" dxfId="30911" priority="3223" stopIfTrue="1" operator="equal">
      <formula>"1 Modify"</formula>
    </cfRule>
  </conditionalFormatting>
  <conditionalFormatting sqref="C1075">
    <cfRule type="cellIs" dxfId="30910" priority="3224" stopIfTrue="1" operator="equal">
      <formula>"2 Add"</formula>
    </cfRule>
  </conditionalFormatting>
  <conditionalFormatting sqref="C1075">
    <cfRule type="cellIs" dxfId="30909" priority="3225" stopIfTrue="1" operator="equal">
      <formula>"3 Delete"</formula>
    </cfRule>
  </conditionalFormatting>
  <conditionalFormatting sqref="C1076">
    <cfRule type="cellIs" dxfId="30908" priority="3226" stopIfTrue="1" operator="equal">
      <formula>"1 Modify"</formula>
    </cfRule>
  </conditionalFormatting>
  <conditionalFormatting sqref="C1076">
    <cfRule type="cellIs" dxfId="30907" priority="3227" stopIfTrue="1" operator="equal">
      <formula>"2 Add"</formula>
    </cfRule>
  </conditionalFormatting>
  <conditionalFormatting sqref="C1076">
    <cfRule type="cellIs" dxfId="30906" priority="3228" stopIfTrue="1" operator="equal">
      <formula>"3 Delete"</formula>
    </cfRule>
  </conditionalFormatting>
  <conditionalFormatting sqref="C1077">
    <cfRule type="cellIs" dxfId="30905" priority="3229" stopIfTrue="1" operator="equal">
      <formula>"1 Modify"</formula>
    </cfRule>
  </conditionalFormatting>
  <conditionalFormatting sqref="C1077">
    <cfRule type="cellIs" dxfId="30904" priority="3230" stopIfTrue="1" operator="equal">
      <formula>"2 Add"</formula>
    </cfRule>
  </conditionalFormatting>
  <conditionalFormatting sqref="C1077">
    <cfRule type="cellIs" dxfId="30903" priority="3231" stopIfTrue="1" operator="equal">
      <formula>"3 Delete"</formula>
    </cfRule>
  </conditionalFormatting>
  <conditionalFormatting sqref="C1078">
    <cfRule type="cellIs" dxfId="30902" priority="3232" stopIfTrue="1" operator="equal">
      <formula>"1 Modify"</formula>
    </cfRule>
  </conditionalFormatting>
  <conditionalFormatting sqref="C1078">
    <cfRule type="cellIs" dxfId="30901" priority="3233" stopIfTrue="1" operator="equal">
      <formula>"2 Add"</formula>
    </cfRule>
  </conditionalFormatting>
  <conditionalFormatting sqref="C1078">
    <cfRule type="cellIs" dxfId="30900" priority="3234" stopIfTrue="1" operator="equal">
      <formula>"3 Delete"</formula>
    </cfRule>
  </conditionalFormatting>
  <conditionalFormatting sqref="C1079">
    <cfRule type="cellIs" dxfId="30899" priority="3235" stopIfTrue="1" operator="equal">
      <formula>"1 Modify"</formula>
    </cfRule>
  </conditionalFormatting>
  <conditionalFormatting sqref="C1079">
    <cfRule type="cellIs" dxfId="30898" priority="3236" stopIfTrue="1" operator="equal">
      <formula>"2 Add"</formula>
    </cfRule>
  </conditionalFormatting>
  <conditionalFormatting sqref="C1079">
    <cfRule type="cellIs" dxfId="30897" priority="3237" stopIfTrue="1" operator="equal">
      <formula>"3 Delete"</formula>
    </cfRule>
  </conditionalFormatting>
  <conditionalFormatting sqref="C1080">
    <cfRule type="cellIs" dxfId="30896" priority="3238" stopIfTrue="1" operator="equal">
      <formula>"1 Modify"</formula>
    </cfRule>
  </conditionalFormatting>
  <conditionalFormatting sqref="C1080">
    <cfRule type="cellIs" dxfId="30895" priority="3239" stopIfTrue="1" operator="equal">
      <formula>"2 Add"</formula>
    </cfRule>
  </conditionalFormatting>
  <conditionalFormatting sqref="C1080">
    <cfRule type="cellIs" dxfId="30894" priority="3240" stopIfTrue="1" operator="equal">
      <formula>"3 Delete"</formula>
    </cfRule>
  </conditionalFormatting>
  <conditionalFormatting sqref="C1081">
    <cfRule type="cellIs" dxfId="30893" priority="3241" stopIfTrue="1" operator="equal">
      <formula>"1 Modify"</formula>
    </cfRule>
  </conditionalFormatting>
  <conditionalFormatting sqref="C1081">
    <cfRule type="cellIs" dxfId="30892" priority="3242" stopIfTrue="1" operator="equal">
      <formula>"2 Add"</formula>
    </cfRule>
  </conditionalFormatting>
  <conditionalFormatting sqref="C1081">
    <cfRule type="cellIs" dxfId="30891" priority="3243" stopIfTrue="1" operator="equal">
      <formula>"3 Delete"</formula>
    </cfRule>
  </conditionalFormatting>
  <conditionalFormatting sqref="C1082">
    <cfRule type="cellIs" dxfId="30890" priority="3244" stopIfTrue="1" operator="equal">
      <formula>"1 Modify"</formula>
    </cfRule>
  </conditionalFormatting>
  <conditionalFormatting sqref="C1082">
    <cfRule type="cellIs" dxfId="30889" priority="3245" stopIfTrue="1" operator="equal">
      <formula>"2 Add"</formula>
    </cfRule>
  </conditionalFormatting>
  <conditionalFormatting sqref="C1082">
    <cfRule type="cellIs" dxfId="30888" priority="3246" stopIfTrue="1" operator="equal">
      <formula>"3 Delete"</formula>
    </cfRule>
  </conditionalFormatting>
  <conditionalFormatting sqref="C1083">
    <cfRule type="cellIs" dxfId="30887" priority="3247" stopIfTrue="1" operator="equal">
      <formula>"1 Modify"</formula>
    </cfRule>
  </conditionalFormatting>
  <conditionalFormatting sqref="C1083">
    <cfRule type="cellIs" dxfId="30886" priority="3248" stopIfTrue="1" operator="equal">
      <formula>"2 Add"</formula>
    </cfRule>
  </conditionalFormatting>
  <conditionalFormatting sqref="C1083">
    <cfRule type="cellIs" dxfId="30885" priority="3249" stopIfTrue="1" operator="equal">
      <formula>"3 Delete"</formula>
    </cfRule>
  </conditionalFormatting>
  <conditionalFormatting sqref="C1084">
    <cfRule type="cellIs" dxfId="30884" priority="3250" stopIfTrue="1" operator="equal">
      <formula>"1 Modify"</formula>
    </cfRule>
  </conditionalFormatting>
  <conditionalFormatting sqref="C1084">
    <cfRule type="cellIs" dxfId="30883" priority="3251" stopIfTrue="1" operator="equal">
      <formula>"2 Add"</formula>
    </cfRule>
  </conditionalFormatting>
  <conditionalFormatting sqref="C1084">
    <cfRule type="cellIs" dxfId="30882" priority="3252" stopIfTrue="1" operator="equal">
      <formula>"3 Delete"</formula>
    </cfRule>
  </conditionalFormatting>
  <conditionalFormatting sqref="C1085">
    <cfRule type="cellIs" dxfId="30881" priority="3253" stopIfTrue="1" operator="equal">
      <formula>"1 Modify"</formula>
    </cfRule>
  </conditionalFormatting>
  <conditionalFormatting sqref="C1085">
    <cfRule type="cellIs" dxfId="30880" priority="3254" stopIfTrue="1" operator="equal">
      <formula>"2 Add"</formula>
    </cfRule>
  </conditionalFormatting>
  <conditionalFormatting sqref="C1085">
    <cfRule type="cellIs" dxfId="30879" priority="3255" stopIfTrue="1" operator="equal">
      <formula>"3 Delete"</formula>
    </cfRule>
  </conditionalFormatting>
  <conditionalFormatting sqref="C1086">
    <cfRule type="cellIs" dxfId="30878" priority="3256" stopIfTrue="1" operator="equal">
      <formula>"1 Modify"</formula>
    </cfRule>
  </conditionalFormatting>
  <conditionalFormatting sqref="C1086">
    <cfRule type="cellIs" dxfId="30877" priority="3257" stopIfTrue="1" operator="equal">
      <formula>"2 Add"</formula>
    </cfRule>
  </conditionalFormatting>
  <conditionalFormatting sqref="C1086">
    <cfRule type="cellIs" dxfId="30876" priority="3258" stopIfTrue="1" operator="equal">
      <formula>"3 Delete"</formula>
    </cfRule>
  </conditionalFormatting>
  <conditionalFormatting sqref="C1087">
    <cfRule type="cellIs" dxfId="30875" priority="3259" stopIfTrue="1" operator="equal">
      <formula>"1 Modify"</formula>
    </cfRule>
  </conditionalFormatting>
  <conditionalFormatting sqref="C1087">
    <cfRule type="cellIs" dxfId="30874" priority="3260" stopIfTrue="1" operator="equal">
      <formula>"2 Add"</formula>
    </cfRule>
  </conditionalFormatting>
  <conditionalFormatting sqref="C1087">
    <cfRule type="cellIs" dxfId="30873" priority="3261" stopIfTrue="1" operator="equal">
      <formula>"3 Delete"</formula>
    </cfRule>
  </conditionalFormatting>
  <conditionalFormatting sqref="C1088">
    <cfRule type="cellIs" dxfId="30872" priority="3262" stopIfTrue="1" operator="equal">
      <formula>"1 Modify"</formula>
    </cfRule>
  </conditionalFormatting>
  <conditionalFormatting sqref="C1088">
    <cfRule type="cellIs" dxfId="30871" priority="3263" stopIfTrue="1" operator="equal">
      <formula>"2 Add"</formula>
    </cfRule>
  </conditionalFormatting>
  <conditionalFormatting sqref="C1088">
    <cfRule type="cellIs" dxfId="30870" priority="3264" stopIfTrue="1" operator="equal">
      <formula>"3 Delete"</formula>
    </cfRule>
  </conditionalFormatting>
  <conditionalFormatting sqref="C1089">
    <cfRule type="cellIs" dxfId="30869" priority="3265" stopIfTrue="1" operator="equal">
      <formula>"1 Modify"</formula>
    </cfRule>
  </conditionalFormatting>
  <conditionalFormatting sqref="C1089">
    <cfRule type="cellIs" dxfId="30868" priority="3266" stopIfTrue="1" operator="equal">
      <formula>"2 Add"</formula>
    </cfRule>
  </conditionalFormatting>
  <conditionalFormatting sqref="C1089">
    <cfRule type="cellIs" dxfId="30867" priority="3267" stopIfTrue="1" operator="equal">
      <formula>"3 Delete"</formula>
    </cfRule>
  </conditionalFormatting>
  <conditionalFormatting sqref="C1090">
    <cfRule type="cellIs" dxfId="30866" priority="3268" stopIfTrue="1" operator="equal">
      <formula>"1 Modify"</formula>
    </cfRule>
  </conditionalFormatting>
  <conditionalFormatting sqref="C1090">
    <cfRule type="cellIs" dxfId="30865" priority="3269" stopIfTrue="1" operator="equal">
      <formula>"2 Add"</formula>
    </cfRule>
  </conditionalFormatting>
  <conditionalFormatting sqref="C1090">
    <cfRule type="cellIs" dxfId="30864" priority="3270" stopIfTrue="1" operator="equal">
      <formula>"3 Delete"</formula>
    </cfRule>
  </conditionalFormatting>
  <conditionalFormatting sqref="C1091">
    <cfRule type="cellIs" dxfId="30863" priority="3271" stopIfTrue="1" operator="equal">
      <formula>"1 Modify"</formula>
    </cfRule>
  </conditionalFormatting>
  <conditionalFormatting sqref="C1091">
    <cfRule type="cellIs" dxfId="30862" priority="3272" stopIfTrue="1" operator="equal">
      <formula>"2 Add"</formula>
    </cfRule>
  </conditionalFormatting>
  <conditionalFormatting sqref="C1091">
    <cfRule type="cellIs" dxfId="30861" priority="3273" stopIfTrue="1" operator="equal">
      <formula>"3 Delete"</formula>
    </cfRule>
  </conditionalFormatting>
  <conditionalFormatting sqref="C1092">
    <cfRule type="cellIs" dxfId="30860" priority="3274" stopIfTrue="1" operator="equal">
      <formula>"1 Modify"</formula>
    </cfRule>
  </conditionalFormatting>
  <conditionalFormatting sqref="C1092">
    <cfRule type="cellIs" dxfId="30859" priority="3275" stopIfTrue="1" operator="equal">
      <formula>"2 Add"</formula>
    </cfRule>
  </conditionalFormatting>
  <conditionalFormatting sqref="C1092">
    <cfRule type="cellIs" dxfId="30858" priority="3276" stopIfTrue="1" operator="equal">
      <formula>"3 Delete"</formula>
    </cfRule>
  </conditionalFormatting>
  <conditionalFormatting sqref="C1093">
    <cfRule type="cellIs" dxfId="30857" priority="3277" stopIfTrue="1" operator="equal">
      <formula>"1 Modify"</formula>
    </cfRule>
  </conditionalFormatting>
  <conditionalFormatting sqref="C1093">
    <cfRule type="cellIs" dxfId="30856" priority="3278" stopIfTrue="1" operator="equal">
      <formula>"2 Add"</formula>
    </cfRule>
  </conditionalFormatting>
  <conditionalFormatting sqref="C1093">
    <cfRule type="cellIs" dxfId="30855" priority="3279" stopIfTrue="1" operator="equal">
      <formula>"3 Delete"</formula>
    </cfRule>
  </conditionalFormatting>
  <conditionalFormatting sqref="C1094">
    <cfRule type="cellIs" dxfId="30854" priority="3280" stopIfTrue="1" operator="equal">
      <formula>"1 Modify"</formula>
    </cfRule>
  </conditionalFormatting>
  <conditionalFormatting sqref="C1094">
    <cfRule type="cellIs" dxfId="30853" priority="3281" stopIfTrue="1" operator="equal">
      <formula>"2 Add"</formula>
    </cfRule>
  </conditionalFormatting>
  <conditionalFormatting sqref="C1094">
    <cfRule type="cellIs" dxfId="30852" priority="3282" stopIfTrue="1" operator="equal">
      <formula>"3 Delete"</formula>
    </cfRule>
  </conditionalFormatting>
  <conditionalFormatting sqref="C1095">
    <cfRule type="cellIs" dxfId="30851" priority="3283" stopIfTrue="1" operator="equal">
      <formula>"1 Modify"</formula>
    </cfRule>
  </conditionalFormatting>
  <conditionalFormatting sqref="C1095">
    <cfRule type="cellIs" dxfId="30850" priority="3284" stopIfTrue="1" operator="equal">
      <formula>"2 Add"</formula>
    </cfRule>
  </conditionalFormatting>
  <conditionalFormatting sqref="C1095">
    <cfRule type="cellIs" dxfId="30849" priority="3285" stopIfTrue="1" operator="equal">
      <formula>"3 Delete"</formula>
    </cfRule>
  </conditionalFormatting>
  <conditionalFormatting sqref="C1096">
    <cfRule type="cellIs" dxfId="30848" priority="3286" stopIfTrue="1" operator="equal">
      <formula>"1 Modify"</formula>
    </cfRule>
  </conditionalFormatting>
  <conditionalFormatting sqref="C1096">
    <cfRule type="cellIs" dxfId="30847" priority="3287" stopIfTrue="1" operator="equal">
      <formula>"2 Add"</formula>
    </cfRule>
  </conditionalFormatting>
  <conditionalFormatting sqref="C1096">
    <cfRule type="cellIs" dxfId="30846" priority="3288" stopIfTrue="1" operator="equal">
      <formula>"3 Delete"</formula>
    </cfRule>
  </conditionalFormatting>
  <conditionalFormatting sqref="C1097">
    <cfRule type="cellIs" dxfId="30845" priority="3289" stopIfTrue="1" operator="equal">
      <formula>"1 Modify"</formula>
    </cfRule>
  </conditionalFormatting>
  <conditionalFormatting sqref="C1097">
    <cfRule type="cellIs" dxfId="30844" priority="3290" stopIfTrue="1" operator="equal">
      <formula>"2 Add"</formula>
    </cfRule>
  </conditionalFormatting>
  <conditionalFormatting sqref="C1097">
    <cfRule type="cellIs" dxfId="30843" priority="3291" stopIfTrue="1" operator="equal">
      <formula>"3 Delete"</formula>
    </cfRule>
  </conditionalFormatting>
  <conditionalFormatting sqref="C1098">
    <cfRule type="cellIs" dxfId="30842" priority="3292" stopIfTrue="1" operator="equal">
      <formula>"1 Modify"</formula>
    </cfRule>
  </conditionalFormatting>
  <conditionalFormatting sqref="C1098">
    <cfRule type="cellIs" dxfId="30841" priority="3293" stopIfTrue="1" operator="equal">
      <formula>"2 Add"</formula>
    </cfRule>
  </conditionalFormatting>
  <conditionalFormatting sqref="C1098">
    <cfRule type="cellIs" dxfId="30840" priority="3294" stopIfTrue="1" operator="equal">
      <formula>"3 Delete"</formula>
    </cfRule>
  </conditionalFormatting>
  <conditionalFormatting sqref="C1099">
    <cfRule type="cellIs" dxfId="30839" priority="3295" stopIfTrue="1" operator="equal">
      <formula>"1 Modify"</formula>
    </cfRule>
  </conditionalFormatting>
  <conditionalFormatting sqref="C1099">
    <cfRule type="cellIs" dxfId="30838" priority="3296" stopIfTrue="1" operator="equal">
      <formula>"2 Add"</formula>
    </cfRule>
  </conditionalFormatting>
  <conditionalFormatting sqref="C1099">
    <cfRule type="cellIs" dxfId="30837" priority="3297" stopIfTrue="1" operator="equal">
      <formula>"3 Delete"</formula>
    </cfRule>
  </conditionalFormatting>
  <conditionalFormatting sqref="C1100">
    <cfRule type="cellIs" dxfId="30836" priority="3298" stopIfTrue="1" operator="equal">
      <formula>"1 Modify"</formula>
    </cfRule>
  </conditionalFormatting>
  <conditionalFormatting sqref="C1100">
    <cfRule type="cellIs" dxfId="30835" priority="3299" stopIfTrue="1" operator="equal">
      <formula>"2 Add"</formula>
    </cfRule>
  </conditionalFormatting>
  <conditionalFormatting sqref="C1100">
    <cfRule type="cellIs" dxfId="30834" priority="3300" stopIfTrue="1" operator="equal">
      <formula>"3 Delete"</formula>
    </cfRule>
  </conditionalFormatting>
  <conditionalFormatting sqref="C1101">
    <cfRule type="cellIs" dxfId="30833" priority="3301" stopIfTrue="1" operator="equal">
      <formula>"1 Modify"</formula>
    </cfRule>
  </conditionalFormatting>
  <conditionalFormatting sqref="C1101">
    <cfRule type="cellIs" dxfId="30832" priority="3302" stopIfTrue="1" operator="equal">
      <formula>"2 Add"</formula>
    </cfRule>
  </conditionalFormatting>
  <conditionalFormatting sqref="C1101">
    <cfRule type="cellIs" dxfId="30831" priority="3303" stopIfTrue="1" operator="equal">
      <formula>"3 Delete"</formula>
    </cfRule>
  </conditionalFormatting>
  <conditionalFormatting sqref="C1102">
    <cfRule type="cellIs" dxfId="30830" priority="3304" stopIfTrue="1" operator="equal">
      <formula>"1 Modify"</formula>
    </cfRule>
  </conditionalFormatting>
  <conditionalFormatting sqref="C1102">
    <cfRule type="cellIs" dxfId="30829" priority="3305" stopIfTrue="1" operator="equal">
      <formula>"2 Add"</formula>
    </cfRule>
  </conditionalFormatting>
  <conditionalFormatting sqref="C1102">
    <cfRule type="cellIs" dxfId="30828" priority="3306" stopIfTrue="1" operator="equal">
      <formula>"3 Delete"</formula>
    </cfRule>
  </conditionalFormatting>
  <conditionalFormatting sqref="C1103">
    <cfRule type="cellIs" dxfId="30827" priority="3307" stopIfTrue="1" operator="equal">
      <formula>"1 Modify"</formula>
    </cfRule>
  </conditionalFormatting>
  <conditionalFormatting sqref="C1103">
    <cfRule type="cellIs" dxfId="30826" priority="3308" stopIfTrue="1" operator="equal">
      <formula>"2 Add"</formula>
    </cfRule>
  </conditionalFormatting>
  <conditionalFormatting sqref="C1103">
    <cfRule type="cellIs" dxfId="30825" priority="3309" stopIfTrue="1" operator="equal">
      <formula>"3 Delete"</formula>
    </cfRule>
  </conditionalFormatting>
  <conditionalFormatting sqref="C1104">
    <cfRule type="cellIs" dxfId="30824" priority="3310" stopIfTrue="1" operator="equal">
      <formula>"1 Modify"</formula>
    </cfRule>
  </conditionalFormatting>
  <conditionalFormatting sqref="C1104">
    <cfRule type="cellIs" dxfId="30823" priority="3311" stopIfTrue="1" operator="equal">
      <formula>"2 Add"</formula>
    </cfRule>
  </conditionalFormatting>
  <conditionalFormatting sqref="C1104">
    <cfRule type="cellIs" dxfId="30822" priority="3312" stopIfTrue="1" operator="equal">
      <formula>"3 Delete"</formula>
    </cfRule>
  </conditionalFormatting>
  <conditionalFormatting sqref="C1105">
    <cfRule type="cellIs" dxfId="30821" priority="3313" stopIfTrue="1" operator="equal">
      <formula>"1 Modify"</formula>
    </cfRule>
  </conditionalFormatting>
  <conditionalFormatting sqref="C1105">
    <cfRule type="cellIs" dxfId="30820" priority="3314" stopIfTrue="1" operator="equal">
      <formula>"2 Add"</formula>
    </cfRule>
  </conditionalFormatting>
  <conditionalFormatting sqref="C1105">
    <cfRule type="cellIs" dxfId="30819" priority="3315" stopIfTrue="1" operator="equal">
      <formula>"3 Delete"</formula>
    </cfRule>
  </conditionalFormatting>
  <conditionalFormatting sqref="C1106">
    <cfRule type="cellIs" dxfId="30818" priority="3316" stopIfTrue="1" operator="equal">
      <formula>"1 Modify"</formula>
    </cfRule>
  </conditionalFormatting>
  <conditionalFormatting sqref="C1106">
    <cfRule type="cellIs" dxfId="30817" priority="3317" stopIfTrue="1" operator="equal">
      <formula>"2 Add"</formula>
    </cfRule>
  </conditionalFormatting>
  <conditionalFormatting sqref="C1106">
    <cfRule type="cellIs" dxfId="30816" priority="3318" stopIfTrue="1" operator="equal">
      <formula>"3 Delete"</formula>
    </cfRule>
  </conditionalFormatting>
  <conditionalFormatting sqref="C1107">
    <cfRule type="cellIs" dxfId="30815" priority="3319" stopIfTrue="1" operator="equal">
      <formula>"1 Modify"</formula>
    </cfRule>
  </conditionalFormatting>
  <conditionalFormatting sqref="C1107">
    <cfRule type="cellIs" dxfId="30814" priority="3320" stopIfTrue="1" operator="equal">
      <formula>"2 Add"</formula>
    </cfRule>
  </conditionalFormatting>
  <conditionalFormatting sqref="C1107">
    <cfRule type="cellIs" dxfId="30813" priority="3321" stopIfTrue="1" operator="equal">
      <formula>"3 Delete"</formula>
    </cfRule>
  </conditionalFormatting>
  <conditionalFormatting sqref="C1108">
    <cfRule type="cellIs" dxfId="30812" priority="3322" stopIfTrue="1" operator="equal">
      <formula>"1 Modify"</formula>
    </cfRule>
  </conditionalFormatting>
  <conditionalFormatting sqref="C1108">
    <cfRule type="cellIs" dxfId="30811" priority="3323" stopIfTrue="1" operator="equal">
      <formula>"2 Add"</formula>
    </cfRule>
  </conditionalFormatting>
  <conditionalFormatting sqref="C1108">
    <cfRule type="cellIs" dxfId="30810" priority="3324" stopIfTrue="1" operator="equal">
      <formula>"3 Delete"</formula>
    </cfRule>
  </conditionalFormatting>
  <conditionalFormatting sqref="C1109">
    <cfRule type="cellIs" dxfId="30809" priority="3325" stopIfTrue="1" operator="equal">
      <formula>"1 Modify"</formula>
    </cfRule>
  </conditionalFormatting>
  <conditionalFormatting sqref="C1109">
    <cfRule type="cellIs" dxfId="30808" priority="3326" stopIfTrue="1" operator="equal">
      <formula>"2 Add"</formula>
    </cfRule>
  </conditionalFormatting>
  <conditionalFormatting sqref="C1109">
    <cfRule type="cellIs" dxfId="30807" priority="3327" stopIfTrue="1" operator="equal">
      <formula>"3 Delete"</formula>
    </cfRule>
  </conditionalFormatting>
  <conditionalFormatting sqref="C1110">
    <cfRule type="cellIs" dxfId="30806" priority="3328" stopIfTrue="1" operator="equal">
      <formula>"1 Modify"</formula>
    </cfRule>
  </conditionalFormatting>
  <conditionalFormatting sqref="C1110">
    <cfRule type="cellIs" dxfId="30805" priority="3329" stopIfTrue="1" operator="equal">
      <formula>"2 Add"</formula>
    </cfRule>
  </conditionalFormatting>
  <conditionalFormatting sqref="C1110">
    <cfRule type="cellIs" dxfId="30804" priority="3330" stopIfTrue="1" operator="equal">
      <formula>"3 Delete"</formula>
    </cfRule>
  </conditionalFormatting>
  <conditionalFormatting sqref="C1111">
    <cfRule type="cellIs" dxfId="30803" priority="3331" stopIfTrue="1" operator="equal">
      <formula>"1 Modify"</formula>
    </cfRule>
  </conditionalFormatting>
  <conditionalFormatting sqref="C1111">
    <cfRule type="cellIs" dxfId="30802" priority="3332" stopIfTrue="1" operator="equal">
      <formula>"2 Add"</formula>
    </cfRule>
  </conditionalFormatting>
  <conditionalFormatting sqref="C1111">
    <cfRule type="cellIs" dxfId="30801" priority="3333" stopIfTrue="1" operator="equal">
      <formula>"3 Delete"</formula>
    </cfRule>
  </conditionalFormatting>
  <conditionalFormatting sqref="C1112">
    <cfRule type="cellIs" dxfId="30800" priority="3334" stopIfTrue="1" operator="equal">
      <formula>"1 Modify"</formula>
    </cfRule>
  </conditionalFormatting>
  <conditionalFormatting sqref="C1112">
    <cfRule type="cellIs" dxfId="30799" priority="3335" stopIfTrue="1" operator="equal">
      <formula>"2 Add"</formula>
    </cfRule>
  </conditionalFormatting>
  <conditionalFormatting sqref="C1112">
    <cfRule type="cellIs" dxfId="30798" priority="3336" stopIfTrue="1" operator="equal">
      <formula>"3 Delete"</formula>
    </cfRule>
  </conditionalFormatting>
  <conditionalFormatting sqref="C1113">
    <cfRule type="cellIs" dxfId="30797" priority="3337" stopIfTrue="1" operator="equal">
      <formula>"1 Modify"</formula>
    </cfRule>
  </conditionalFormatting>
  <conditionalFormatting sqref="C1113">
    <cfRule type="cellIs" dxfId="30796" priority="3338" stopIfTrue="1" operator="equal">
      <formula>"2 Add"</formula>
    </cfRule>
  </conditionalFormatting>
  <conditionalFormatting sqref="C1113">
    <cfRule type="cellIs" dxfId="30795" priority="3339" stopIfTrue="1" operator="equal">
      <formula>"3 Delete"</formula>
    </cfRule>
  </conditionalFormatting>
  <conditionalFormatting sqref="C1114">
    <cfRule type="cellIs" dxfId="30794" priority="3340" stopIfTrue="1" operator="equal">
      <formula>"1 Modify"</formula>
    </cfRule>
  </conditionalFormatting>
  <conditionalFormatting sqref="C1114">
    <cfRule type="cellIs" dxfId="30793" priority="3341" stopIfTrue="1" operator="equal">
      <formula>"2 Add"</formula>
    </cfRule>
  </conditionalFormatting>
  <conditionalFormatting sqref="C1114">
    <cfRule type="cellIs" dxfId="30792" priority="3342" stopIfTrue="1" operator="equal">
      <formula>"3 Delete"</formula>
    </cfRule>
  </conditionalFormatting>
  <conditionalFormatting sqref="C1115">
    <cfRule type="cellIs" dxfId="30791" priority="3343" stopIfTrue="1" operator="equal">
      <formula>"1 Modify"</formula>
    </cfRule>
  </conditionalFormatting>
  <conditionalFormatting sqref="C1115">
    <cfRule type="cellIs" dxfId="30790" priority="3344" stopIfTrue="1" operator="equal">
      <formula>"2 Add"</formula>
    </cfRule>
  </conditionalFormatting>
  <conditionalFormatting sqref="C1115">
    <cfRule type="cellIs" dxfId="30789" priority="3345" stopIfTrue="1" operator="equal">
      <formula>"3 Delete"</formula>
    </cfRule>
  </conditionalFormatting>
  <conditionalFormatting sqref="C1116">
    <cfRule type="cellIs" dxfId="30788" priority="3346" stopIfTrue="1" operator="equal">
      <formula>"1 Modify"</formula>
    </cfRule>
  </conditionalFormatting>
  <conditionalFormatting sqref="C1116">
    <cfRule type="cellIs" dxfId="30787" priority="3347" stopIfTrue="1" operator="equal">
      <formula>"2 Add"</formula>
    </cfRule>
  </conditionalFormatting>
  <conditionalFormatting sqref="C1116">
    <cfRule type="cellIs" dxfId="30786" priority="3348" stopIfTrue="1" operator="equal">
      <formula>"3 Delete"</formula>
    </cfRule>
  </conditionalFormatting>
  <conditionalFormatting sqref="C1117">
    <cfRule type="cellIs" dxfId="30785" priority="3349" stopIfTrue="1" operator="equal">
      <formula>"1 Modify"</formula>
    </cfRule>
  </conditionalFormatting>
  <conditionalFormatting sqref="C1117">
    <cfRule type="cellIs" dxfId="30784" priority="3350" stopIfTrue="1" operator="equal">
      <formula>"2 Add"</formula>
    </cfRule>
  </conditionalFormatting>
  <conditionalFormatting sqref="C1117">
    <cfRule type="cellIs" dxfId="30783" priority="3351" stopIfTrue="1" operator="equal">
      <formula>"3 Delete"</formula>
    </cfRule>
  </conditionalFormatting>
  <conditionalFormatting sqref="C1118">
    <cfRule type="cellIs" dxfId="30782" priority="3352" stopIfTrue="1" operator="equal">
      <formula>"1 Modify"</formula>
    </cfRule>
  </conditionalFormatting>
  <conditionalFormatting sqref="C1118">
    <cfRule type="cellIs" dxfId="30781" priority="3353" stopIfTrue="1" operator="equal">
      <formula>"2 Add"</formula>
    </cfRule>
  </conditionalFormatting>
  <conditionalFormatting sqref="C1118">
    <cfRule type="cellIs" dxfId="30780" priority="3354" stopIfTrue="1" operator="equal">
      <formula>"3 Delete"</formula>
    </cfRule>
  </conditionalFormatting>
  <conditionalFormatting sqref="C1119">
    <cfRule type="cellIs" dxfId="30779" priority="3355" stopIfTrue="1" operator="equal">
      <formula>"1 Modify"</formula>
    </cfRule>
  </conditionalFormatting>
  <conditionalFormatting sqref="C1119">
    <cfRule type="cellIs" dxfId="30778" priority="3356" stopIfTrue="1" operator="equal">
      <formula>"2 Add"</formula>
    </cfRule>
  </conditionalFormatting>
  <conditionalFormatting sqref="C1119">
    <cfRule type="cellIs" dxfId="30777" priority="3357" stopIfTrue="1" operator="equal">
      <formula>"3 Delete"</formula>
    </cfRule>
  </conditionalFormatting>
  <conditionalFormatting sqref="C1120">
    <cfRule type="cellIs" dxfId="30776" priority="3358" stopIfTrue="1" operator="equal">
      <formula>"1 Modify"</formula>
    </cfRule>
  </conditionalFormatting>
  <conditionalFormatting sqref="C1120">
    <cfRule type="cellIs" dxfId="30775" priority="3359" stopIfTrue="1" operator="equal">
      <formula>"2 Add"</formula>
    </cfRule>
  </conditionalFormatting>
  <conditionalFormatting sqref="C1120">
    <cfRule type="cellIs" dxfId="30774" priority="3360" stopIfTrue="1" operator="equal">
      <formula>"3 Delete"</formula>
    </cfRule>
  </conditionalFormatting>
  <conditionalFormatting sqref="C1121">
    <cfRule type="cellIs" dxfId="30773" priority="3361" stopIfTrue="1" operator="equal">
      <formula>"1 Modify"</formula>
    </cfRule>
  </conditionalFormatting>
  <conditionalFormatting sqref="C1121">
    <cfRule type="cellIs" dxfId="30772" priority="3362" stopIfTrue="1" operator="equal">
      <formula>"2 Add"</formula>
    </cfRule>
  </conditionalFormatting>
  <conditionalFormatting sqref="C1121">
    <cfRule type="cellIs" dxfId="30771" priority="3363" stopIfTrue="1" operator="equal">
      <formula>"3 Delete"</formula>
    </cfRule>
  </conditionalFormatting>
  <conditionalFormatting sqref="C1122">
    <cfRule type="cellIs" dxfId="30770" priority="3364" stopIfTrue="1" operator="equal">
      <formula>"1 Modify"</formula>
    </cfRule>
  </conditionalFormatting>
  <conditionalFormatting sqref="C1122">
    <cfRule type="cellIs" dxfId="30769" priority="3365" stopIfTrue="1" operator="equal">
      <formula>"2 Add"</formula>
    </cfRule>
  </conditionalFormatting>
  <conditionalFormatting sqref="C1122">
    <cfRule type="cellIs" dxfId="30768" priority="3366" stopIfTrue="1" operator="equal">
      <formula>"3 Delete"</formula>
    </cfRule>
  </conditionalFormatting>
  <conditionalFormatting sqref="C1123">
    <cfRule type="cellIs" dxfId="30767" priority="3367" stopIfTrue="1" operator="equal">
      <formula>"1 Modify"</formula>
    </cfRule>
  </conditionalFormatting>
  <conditionalFormatting sqref="C1123">
    <cfRule type="cellIs" dxfId="30766" priority="3368" stopIfTrue="1" operator="equal">
      <formula>"2 Add"</formula>
    </cfRule>
  </conditionalFormatting>
  <conditionalFormatting sqref="C1123">
    <cfRule type="cellIs" dxfId="30765" priority="3369" stopIfTrue="1" operator="equal">
      <formula>"3 Delete"</formula>
    </cfRule>
  </conditionalFormatting>
  <conditionalFormatting sqref="C1124">
    <cfRule type="cellIs" dxfId="30764" priority="3370" stopIfTrue="1" operator="equal">
      <formula>"1 Modify"</formula>
    </cfRule>
  </conditionalFormatting>
  <conditionalFormatting sqref="C1124">
    <cfRule type="cellIs" dxfId="30763" priority="3371" stopIfTrue="1" operator="equal">
      <formula>"2 Add"</formula>
    </cfRule>
  </conditionalFormatting>
  <conditionalFormatting sqref="C1124">
    <cfRule type="cellIs" dxfId="30762" priority="3372" stopIfTrue="1" operator="equal">
      <formula>"3 Delete"</formula>
    </cfRule>
  </conditionalFormatting>
  <conditionalFormatting sqref="C1125">
    <cfRule type="cellIs" dxfId="30761" priority="3373" stopIfTrue="1" operator="equal">
      <formula>"1 Modify"</formula>
    </cfRule>
  </conditionalFormatting>
  <conditionalFormatting sqref="C1125">
    <cfRule type="cellIs" dxfId="30760" priority="3374" stopIfTrue="1" operator="equal">
      <formula>"2 Add"</formula>
    </cfRule>
  </conditionalFormatting>
  <conditionalFormatting sqref="C1125">
    <cfRule type="cellIs" dxfId="30759" priority="3375" stopIfTrue="1" operator="equal">
      <formula>"3 Delete"</formula>
    </cfRule>
  </conditionalFormatting>
  <conditionalFormatting sqref="C1126">
    <cfRule type="cellIs" dxfId="30758" priority="3376" stopIfTrue="1" operator="equal">
      <formula>"1 Modify"</formula>
    </cfRule>
  </conditionalFormatting>
  <conditionalFormatting sqref="C1126">
    <cfRule type="cellIs" dxfId="30757" priority="3377" stopIfTrue="1" operator="equal">
      <formula>"2 Add"</formula>
    </cfRule>
  </conditionalFormatting>
  <conditionalFormatting sqref="C1126">
    <cfRule type="cellIs" dxfId="30756" priority="3378" stopIfTrue="1" operator="equal">
      <formula>"3 Delete"</formula>
    </cfRule>
  </conditionalFormatting>
  <conditionalFormatting sqref="C1127">
    <cfRule type="cellIs" dxfId="30755" priority="3379" stopIfTrue="1" operator="equal">
      <formula>"1 Modify"</formula>
    </cfRule>
  </conditionalFormatting>
  <conditionalFormatting sqref="C1127">
    <cfRule type="cellIs" dxfId="30754" priority="3380" stopIfTrue="1" operator="equal">
      <formula>"2 Add"</formula>
    </cfRule>
  </conditionalFormatting>
  <conditionalFormatting sqref="C1127">
    <cfRule type="cellIs" dxfId="30753" priority="3381" stopIfTrue="1" operator="equal">
      <formula>"3 Delete"</formula>
    </cfRule>
  </conditionalFormatting>
  <conditionalFormatting sqref="C1128">
    <cfRule type="cellIs" dxfId="30752" priority="3382" stopIfTrue="1" operator="equal">
      <formula>"1 Modify"</formula>
    </cfRule>
  </conditionalFormatting>
  <conditionalFormatting sqref="C1128">
    <cfRule type="cellIs" dxfId="30751" priority="3383" stopIfTrue="1" operator="equal">
      <formula>"2 Add"</formula>
    </cfRule>
  </conditionalFormatting>
  <conditionalFormatting sqref="C1128">
    <cfRule type="cellIs" dxfId="30750" priority="3384" stopIfTrue="1" operator="equal">
      <formula>"3 Delete"</formula>
    </cfRule>
  </conditionalFormatting>
  <conditionalFormatting sqref="C1129">
    <cfRule type="cellIs" dxfId="30749" priority="3385" stopIfTrue="1" operator="equal">
      <formula>"1 Modify"</formula>
    </cfRule>
  </conditionalFormatting>
  <conditionalFormatting sqref="C1129">
    <cfRule type="cellIs" dxfId="30748" priority="3386" stopIfTrue="1" operator="equal">
      <formula>"2 Add"</formula>
    </cfRule>
  </conditionalFormatting>
  <conditionalFormatting sqref="C1129">
    <cfRule type="cellIs" dxfId="30747" priority="3387" stopIfTrue="1" operator="equal">
      <formula>"3 Delete"</formula>
    </cfRule>
  </conditionalFormatting>
  <conditionalFormatting sqref="C1130">
    <cfRule type="cellIs" dxfId="30746" priority="3388" stopIfTrue="1" operator="equal">
      <formula>"1 Modify"</formula>
    </cfRule>
  </conditionalFormatting>
  <conditionalFormatting sqref="C1130">
    <cfRule type="cellIs" dxfId="30745" priority="3389" stopIfTrue="1" operator="equal">
      <formula>"2 Add"</formula>
    </cfRule>
  </conditionalFormatting>
  <conditionalFormatting sqref="C1130">
    <cfRule type="cellIs" dxfId="30744" priority="3390" stopIfTrue="1" operator="equal">
      <formula>"3 Delete"</formula>
    </cfRule>
  </conditionalFormatting>
  <conditionalFormatting sqref="C1131">
    <cfRule type="cellIs" dxfId="30743" priority="3391" stopIfTrue="1" operator="equal">
      <formula>"1 Modify"</formula>
    </cfRule>
  </conditionalFormatting>
  <conditionalFormatting sqref="C1131">
    <cfRule type="cellIs" dxfId="30742" priority="3392" stopIfTrue="1" operator="equal">
      <formula>"2 Add"</formula>
    </cfRule>
  </conditionalFormatting>
  <conditionalFormatting sqref="C1131">
    <cfRule type="cellIs" dxfId="30741" priority="3393" stopIfTrue="1" operator="equal">
      <formula>"3 Delete"</formula>
    </cfRule>
  </conditionalFormatting>
  <conditionalFormatting sqref="C1132">
    <cfRule type="cellIs" dxfId="30740" priority="3394" stopIfTrue="1" operator="equal">
      <formula>"1 Modify"</formula>
    </cfRule>
  </conditionalFormatting>
  <conditionalFormatting sqref="C1132">
    <cfRule type="cellIs" dxfId="30739" priority="3395" stopIfTrue="1" operator="equal">
      <formula>"2 Add"</formula>
    </cfRule>
  </conditionalFormatting>
  <conditionalFormatting sqref="C1132">
    <cfRule type="cellIs" dxfId="30738" priority="3396" stopIfTrue="1" operator="equal">
      <formula>"3 Delete"</formula>
    </cfRule>
  </conditionalFormatting>
  <conditionalFormatting sqref="C1133">
    <cfRule type="cellIs" dxfId="30737" priority="3397" stopIfTrue="1" operator="equal">
      <formula>"1 Modify"</formula>
    </cfRule>
  </conditionalFormatting>
  <conditionalFormatting sqref="C1133">
    <cfRule type="cellIs" dxfId="30736" priority="3398" stopIfTrue="1" operator="equal">
      <formula>"2 Add"</formula>
    </cfRule>
  </conditionalFormatting>
  <conditionalFormatting sqref="C1133">
    <cfRule type="cellIs" dxfId="30735" priority="3399" stopIfTrue="1" operator="equal">
      <formula>"3 Delete"</formula>
    </cfRule>
  </conditionalFormatting>
  <conditionalFormatting sqref="C1134">
    <cfRule type="cellIs" dxfId="30734" priority="3400" stopIfTrue="1" operator="equal">
      <formula>"1 Modify"</formula>
    </cfRule>
  </conditionalFormatting>
  <conditionalFormatting sqref="C1134">
    <cfRule type="cellIs" dxfId="30733" priority="3401" stopIfTrue="1" operator="equal">
      <formula>"2 Add"</formula>
    </cfRule>
  </conditionalFormatting>
  <conditionalFormatting sqref="C1134">
    <cfRule type="cellIs" dxfId="30732" priority="3402" stopIfTrue="1" operator="equal">
      <formula>"3 Delete"</formula>
    </cfRule>
  </conditionalFormatting>
  <conditionalFormatting sqref="C1135">
    <cfRule type="cellIs" dxfId="30731" priority="3403" stopIfTrue="1" operator="equal">
      <formula>"1 Modify"</formula>
    </cfRule>
  </conditionalFormatting>
  <conditionalFormatting sqref="C1135">
    <cfRule type="cellIs" dxfId="30730" priority="3404" stopIfTrue="1" operator="equal">
      <formula>"2 Add"</formula>
    </cfRule>
  </conditionalFormatting>
  <conditionalFormatting sqref="C1135">
    <cfRule type="cellIs" dxfId="30729" priority="3405" stopIfTrue="1" operator="equal">
      <formula>"3 Delete"</formula>
    </cfRule>
  </conditionalFormatting>
  <conditionalFormatting sqref="C1136">
    <cfRule type="cellIs" dxfId="30728" priority="3406" stopIfTrue="1" operator="equal">
      <formula>"1 Modify"</formula>
    </cfRule>
  </conditionalFormatting>
  <conditionalFormatting sqref="C1136">
    <cfRule type="cellIs" dxfId="30727" priority="3407" stopIfTrue="1" operator="equal">
      <formula>"2 Add"</formula>
    </cfRule>
  </conditionalFormatting>
  <conditionalFormatting sqref="C1136">
    <cfRule type="cellIs" dxfId="30726" priority="3408" stopIfTrue="1" operator="equal">
      <formula>"3 Delete"</formula>
    </cfRule>
  </conditionalFormatting>
  <conditionalFormatting sqref="C1137">
    <cfRule type="cellIs" dxfId="30725" priority="3409" stopIfTrue="1" operator="equal">
      <formula>"1 Modify"</formula>
    </cfRule>
  </conditionalFormatting>
  <conditionalFormatting sqref="C1137">
    <cfRule type="cellIs" dxfId="30724" priority="3410" stopIfTrue="1" operator="equal">
      <formula>"2 Add"</formula>
    </cfRule>
  </conditionalFormatting>
  <conditionalFormatting sqref="C1137">
    <cfRule type="cellIs" dxfId="30723" priority="3411" stopIfTrue="1" operator="equal">
      <formula>"3 Delete"</formula>
    </cfRule>
  </conditionalFormatting>
  <conditionalFormatting sqref="C1138">
    <cfRule type="cellIs" dxfId="30722" priority="3412" stopIfTrue="1" operator="equal">
      <formula>"1 Modify"</formula>
    </cfRule>
  </conditionalFormatting>
  <conditionalFormatting sqref="C1138">
    <cfRule type="cellIs" dxfId="30721" priority="3413" stopIfTrue="1" operator="equal">
      <formula>"2 Add"</formula>
    </cfRule>
  </conditionalFormatting>
  <conditionalFormatting sqref="C1138">
    <cfRule type="cellIs" dxfId="30720" priority="3414" stopIfTrue="1" operator="equal">
      <formula>"3 Delete"</formula>
    </cfRule>
  </conditionalFormatting>
  <conditionalFormatting sqref="C1139">
    <cfRule type="cellIs" dxfId="30719" priority="3415" stopIfTrue="1" operator="equal">
      <formula>"1 Modify"</formula>
    </cfRule>
  </conditionalFormatting>
  <conditionalFormatting sqref="C1139">
    <cfRule type="cellIs" dxfId="30718" priority="3416" stopIfTrue="1" operator="equal">
      <formula>"2 Add"</formula>
    </cfRule>
  </conditionalFormatting>
  <conditionalFormatting sqref="C1139">
    <cfRule type="cellIs" dxfId="30717" priority="3417" stopIfTrue="1" operator="equal">
      <formula>"3 Delete"</formula>
    </cfRule>
  </conditionalFormatting>
  <conditionalFormatting sqref="C1140">
    <cfRule type="cellIs" dxfId="30716" priority="3418" stopIfTrue="1" operator="equal">
      <formula>"1 Modify"</formula>
    </cfRule>
  </conditionalFormatting>
  <conditionalFormatting sqref="C1140">
    <cfRule type="cellIs" dxfId="30715" priority="3419" stopIfTrue="1" operator="equal">
      <formula>"2 Add"</formula>
    </cfRule>
  </conditionalFormatting>
  <conditionalFormatting sqref="C1140">
    <cfRule type="cellIs" dxfId="30714" priority="3420" stopIfTrue="1" operator="equal">
      <formula>"3 Delete"</formula>
    </cfRule>
  </conditionalFormatting>
  <conditionalFormatting sqref="C1141">
    <cfRule type="cellIs" dxfId="30713" priority="3421" stopIfTrue="1" operator="equal">
      <formula>"1 Modify"</formula>
    </cfRule>
  </conditionalFormatting>
  <conditionalFormatting sqref="C1141">
    <cfRule type="cellIs" dxfId="30712" priority="3422" stopIfTrue="1" operator="equal">
      <formula>"2 Add"</formula>
    </cfRule>
  </conditionalFormatting>
  <conditionalFormatting sqref="C1141">
    <cfRule type="cellIs" dxfId="30711" priority="3423" stopIfTrue="1" operator="equal">
      <formula>"3 Delete"</formula>
    </cfRule>
  </conditionalFormatting>
  <conditionalFormatting sqref="C1142">
    <cfRule type="cellIs" dxfId="30710" priority="3424" stopIfTrue="1" operator="equal">
      <formula>"1 Modify"</formula>
    </cfRule>
  </conditionalFormatting>
  <conditionalFormatting sqref="C1142">
    <cfRule type="cellIs" dxfId="30709" priority="3425" stopIfTrue="1" operator="equal">
      <formula>"2 Add"</formula>
    </cfRule>
  </conditionalFormatting>
  <conditionalFormatting sqref="C1142">
    <cfRule type="cellIs" dxfId="30708" priority="3426" stopIfTrue="1" operator="equal">
      <formula>"3 Delete"</formula>
    </cfRule>
  </conditionalFormatting>
  <conditionalFormatting sqref="C1143">
    <cfRule type="cellIs" dxfId="30707" priority="3427" stopIfTrue="1" operator="equal">
      <formula>"1 Modify"</formula>
    </cfRule>
  </conditionalFormatting>
  <conditionalFormatting sqref="C1143">
    <cfRule type="cellIs" dxfId="30706" priority="3428" stopIfTrue="1" operator="equal">
      <formula>"2 Add"</formula>
    </cfRule>
  </conditionalFormatting>
  <conditionalFormatting sqref="C1143">
    <cfRule type="cellIs" dxfId="30705" priority="3429" stopIfTrue="1" operator="equal">
      <formula>"3 Delete"</formula>
    </cfRule>
  </conditionalFormatting>
  <conditionalFormatting sqref="C1144">
    <cfRule type="cellIs" dxfId="30704" priority="3430" stopIfTrue="1" operator="equal">
      <formula>"1 Modify"</formula>
    </cfRule>
  </conditionalFormatting>
  <conditionalFormatting sqref="C1144">
    <cfRule type="cellIs" dxfId="30703" priority="3431" stopIfTrue="1" operator="equal">
      <formula>"2 Add"</formula>
    </cfRule>
  </conditionalFormatting>
  <conditionalFormatting sqref="C1144">
    <cfRule type="cellIs" dxfId="30702" priority="3432" stopIfTrue="1" operator="equal">
      <formula>"3 Delete"</formula>
    </cfRule>
  </conditionalFormatting>
  <conditionalFormatting sqref="C1145">
    <cfRule type="cellIs" dxfId="30701" priority="3433" stopIfTrue="1" operator="equal">
      <formula>"1 Modify"</formula>
    </cfRule>
  </conditionalFormatting>
  <conditionalFormatting sqref="C1145">
    <cfRule type="cellIs" dxfId="30700" priority="3434" stopIfTrue="1" operator="equal">
      <formula>"2 Add"</formula>
    </cfRule>
  </conditionalFormatting>
  <conditionalFormatting sqref="C1145">
    <cfRule type="cellIs" dxfId="30699" priority="3435" stopIfTrue="1" operator="equal">
      <formula>"3 Delete"</formula>
    </cfRule>
  </conditionalFormatting>
  <conditionalFormatting sqref="C1146">
    <cfRule type="cellIs" dxfId="30698" priority="3436" stopIfTrue="1" operator="equal">
      <formula>"1 Modify"</formula>
    </cfRule>
  </conditionalFormatting>
  <conditionalFormatting sqref="C1146">
    <cfRule type="cellIs" dxfId="30697" priority="3437" stopIfTrue="1" operator="equal">
      <formula>"2 Add"</formula>
    </cfRule>
  </conditionalFormatting>
  <conditionalFormatting sqref="C1146">
    <cfRule type="cellIs" dxfId="30696" priority="3438" stopIfTrue="1" operator="equal">
      <formula>"3 Delete"</formula>
    </cfRule>
  </conditionalFormatting>
  <conditionalFormatting sqref="C1147">
    <cfRule type="cellIs" dxfId="30695" priority="3439" stopIfTrue="1" operator="equal">
      <formula>"1 Modify"</formula>
    </cfRule>
  </conditionalFormatting>
  <conditionalFormatting sqref="C1147">
    <cfRule type="cellIs" dxfId="30694" priority="3440" stopIfTrue="1" operator="equal">
      <formula>"2 Add"</formula>
    </cfRule>
  </conditionalFormatting>
  <conditionalFormatting sqref="C1147">
    <cfRule type="cellIs" dxfId="30693" priority="3441" stopIfTrue="1" operator="equal">
      <formula>"3 Delete"</formula>
    </cfRule>
  </conditionalFormatting>
  <conditionalFormatting sqref="C1148">
    <cfRule type="cellIs" dxfId="30692" priority="3442" stopIfTrue="1" operator="equal">
      <formula>"1 Modify"</formula>
    </cfRule>
  </conditionalFormatting>
  <conditionalFormatting sqref="C1148">
    <cfRule type="cellIs" dxfId="30691" priority="3443" stopIfTrue="1" operator="equal">
      <formula>"2 Add"</formula>
    </cfRule>
  </conditionalFormatting>
  <conditionalFormatting sqref="C1148">
    <cfRule type="cellIs" dxfId="30690" priority="3444" stopIfTrue="1" operator="equal">
      <formula>"3 Delete"</formula>
    </cfRule>
  </conditionalFormatting>
  <conditionalFormatting sqref="C1149">
    <cfRule type="cellIs" dxfId="30689" priority="3445" stopIfTrue="1" operator="equal">
      <formula>"1 Modify"</formula>
    </cfRule>
  </conditionalFormatting>
  <conditionalFormatting sqref="C1149">
    <cfRule type="cellIs" dxfId="30688" priority="3446" stopIfTrue="1" operator="equal">
      <formula>"2 Add"</formula>
    </cfRule>
  </conditionalFormatting>
  <conditionalFormatting sqref="C1149">
    <cfRule type="cellIs" dxfId="30687" priority="3447" stopIfTrue="1" operator="equal">
      <formula>"3 Delete"</formula>
    </cfRule>
  </conditionalFormatting>
  <conditionalFormatting sqref="C1150">
    <cfRule type="cellIs" dxfId="30686" priority="3448" stopIfTrue="1" operator="equal">
      <formula>"1 Modify"</formula>
    </cfRule>
  </conditionalFormatting>
  <conditionalFormatting sqref="C1150">
    <cfRule type="cellIs" dxfId="30685" priority="3449" stopIfTrue="1" operator="equal">
      <formula>"2 Add"</formula>
    </cfRule>
  </conditionalFormatting>
  <conditionalFormatting sqref="C1150">
    <cfRule type="cellIs" dxfId="30684" priority="3450" stopIfTrue="1" operator="equal">
      <formula>"3 Delete"</formula>
    </cfRule>
  </conditionalFormatting>
  <conditionalFormatting sqref="C1151">
    <cfRule type="cellIs" dxfId="30683" priority="3451" stopIfTrue="1" operator="equal">
      <formula>"1 Modify"</formula>
    </cfRule>
  </conditionalFormatting>
  <conditionalFormatting sqref="C1151">
    <cfRule type="cellIs" dxfId="30682" priority="3452" stopIfTrue="1" operator="equal">
      <formula>"2 Add"</formula>
    </cfRule>
  </conditionalFormatting>
  <conditionalFormatting sqref="C1151">
    <cfRule type="cellIs" dxfId="30681" priority="3453" stopIfTrue="1" operator="equal">
      <formula>"3 Delete"</formula>
    </cfRule>
  </conditionalFormatting>
  <conditionalFormatting sqref="C1152">
    <cfRule type="cellIs" dxfId="30680" priority="3454" stopIfTrue="1" operator="equal">
      <formula>"1 Modify"</formula>
    </cfRule>
  </conditionalFormatting>
  <conditionalFormatting sqref="C1152">
    <cfRule type="cellIs" dxfId="30679" priority="3455" stopIfTrue="1" operator="equal">
      <formula>"2 Add"</formula>
    </cfRule>
  </conditionalFormatting>
  <conditionalFormatting sqref="C1152">
    <cfRule type="cellIs" dxfId="30678" priority="3456" stopIfTrue="1" operator="equal">
      <formula>"3 Delete"</formula>
    </cfRule>
  </conditionalFormatting>
  <conditionalFormatting sqref="C1153">
    <cfRule type="cellIs" dxfId="30677" priority="3457" stopIfTrue="1" operator="equal">
      <formula>"1 Modify"</formula>
    </cfRule>
  </conditionalFormatting>
  <conditionalFormatting sqref="C1153">
    <cfRule type="cellIs" dxfId="30676" priority="3458" stopIfTrue="1" operator="equal">
      <formula>"2 Add"</formula>
    </cfRule>
  </conditionalFormatting>
  <conditionalFormatting sqref="C1153">
    <cfRule type="cellIs" dxfId="30675" priority="3459" stopIfTrue="1" operator="equal">
      <formula>"3 Delete"</formula>
    </cfRule>
  </conditionalFormatting>
  <conditionalFormatting sqref="C1154">
    <cfRule type="cellIs" dxfId="30674" priority="3460" stopIfTrue="1" operator="equal">
      <formula>"1 Modify"</formula>
    </cfRule>
  </conditionalFormatting>
  <conditionalFormatting sqref="C1154">
    <cfRule type="cellIs" dxfId="30673" priority="3461" stopIfTrue="1" operator="equal">
      <formula>"2 Add"</formula>
    </cfRule>
  </conditionalFormatting>
  <conditionalFormatting sqref="C1154">
    <cfRule type="cellIs" dxfId="30672" priority="3462" stopIfTrue="1" operator="equal">
      <formula>"3 Delete"</formula>
    </cfRule>
  </conditionalFormatting>
  <conditionalFormatting sqref="C1155">
    <cfRule type="cellIs" dxfId="30671" priority="3463" stopIfTrue="1" operator="equal">
      <formula>"1 Modify"</formula>
    </cfRule>
  </conditionalFormatting>
  <conditionalFormatting sqref="C1155">
    <cfRule type="cellIs" dxfId="30670" priority="3464" stopIfTrue="1" operator="equal">
      <formula>"2 Add"</formula>
    </cfRule>
  </conditionalFormatting>
  <conditionalFormatting sqref="C1155">
    <cfRule type="cellIs" dxfId="30669" priority="3465" stopIfTrue="1" operator="equal">
      <formula>"3 Delete"</formula>
    </cfRule>
  </conditionalFormatting>
  <conditionalFormatting sqref="C1156">
    <cfRule type="cellIs" dxfId="30668" priority="3466" stopIfTrue="1" operator="equal">
      <formula>"1 Modify"</formula>
    </cfRule>
  </conditionalFormatting>
  <conditionalFormatting sqref="C1156">
    <cfRule type="cellIs" dxfId="30667" priority="3467" stopIfTrue="1" operator="equal">
      <formula>"2 Add"</formula>
    </cfRule>
  </conditionalFormatting>
  <conditionalFormatting sqref="C1156">
    <cfRule type="cellIs" dxfId="30666" priority="3468" stopIfTrue="1" operator="equal">
      <formula>"3 Delete"</formula>
    </cfRule>
  </conditionalFormatting>
  <conditionalFormatting sqref="C1157">
    <cfRule type="cellIs" dxfId="30665" priority="3469" stopIfTrue="1" operator="equal">
      <formula>"1 Modify"</formula>
    </cfRule>
  </conditionalFormatting>
  <conditionalFormatting sqref="C1157">
    <cfRule type="cellIs" dxfId="30664" priority="3470" stopIfTrue="1" operator="equal">
      <formula>"2 Add"</formula>
    </cfRule>
  </conditionalFormatting>
  <conditionalFormatting sqref="C1157">
    <cfRule type="cellIs" dxfId="30663" priority="3471" stopIfTrue="1" operator="equal">
      <formula>"3 Delete"</formula>
    </cfRule>
  </conditionalFormatting>
  <conditionalFormatting sqref="C1158">
    <cfRule type="cellIs" dxfId="30662" priority="3472" stopIfTrue="1" operator="equal">
      <formula>"1 Modify"</formula>
    </cfRule>
  </conditionalFormatting>
  <conditionalFormatting sqref="C1158">
    <cfRule type="cellIs" dxfId="30661" priority="3473" stopIfTrue="1" operator="equal">
      <formula>"2 Add"</formula>
    </cfRule>
  </conditionalFormatting>
  <conditionalFormatting sqref="C1158">
    <cfRule type="cellIs" dxfId="30660" priority="3474" stopIfTrue="1" operator="equal">
      <formula>"3 Delete"</formula>
    </cfRule>
  </conditionalFormatting>
  <conditionalFormatting sqref="C1159">
    <cfRule type="cellIs" dxfId="30659" priority="3475" stopIfTrue="1" operator="equal">
      <formula>"1 Modify"</formula>
    </cfRule>
  </conditionalFormatting>
  <conditionalFormatting sqref="C1159">
    <cfRule type="cellIs" dxfId="30658" priority="3476" stopIfTrue="1" operator="equal">
      <formula>"2 Add"</formula>
    </cfRule>
  </conditionalFormatting>
  <conditionalFormatting sqref="C1159">
    <cfRule type="cellIs" dxfId="30657" priority="3477" stopIfTrue="1" operator="equal">
      <formula>"3 Delete"</formula>
    </cfRule>
  </conditionalFormatting>
  <conditionalFormatting sqref="C1160">
    <cfRule type="cellIs" dxfId="30656" priority="3478" stopIfTrue="1" operator="equal">
      <formula>"1 Modify"</formula>
    </cfRule>
  </conditionalFormatting>
  <conditionalFormatting sqref="C1160">
    <cfRule type="cellIs" dxfId="30655" priority="3479" stopIfTrue="1" operator="equal">
      <formula>"2 Add"</formula>
    </cfRule>
  </conditionalFormatting>
  <conditionalFormatting sqref="C1160">
    <cfRule type="cellIs" dxfId="30654" priority="3480" stopIfTrue="1" operator="equal">
      <formula>"3 Delete"</formula>
    </cfRule>
  </conditionalFormatting>
  <conditionalFormatting sqref="C1161">
    <cfRule type="cellIs" dxfId="30653" priority="3481" stopIfTrue="1" operator="equal">
      <formula>"1 Modify"</formula>
    </cfRule>
  </conditionalFormatting>
  <conditionalFormatting sqref="C1161">
    <cfRule type="cellIs" dxfId="30652" priority="3482" stopIfTrue="1" operator="equal">
      <formula>"2 Add"</formula>
    </cfRule>
  </conditionalFormatting>
  <conditionalFormatting sqref="C1161">
    <cfRule type="cellIs" dxfId="30651" priority="3483" stopIfTrue="1" operator="equal">
      <formula>"3 Delete"</formula>
    </cfRule>
  </conditionalFormatting>
  <conditionalFormatting sqref="C1162">
    <cfRule type="cellIs" dxfId="30650" priority="3484" stopIfTrue="1" operator="equal">
      <formula>"1 Modify"</formula>
    </cfRule>
  </conditionalFormatting>
  <conditionalFormatting sqref="C1162">
    <cfRule type="cellIs" dxfId="30649" priority="3485" stopIfTrue="1" operator="equal">
      <formula>"2 Add"</formula>
    </cfRule>
  </conditionalFormatting>
  <conditionalFormatting sqref="C1162">
    <cfRule type="cellIs" dxfId="30648" priority="3486" stopIfTrue="1" operator="equal">
      <formula>"3 Delete"</formula>
    </cfRule>
  </conditionalFormatting>
  <conditionalFormatting sqref="C1163">
    <cfRule type="cellIs" dxfId="30647" priority="3487" stopIfTrue="1" operator="equal">
      <formula>"1 Modify"</formula>
    </cfRule>
  </conditionalFormatting>
  <conditionalFormatting sqref="C1163">
    <cfRule type="cellIs" dxfId="30646" priority="3488" stopIfTrue="1" operator="equal">
      <formula>"2 Add"</formula>
    </cfRule>
  </conditionalFormatting>
  <conditionalFormatting sqref="C1163">
    <cfRule type="cellIs" dxfId="30645" priority="3489" stopIfTrue="1" operator="equal">
      <formula>"3 Delete"</formula>
    </cfRule>
  </conditionalFormatting>
  <conditionalFormatting sqref="C1164">
    <cfRule type="cellIs" dxfId="30644" priority="3490" stopIfTrue="1" operator="equal">
      <formula>"1 Modify"</formula>
    </cfRule>
  </conditionalFormatting>
  <conditionalFormatting sqref="C1164">
    <cfRule type="cellIs" dxfId="30643" priority="3491" stopIfTrue="1" operator="equal">
      <formula>"2 Add"</formula>
    </cfRule>
  </conditionalFormatting>
  <conditionalFormatting sqref="C1164">
    <cfRule type="cellIs" dxfId="30642" priority="3492" stopIfTrue="1" operator="equal">
      <formula>"3 Delete"</formula>
    </cfRule>
  </conditionalFormatting>
  <conditionalFormatting sqref="C1165">
    <cfRule type="cellIs" dxfId="30641" priority="3493" stopIfTrue="1" operator="equal">
      <formula>"1 Modify"</formula>
    </cfRule>
  </conditionalFormatting>
  <conditionalFormatting sqref="C1165">
    <cfRule type="cellIs" dxfId="30640" priority="3494" stopIfTrue="1" operator="equal">
      <formula>"2 Add"</formula>
    </cfRule>
  </conditionalFormatting>
  <conditionalFormatting sqref="C1165">
    <cfRule type="cellIs" dxfId="30639" priority="3495" stopIfTrue="1" operator="equal">
      <formula>"3 Delete"</formula>
    </cfRule>
  </conditionalFormatting>
  <conditionalFormatting sqref="C1166">
    <cfRule type="cellIs" dxfId="30638" priority="3496" stopIfTrue="1" operator="equal">
      <formula>"1 Modify"</formula>
    </cfRule>
  </conditionalFormatting>
  <conditionalFormatting sqref="C1166">
    <cfRule type="cellIs" dxfId="30637" priority="3497" stopIfTrue="1" operator="equal">
      <formula>"2 Add"</formula>
    </cfRule>
  </conditionalFormatting>
  <conditionalFormatting sqref="C1166">
    <cfRule type="cellIs" dxfId="30636" priority="3498" stopIfTrue="1" operator="equal">
      <formula>"3 Delete"</formula>
    </cfRule>
  </conditionalFormatting>
  <conditionalFormatting sqref="C1167">
    <cfRule type="cellIs" dxfId="30635" priority="3499" stopIfTrue="1" operator="equal">
      <formula>"1 Modify"</formula>
    </cfRule>
  </conditionalFormatting>
  <conditionalFormatting sqref="C1167">
    <cfRule type="cellIs" dxfId="30634" priority="3500" stopIfTrue="1" operator="equal">
      <formula>"2 Add"</formula>
    </cfRule>
  </conditionalFormatting>
  <conditionalFormatting sqref="C1167">
    <cfRule type="cellIs" dxfId="30633" priority="3501" stopIfTrue="1" operator="equal">
      <formula>"3 Delete"</formula>
    </cfRule>
  </conditionalFormatting>
  <conditionalFormatting sqref="C1168">
    <cfRule type="cellIs" dxfId="30632" priority="3502" stopIfTrue="1" operator="equal">
      <formula>"1 Modify"</formula>
    </cfRule>
  </conditionalFormatting>
  <conditionalFormatting sqref="C1168">
    <cfRule type="cellIs" dxfId="30631" priority="3503" stopIfTrue="1" operator="equal">
      <formula>"2 Add"</formula>
    </cfRule>
  </conditionalFormatting>
  <conditionalFormatting sqref="C1168">
    <cfRule type="cellIs" dxfId="30630" priority="3504" stopIfTrue="1" operator="equal">
      <formula>"3 Delete"</formula>
    </cfRule>
  </conditionalFormatting>
  <conditionalFormatting sqref="C1169">
    <cfRule type="cellIs" dxfId="30629" priority="3505" stopIfTrue="1" operator="equal">
      <formula>"1 Modify"</formula>
    </cfRule>
  </conditionalFormatting>
  <conditionalFormatting sqref="C1169">
    <cfRule type="cellIs" dxfId="30628" priority="3506" stopIfTrue="1" operator="equal">
      <formula>"2 Add"</formula>
    </cfRule>
  </conditionalFormatting>
  <conditionalFormatting sqref="C1169">
    <cfRule type="cellIs" dxfId="30627" priority="3507" stopIfTrue="1" operator="equal">
      <formula>"3 Delete"</formula>
    </cfRule>
  </conditionalFormatting>
  <conditionalFormatting sqref="C1170">
    <cfRule type="cellIs" dxfId="30626" priority="3508" stopIfTrue="1" operator="equal">
      <formula>"1 Modify"</formula>
    </cfRule>
  </conditionalFormatting>
  <conditionalFormatting sqref="C1170">
    <cfRule type="cellIs" dxfId="30625" priority="3509" stopIfTrue="1" operator="equal">
      <formula>"2 Add"</formula>
    </cfRule>
  </conditionalFormatting>
  <conditionalFormatting sqref="C1170">
    <cfRule type="cellIs" dxfId="30624" priority="3510" stopIfTrue="1" operator="equal">
      <formula>"3 Delete"</formula>
    </cfRule>
  </conditionalFormatting>
  <conditionalFormatting sqref="C1171">
    <cfRule type="cellIs" dxfId="30623" priority="3511" stopIfTrue="1" operator="equal">
      <formula>"1 Modify"</formula>
    </cfRule>
  </conditionalFormatting>
  <conditionalFormatting sqref="C1171">
    <cfRule type="cellIs" dxfId="30622" priority="3512" stopIfTrue="1" operator="equal">
      <formula>"2 Add"</formula>
    </cfRule>
  </conditionalFormatting>
  <conditionalFormatting sqref="C1171">
    <cfRule type="cellIs" dxfId="30621" priority="3513" stopIfTrue="1" operator="equal">
      <formula>"3 Delete"</formula>
    </cfRule>
  </conditionalFormatting>
  <conditionalFormatting sqref="C1172">
    <cfRule type="cellIs" dxfId="30620" priority="3514" stopIfTrue="1" operator="equal">
      <formula>"1 Modify"</formula>
    </cfRule>
  </conditionalFormatting>
  <conditionalFormatting sqref="C1172">
    <cfRule type="cellIs" dxfId="30619" priority="3515" stopIfTrue="1" operator="equal">
      <formula>"2 Add"</formula>
    </cfRule>
  </conditionalFormatting>
  <conditionalFormatting sqref="C1172">
    <cfRule type="cellIs" dxfId="30618" priority="3516" stopIfTrue="1" operator="equal">
      <formula>"3 Delete"</formula>
    </cfRule>
  </conditionalFormatting>
  <conditionalFormatting sqref="C1173">
    <cfRule type="cellIs" dxfId="30617" priority="3517" stopIfTrue="1" operator="equal">
      <formula>"1 Modify"</formula>
    </cfRule>
  </conditionalFormatting>
  <conditionalFormatting sqref="C1173">
    <cfRule type="cellIs" dxfId="30616" priority="3518" stopIfTrue="1" operator="equal">
      <formula>"2 Add"</formula>
    </cfRule>
  </conditionalFormatting>
  <conditionalFormatting sqref="C1173">
    <cfRule type="cellIs" dxfId="30615" priority="3519" stopIfTrue="1" operator="equal">
      <formula>"3 Delete"</formula>
    </cfRule>
  </conditionalFormatting>
  <conditionalFormatting sqref="C1174">
    <cfRule type="cellIs" dxfId="30614" priority="3520" stopIfTrue="1" operator="equal">
      <formula>"1 Modify"</formula>
    </cfRule>
  </conditionalFormatting>
  <conditionalFormatting sqref="C1174">
    <cfRule type="cellIs" dxfId="30613" priority="3521" stopIfTrue="1" operator="equal">
      <formula>"2 Add"</formula>
    </cfRule>
  </conditionalFormatting>
  <conditionalFormatting sqref="C1174">
    <cfRule type="cellIs" dxfId="30612" priority="3522" stopIfTrue="1" operator="equal">
      <formula>"3 Delete"</formula>
    </cfRule>
  </conditionalFormatting>
  <conditionalFormatting sqref="C1175">
    <cfRule type="cellIs" dxfId="30611" priority="3523" stopIfTrue="1" operator="equal">
      <formula>"1 Modify"</formula>
    </cfRule>
  </conditionalFormatting>
  <conditionalFormatting sqref="C1175">
    <cfRule type="cellIs" dxfId="30610" priority="3524" stopIfTrue="1" operator="equal">
      <formula>"2 Add"</formula>
    </cfRule>
  </conditionalFormatting>
  <conditionalFormatting sqref="C1175">
    <cfRule type="cellIs" dxfId="30609" priority="3525" stopIfTrue="1" operator="equal">
      <formula>"3 Delete"</formula>
    </cfRule>
  </conditionalFormatting>
  <conditionalFormatting sqref="C1176">
    <cfRule type="cellIs" dxfId="30608" priority="3526" stopIfTrue="1" operator="equal">
      <formula>"1 Modify"</formula>
    </cfRule>
  </conditionalFormatting>
  <conditionalFormatting sqref="C1176">
    <cfRule type="cellIs" dxfId="30607" priority="3527" stopIfTrue="1" operator="equal">
      <formula>"2 Add"</formula>
    </cfRule>
  </conditionalFormatting>
  <conditionalFormatting sqref="C1176">
    <cfRule type="cellIs" dxfId="30606" priority="3528" stopIfTrue="1" operator="equal">
      <formula>"3 Delete"</formula>
    </cfRule>
  </conditionalFormatting>
  <conditionalFormatting sqref="C1177">
    <cfRule type="cellIs" dxfId="30605" priority="3529" stopIfTrue="1" operator="equal">
      <formula>"1 Modify"</formula>
    </cfRule>
  </conditionalFormatting>
  <conditionalFormatting sqref="C1177">
    <cfRule type="cellIs" dxfId="30604" priority="3530" stopIfTrue="1" operator="equal">
      <formula>"2 Add"</formula>
    </cfRule>
  </conditionalFormatting>
  <conditionalFormatting sqref="C1177">
    <cfRule type="cellIs" dxfId="30603" priority="3531" stopIfTrue="1" operator="equal">
      <formula>"3 Delete"</formula>
    </cfRule>
  </conditionalFormatting>
  <conditionalFormatting sqref="C1178">
    <cfRule type="cellIs" dxfId="30602" priority="3532" stopIfTrue="1" operator="equal">
      <formula>"1 Modify"</formula>
    </cfRule>
  </conditionalFormatting>
  <conditionalFormatting sqref="C1178">
    <cfRule type="cellIs" dxfId="30601" priority="3533" stopIfTrue="1" operator="equal">
      <formula>"2 Add"</formula>
    </cfRule>
  </conditionalFormatting>
  <conditionalFormatting sqref="C1178">
    <cfRule type="cellIs" dxfId="30600" priority="3534" stopIfTrue="1" operator="equal">
      <formula>"3 Delete"</formula>
    </cfRule>
  </conditionalFormatting>
  <conditionalFormatting sqref="C1179">
    <cfRule type="cellIs" dxfId="30599" priority="3535" stopIfTrue="1" operator="equal">
      <formula>"1 Modify"</formula>
    </cfRule>
  </conditionalFormatting>
  <conditionalFormatting sqref="C1179">
    <cfRule type="cellIs" dxfId="30598" priority="3536" stopIfTrue="1" operator="equal">
      <formula>"2 Add"</formula>
    </cfRule>
  </conditionalFormatting>
  <conditionalFormatting sqref="C1179">
    <cfRule type="cellIs" dxfId="30597" priority="3537" stopIfTrue="1" operator="equal">
      <formula>"3 Delete"</formula>
    </cfRule>
  </conditionalFormatting>
  <conditionalFormatting sqref="C1180">
    <cfRule type="cellIs" dxfId="30596" priority="3538" stopIfTrue="1" operator="equal">
      <formula>"1 Modify"</formula>
    </cfRule>
  </conditionalFormatting>
  <conditionalFormatting sqref="C1180">
    <cfRule type="cellIs" dxfId="30595" priority="3539" stopIfTrue="1" operator="equal">
      <formula>"2 Add"</formula>
    </cfRule>
  </conditionalFormatting>
  <conditionalFormatting sqref="C1180">
    <cfRule type="cellIs" dxfId="30594" priority="3540" stopIfTrue="1" operator="equal">
      <formula>"3 Delete"</formula>
    </cfRule>
  </conditionalFormatting>
  <conditionalFormatting sqref="C1181">
    <cfRule type="cellIs" dxfId="30593" priority="3541" stopIfTrue="1" operator="equal">
      <formula>"1 Modify"</formula>
    </cfRule>
  </conditionalFormatting>
  <conditionalFormatting sqref="C1181">
    <cfRule type="cellIs" dxfId="30592" priority="3542" stopIfTrue="1" operator="equal">
      <formula>"2 Add"</formula>
    </cfRule>
  </conditionalFormatting>
  <conditionalFormatting sqref="C1181">
    <cfRule type="cellIs" dxfId="30591" priority="3543" stopIfTrue="1" operator="equal">
      <formula>"3 Delete"</formula>
    </cfRule>
  </conditionalFormatting>
  <conditionalFormatting sqref="C1182">
    <cfRule type="cellIs" dxfId="30590" priority="3544" stopIfTrue="1" operator="equal">
      <formula>"1 Modify"</formula>
    </cfRule>
  </conditionalFormatting>
  <conditionalFormatting sqref="C1182">
    <cfRule type="cellIs" dxfId="30589" priority="3545" stopIfTrue="1" operator="equal">
      <formula>"2 Add"</formula>
    </cfRule>
  </conditionalFormatting>
  <conditionalFormatting sqref="C1182">
    <cfRule type="cellIs" dxfId="30588" priority="3546" stopIfTrue="1" operator="equal">
      <formula>"3 Delete"</formula>
    </cfRule>
  </conditionalFormatting>
  <conditionalFormatting sqref="C1183">
    <cfRule type="cellIs" dxfId="30587" priority="3547" stopIfTrue="1" operator="equal">
      <formula>"1 Modify"</formula>
    </cfRule>
  </conditionalFormatting>
  <conditionalFormatting sqref="C1183">
    <cfRule type="cellIs" dxfId="30586" priority="3548" stopIfTrue="1" operator="equal">
      <formula>"2 Add"</formula>
    </cfRule>
  </conditionalFormatting>
  <conditionalFormatting sqref="C1183">
    <cfRule type="cellIs" dxfId="30585" priority="3549" stopIfTrue="1" operator="equal">
      <formula>"3 Delete"</formula>
    </cfRule>
  </conditionalFormatting>
  <conditionalFormatting sqref="C1184">
    <cfRule type="cellIs" dxfId="30584" priority="3550" stopIfTrue="1" operator="equal">
      <formula>"1 Modify"</formula>
    </cfRule>
  </conditionalFormatting>
  <conditionalFormatting sqref="C1184">
    <cfRule type="cellIs" dxfId="30583" priority="3551" stopIfTrue="1" operator="equal">
      <formula>"2 Add"</formula>
    </cfRule>
  </conditionalFormatting>
  <conditionalFormatting sqref="C1184">
    <cfRule type="cellIs" dxfId="30582" priority="3552" stopIfTrue="1" operator="equal">
      <formula>"3 Delete"</formula>
    </cfRule>
  </conditionalFormatting>
  <conditionalFormatting sqref="C1185">
    <cfRule type="cellIs" dxfId="30581" priority="3553" stopIfTrue="1" operator="equal">
      <formula>"1 Modify"</formula>
    </cfRule>
  </conditionalFormatting>
  <conditionalFormatting sqref="C1185">
    <cfRule type="cellIs" dxfId="30580" priority="3554" stopIfTrue="1" operator="equal">
      <formula>"2 Add"</formula>
    </cfRule>
  </conditionalFormatting>
  <conditionalFormatting sqref="C1185">
    <cfRule type="cellIs" dxfId="30579" priority="3555" stopIfTrue="1" operator="equal">
      <formula>"3 Delete"</formula>
    </cfRule>
  </conditionalFormatting>
  <conditionalFormatting sqref="C1186">
    <cfRule type="cellIs" dxfId="30578" priority="3556" stopIfTrue="1" operator="equal">
      <formula>"1 Modify"</formula>
    </cfRule>
  </conditionalFormatting>
  <conditionalFormatting sqref="C1186">
    <cfRule type="cellIs" dxfId="30577" priority="3557" stopIfTrue="1" operator="equal">
      <formula>"2 Add"</formula>
    </cfRule>
  </conditionalFormatting>
  <conditionalFormatting sqref="C1186">
    <cfRule type="cellIs" dxfId="30576" priority="3558" stopIfTrue="1" operator="equal">
      <formula>"3 Delete"</formula>
    </cfRule>
  </conditionalFormatting>
  <conditionalFormatting sqref="C1187">
    <cfRule type="cellIs" dxfId="30575" priority="3559" stopIfTrue="1" operator="equal">
      <formula>"1 Modify"</formula>
    </cfRule>
  </conditionalFormatting>
  <conditionalFormatting sqref="C1187">
    <cfRule type="cellIs" dxfId="30574" priority="3560" stopIfTrue="1" operator="equal">
      <formula>"2 Add"</formula>
    </cfRule>
  </conditionalFormatting>
  <conditionalFormatting sqref="C1187">
    <cfRule type="cellIs" dxfId="30573" priority="3561" stopIfTrue="1" operator="equal">
      <formula>"3 Delete"</formula>
    </cfRule>
  </conditionalFormatting>
  <conditionalFormatting sqref="C1188">
    <cfRule type="cellIs" dxfId="30572" priority="3562" stopIfTrue="1" operator="equal">
      <formula>"1 Modify"</formula>
    </cfRule>
  </conditionalFormatting>
  <conditionalFormatting sqref="C1188">
    <cfRule type="cellIs" dxfId="30571" priority="3563" stopIfTrue="1" operator="equal">
      <formula>"2 Add"</formula>
    </cfRule>
  </conditionalFormatting>
  <conditionalFormatting sqref="C1188">
    <cfRule type="cellIs" dxfId="30570" priority="3564" stopIfTrue="1" operator="equal">
      <formula>"3 Delete"</formula>
    </cfRule>
  </conditionalFormatting>
  <conditionalFormatting sqref="C1189">
    <cfRule type="cellIs" dxfId="30569" priority="3565" stopIfTrue="1" operator="equal">
      <formula>"1 Modify"</formula>
    </cfRule>
  </conditionalFormatting>
  <conditionalFormatting sqref="C1189">
    <cfRule type="cellIs" dxfId="30568" priority="3566" stopIfTrue="1" operator="equal">
      <formula>"2 Add"</formula>
    </cfRule>
  </conditionalFormatting>
  <conditionalFormatting sqref="C1189">
    <cfRule type="cellIs" dxfId="30567" priority="3567" stopIfTrue="1" operator="equal">
      <formula>"3 Delete"</formula>
    </cfRule>
  </conditionalFormatting>
  <conditionalFormatting sqref="C1190">
    <cfRule type="cellIs" dxfId="30566" priority="3568" stopIfTrue="1" operator="equal">
      <formula>"1 Modify"</formula>
    </cfRule>
  </conditionalFormatting>
  <conditionalFormatting sqref="C1190">
    <cfRule type="cellIs" dxfId="30565" priority="3569" stopIfTrue="1" operator="equal">
      <formula>"2 Add"</formula>
    </cfRule>
  </conditionalFormatting>
  <conditionalFormatting sqref="C1190">
    <cfRule type="cellIs" dxfId="30564" priority="3570" stopIfTrue="1" operator="equal">
      <formula>"3 Delete"</formula>
    </cfRule>
  </conditionalFormatting>
  <conditionalFormatting sqref="C1191">
    <cfRule type="cellIs" dxfId="30563" priority="3571" stopIfTrue="1" operator="equal">
      <formula>"1 Modify"</formula>
    </cfRule>
  </conditionalFormatting>
  <conditionalFormatting sqref="C1191">
    <cfRule type="cellIs" dxfId="30562" priority="3572" stopIfTrue="1" operator="equal">
      <formula>"2 Add"</formula>
    </cfRule>
  </conditionalFormatting>
  <conditionalFormatting sqref="C1191">
    <cfRule type="cellIs" dxfId="30561" priority="3573" stopIfTrue="1" operator="equal">
      <formula>"3 Delete"</formula>
    </cfRule>
  </conditionalFormatting>
  <conditionalFormatting sqref="C1192">
    <cfRule type="cellIs" dxfId="30560" priority="3574" stopIfTrue="1" operator="equal">
      <formula>"1 Modify"</formula>
    </cfRule>
  </conditionalFormatting>
  <conditionalFormatting sqref="C1192">
    <cfRule type="cellIs" dxfId="30559" priority="3575" stopIfTrue="1" operator="equal">
      <formula>"2 Add"</formula>
    </cfRule>
  </conditionalFormatting>
  <conditionalFormatting sqref="C1192">
    <cfRule type="cellIs" dxfId="30558" priority="3576" stopIfTrue="1" operator="equal">
      <formula>"3 Delete"</formula>
    </cfRule>
  </conditionalFormatting>
  <conditionalFormatting sqref="C1193">
    <cfRule type="cellIs" dxfId="30557" priority="3577" stopIfTrue="1" operator="equal">
      <formula>"1 Modify"</formula>
    </cfRule>
  </conditionalFormatting>
  <conditionalFormatting sqref="C1193">
    <cfRule type="cellIs" dxfId="30556" priority="3578" stopIfTrue="1" operator="equal">
      <formula>"2 Add"</formula>
    </cfRule>
  </conditionalFormatting>
  <conditionalFormatting sqref="C1193">
    <cfRule type="cellIs" dxfId="30555" priority="3579" stopIfTrue="1" operator="equal">
      <formula>"3 Delete"</formula>
    </cfRule>
  </conditionalFormatting>
  <conditionalFormatting sqref="C1194">
    <cfRule type="cellIs" dxfId="30554" priority="3580" stopIfTrue="1" operator="equal">
      <formula>"1 Modify"</formula>
    </cfRule>
  </conditionalFormatting>
  <conditionalFormatting sqref="C1194">
    <cfRule type="cellIs" dxfId="30553" priority="3581" stopIfTrue="1" operator="equal">
      <formula>"2 Add"</formula>
    </cfRule>
  </conditionalFormatting>
  <conditionalFormatting sqref="C1194">
    <cfRule type="cellIs" dxfId="30552" priority="3582" stopIfTrue="1" operator="equal">
      <formula>"3 Delete"</formula>
    </cfRule>
  </conditionalFormatting>
  <conditionalFormatting sqref="C1195">
    <cfRule type="cellIs" dxfId="30551" priority="3583" stopIfTrue="1" operator="equal">
      <formula>"1 Modify"</formula>
    </cfRule>
  </conditionalFormatting>
  <conditionalFormatting sqref="C1195">
    <cfRule type="cellIs" dxfId="30550" priority="3584" stopIfTrue="1" operator="equal">
      <formula>"2 Add"</formula>
    </cfRule>
  </conditionalFormatting>
  <conditionalFormatting sqref="C1195">
    <cfRule type="cellIs" dxfId="30549" priority="3585" stopIfTrue="1" operator="equal">
      <formula>"3 Delete"</formula>
    </cfRule>
  </conditionalFormatting>
  <conditionalFormatting sqref="C1196">
    <cfRule type="cellIs" dxfId="30548" priority="3586" stopIfTrue="1" operator="equal">
      <formula>"1 Modify"</formula>
    </cfRule>
  </conditionalFormatting>
  <conditionalFormatting sqref="C1196">
    <cfRule type="cellIs" dxfId="30547" priority="3587" stopIfTrue="1" operator="equal">
      <formula>"2 Add"</formula>
    </cfRule>
  </conditionalFormatting>
  <conditionalFormatting sqref="C1196">
    <cfRule type="cellIs" dxfId="30546" priority="3588" stopIfTrue="1" operator="equal">
      <formula>"3 Delete"</formula>
    </cfRule>
  </conditionalFormatting>
  <conditionalFormatting sqref="C1197">
    <cfRule type="cellIs" dxfId="30545" priority="3589" stopIfTrue="1" operator="equal">
      <formula>"1 Modify"</formula>
    </cfRule>
  </conditionalFormatting>
  <conditionalFormatting sqref="C1197">
    <cfRule type="cellIs" dxfId="30544" priority="3590" stopIfTrue="1" operator="equal">
      <formula>"2 Add"</formula>
    </cfRule>
  </conditionalFormatting>
  <conditionalFormatting sqref="C1197">
    <cfRule type="cellIs" dxfId="30543" priority="3591" stopIfTrue="1" operator="equal">
      <formula>"3 Delete"</formula>
    </cfRule>
  </conditionalFormatting>
  <conditionalFormatting sqref="C1198">
    <cfRule type="cellIs" dxfId="30542" priority="3592" stopIfTrue="1" operator="equal">
      <formula>"1 Modify"</formula>
    </cfRule>
  </conditionalFormatting>
  <conditionalFormatting sqref="C1198">
    <cfRule type="cellIs" dxfId="30541" priority="3593" stopIfTrue="1" operator="equal">
      <formula>"2 Add"</formula>
    </cfRule>
  </conditionalFormatting>
  <conditionalFormatting sqref="C1198">
    <cfRule type="cellIs" dxfId="30540" priority="3594" stopIfTrue="1" operator="equal">
      <formula>"3 Delete"</formula>
    </cfRule>
  </conditionalFormatting>
  <conditionalFormatting sqref="C1199">
    <cfRule type="cellIs" dxfId="30539" priority="3595" stopIfTrue="1" operator="equal">
      <formula>"1 Modify"</formula>
    </cfRule>
  </conditionalFormatting>
  <conditionalFormatting sqref="C1199">
    <cfRule type="cellIs" dxfId="30538" priority="3596" stopIfTrue="1" operator="equal">
      <formula>"2 Add"</formula>
    </cfRule>
  </conditionalFormatting>
  <conditionalFormatting sqref="C1199">
    <cfRule type="cellIs" dxfId="30537" priority="3597" stopIfTrue="1" operator="equal">
      <formula>"3 Delete"</formula>
    </cfRule>
  </conditionalFormatting>
  <conditionalFormatting sqref="C1200">
    <cfRule type="cellIs" dxfId="30536" priority="3598" stopIfTrue="1" operator="equal">
      <formula>"1 Modify"</formula>
    </cfRule>
  </conditionalFormatting>
  <conditionalFormatting sqref="C1200">
    <cfRule type="cellIs" dxfId="30535" priority="3599" stopIfTrue="1" operator="equal">
      <formula>"2 Add"</formula>
    </cfRule>
  </conditionalFormatting>
  <conditionalFormatting sqref="C1200">
    <cfRule type="cellIs" dxfId="30534" priority="3600" stopIfTrue="1" operator="equal">
      <formula>"3 Delete"</formula>
    </cfRule>
  </conditionalFormatting>
  <conditionalFormatting sqref="C1201">
    <cfRule type="cellIs" dxfId="30533" priority="3601" stopIfTrue="1" operator="equal">
      <formula>"1 Modify"</formula>
    </cfRule>
  </conditionalFormatting>
  <conditionalFormatting sqref="C1201">
    <cfRule type="cellIs" dxfId="30532" priority="3602" stopIfTrue="1" operator="equal">
      <formula>"2 Add"</formula>
    </cfRule>
  </conditionalFormatting>
  <conditionalFormatting sqref="C1201">
    <cfRule type="cellIs" dxfId="30531" priority="3603" stopIfTrue="1" operator="equal">
      <formula>"3 Delete"</formula>
    </cfRule>
  </conditionalFormatting>
  <conditionalFormatting sqref="C1202">
    <cfRule type="cellIs" dxfId="30530" priority="3604" stopIfTrue="1" operator="equal">
      <formula>"1 Modify"</formula>
    </cfRule>
  </conditionalFormatting>
  <conditionalFormatting sqref="C1202">
    <cfRule type="cellIs" dxfId="30529" priority="3605" stopIfTrue="1" operator="equal">
      <formula>"2 Add"</formula>
    </cfRule>
  </conditionalFormatting>
  <conditionalFormatting sqref="C1202">
    <cfRule type="cellIs" dxfId="30528" priority="3606" stopIfTrue="1" operator="equal">
      <formula>"3 Delete"</formula>
    </cfRule>
  </conditionalFormatting>
  <conditionalFormatting sqref="C1203">
    <cfRule type="cellIs" dxfId="30527" priority="3607" stopIfTrue="1" operator="equal">
      <formula>"1 Modify"</formula>
    </cfRule>
  </conditionalFormatting>
  <conditionalFormatting sqref="C1203">
    <cfRule type="cellIs" dxfId="30526" priority="3608" stopIfTrue="1" operator="equal">
      <formula>"2 Add"</formula>
    </cfRule>
  </conditionalFormatting>
  <conditionalFormatting sqref="C1203">
    <cfRule type="cellIs" dxfId="30525" priority="3609" stopIfTrue="1" operator="equal">
      <formula>"3 Delete"</formula>
    </cfRule>
  </conditionalFormatting>
  <conditionalFormatting sqref="C1204">
    <cfRule type="cellIs" dxfId="30524" priority="3610" stopIfTrue="1" operator="equal">
      <formula>"1 Modify"</formula>
    </cfRule>
  </conditionalFormatting>
  <conditionalFormatting sqref="C1204">
    <cfRule type="cellIs" dxfId="30523" priority="3611" stopIfTrue="1" operator="equal">
      <formula>"2 Add"</formula>
    </cfRule>
  </conditionalFormatting>
  <conditionalFormatting sqref="C1204">
    <cfRule type="cellIs" dxfId="30522" priority="3612" stopIfTrue="1" operator="equal">
      <formula>"3 Delete"</formula>
    </cfRule>
  </conditionalFormatting>
  <conditionalFormatting sqref="C1205">
    <cfRule type="cellIs" dxfId="30521" priority="3613" stopIfTrue="1" operator="equal">
      <formula>"1 Modify"</formula>
    </cfRule>
  </conditionalFormatting>
  <conditionalFormatting sqref="C1205">
    <cfRule type="cellIs" dxfId="30520" priority="3614" stopIfTrue="1" operator="equal">
      <formula>"2 Add"</formula>
    </cfRule>
  </conditionalFormatting>
  <conditionalFormatting sqref="C1205">
    <cfRule type="cellIs" dxfId="30519" priority="3615" stopIfTrue="1" operator="equal">
      <formula>"3 Delete"</formula>
    </cfRule>
  </conditionalFormatting>
  <conditionalFormatting sqref="C1206">
    <cfRule type="cellIs" dxfId="30518" priority="3616" stopIfTrue="1" operator="equal">
      <formula>"1 Modify"</formula>
    </cfRule>
  </conditionalFormatting>
  <conditionalFormatting sqref="C1206">
    <cfRule type="cellIs" dxfId="30517" priority="3617" stopIfTrue="1" operator="equal">
      <formula>"2 Add"</formula>
    </cfRule>
  </conditionalFormatting>
  <conditionalFormatting sqref="C1206">
    <cfRule type="cellIs" dxfId="30516" priority="3618" stopIfTrue="1" operator="equal">
      <formula>"3 Delete"</formula>
    </cfRule>
  </conditionalFormatting>
  <conditionalFormatting sqref="C1207">
    <cfRule type="cellIs" dxfId="30515" priority="3619" stopIfTrue="1" operator="equal">
      <formula>"1 Modify"</formula>
    </cfRule>
  </conditionalFormatting>
  <conditionalFormatting sqref="C1207">
    <cfRule type="cellIs" dxfId="30514" priority="3620" stopIfTrue="1" operator="equal">
      <formula>"2 Add"</formula>
    </cfRule>
  </conditionalFormatting>
  <conditionalFormatting sqref="C1207">
    <cfRule type="cellIs" dxfId="30513" priority="3621" stopIfTrue="1" operator="equal">
      <formula>"3 Delete"</formula>
    </cfRule>
  </conditionalFormatting>
  <conditionalFormatting sqref="C1208">
    <cfRule type="cellIs" dxfId="30512" priority="3622" stopIfTrue="1" operator="equal">
      <formula>"1 Modify"</formula>
    </cfRule>
  </conditionalFormatting>
  <conditionalFormatting sqref="C1208">
    <cfRule type="cellIs" dxfId="30511" priority="3623" stopIfTrue="1" operator="equal">
      <formula>"2 Add"</formula>
    </cfRule>
  </conditionalFormatting>
  <conditionalFormatting sqref="C1208">
    <cfRule type="cellIs" dxfId="30510" priority="3624" stopIfTrue="1" operator="equal">
      <formula>"3 Delete"</formula>
    </cfRule>
  </conditionalFormatting>
  <conditionalFormatting sqref="C1209">
    <cfRule type="cellIs" dxfId="30509" priority="3625" stopIfTrue="1" operator="equal">
      <formula>"1 Modify"</formula>
    </cfRule>
  </conditionalFormatting>
  <conditionalFormatting sqref="C1209">
    <cfRule type="cellIs" dxfId="30508" priority="3626" stopIfTrue="1" operator="equal">
      <formula>"2 Add"</formula>
    </cfRule>
  </conditionalFormatting>
  <conditionalFormatting sqref="C1209">
    <cfRule type="cellIs" dxfId="30507" priority="3627" stopIfTrue="1" operator="equal">
      <formula>"3 Delete"</formula>
    </cfRule>
  </conditionalFormatting>
  <conditionalFormatting sqref="C1210">
    <cfRule type="cellIs" dxfId="30506" priority="3628" stopIfTrue="1" operator="equal">
      <formula>"1 Modify"</formula>
    </cfRule>
  </conditionalFormatting>
  <conditionalFormatting sqref="C1210">
    <cfRule type="cellIs" dxfId="30505" priority="3629" stopIfTrue="1" operator="equal">
      <formula>"2 Add"</formula>
    </cfRule>
  </conditionalFormatting>
  <conditionalFormatting sqref="C1210">
    <cfRule type="cellIs" dxfId="30504" priority="3630" stopIfTrue="1" operator="equal">
      <formula>"3 Delete"</formula>
    </cfRule>
  </conditionalFormatting>
  <conditionalFormatting sqref="C1211">
    <cfRule type="cellIs" dxfId="30503" priority="3631" stopIfTrue="1" operator="equal">
      <formula>"1 Modify"</formula>
    </cfRule>
  </conditionalFormatting>
  <conditionalFormatting sqref="C1211">
    <cfRule type="cellIs" dxfId="30502" priority="3632" stopIfTrue="1" operator="equal">
      <formula>"2 Add"</formula>
    </cfRule>
  </conditionalFormatting>
  <conditionalFormatting sqref="C1211">
    <cfRule type="cellIs" dxfId="30501" priority="3633" stopIfTrue="1" operator="equal">
      <formula>"3 Delete"</formula>
    </cfRule>
  </conditionalFormatting>
  <conditionalFormatting sqref="C1212">
    <cfRule type="cellIs" dxfId="30500" priority="3634" stopIfTrue="1" operator="equal">
      <formula>"1 Modify"</formula>
    </cfRule>
  </conditionalFormatting>
  <conditionalFormatting sqref="C1212">
    <cfRule type="cellIs" dxfId="30499" priority="3635" stopIfTrue="1" operator="equal">
      <formula>"2 Add"</formula>
    </cfRule>
  </conditionalFormatting>
  <conditionalFormatting sqref="C1212">
    <cfRule type="cellIs" dxfId="30498" priority="3636" stopIfTrue="1" operator="equal">
      <formula>"3 Delete"</formula>
    </cfRule>
  </conditionalFormatting>
  <conditionalFormatting sqref="C1213">
    <cfRule type="cellIs" dxfId="30497" priority="3637" stopIfTrue="1" operator="equal">
      <formula>"1 Modify"</formula>
    </cfRule>
  </conditionalFormatting>
  <conditionalFormatting sqref="C1213">
    <cfRule type="cellIs" dxfId="30496" priority="3638" stopIfTrue="1" operator="equal">
      <formula>"2 Add"</formula>
    </cfRule>
  </conditionalFormatting>
  <conditionalFormatting sqref="C1213">
    <cfRule type="cellIs" dxfId="30495" priority="3639" stopIfTrue="1" operator="equal">
      <formula>"3 Delete"</formula>
    </cfRule>
  </conditionalFormatting>
  <conditionalFormatting sqref="C1214">
    <cfRule type="cellIs" dxfId="30494" priority="3640" stopIfTrue="1" operator="equal">
      <formula>"1 Modify"</formula>
    </cfRule>
  </conditionalFormatting>
  <conditionalFormatting sqref="C1214">
    <cfRule type="cellIs" dxfId="30493" priority="3641" stopIfTrue="1" operator="equal">
      <formula>"2 Add"</formula>
    </cfRule>
  </conditionalFormatting>
  <conditionalFormatting sqref="C1214">
    <cfRule type="cellIs" dxfId="30492" priority="3642" stopIfTrue="1" operator="equal">
      <formula>"3 Delete"</formula>
    </cfRule>
  </conditionalFormatting>
  <conditionalFormatting sqref="C1215">
    <cfRule type="cellIs" dxfId="30491" priority="3643" stopIfTrue="1" operator="equal">
      <formula>"1 Modify"</formula>
    </cfRule>
  </conditionalFormatting>
  <conditionalFormatting sqref="C1215">
    <cfRule type="cellIs" dxfId="30490" priority="3644" stopIfTrue="1" operator="equal">
      <formula>"2 Add"</formula>
    </cfRule>
  </conditionalFormatting>
  <conditionalFormatting sqref="C1215">
    <cfRule type="cellIs" dxfId="30489" priority="3645" stopIfTrue="1" operator="equal">
      <formula>"3 Delete"</formula>
    </cfRule>
  </conditionalFormatting>
  <conditionalFormatting sqref="C1216">
    <cfRule type="cellIs" dxfId="30488" priority="3646" stopIfTrue="1" operator="equal">
      <formula>"1 Modify"</formula>
    </cfRule>
  </conditionalFormatting>
  <conditionalFormatting sqref="C1216">
    <cfRule type="cellIs" dxfId="30487" priority="3647" stopIfTrue="1" operator="equal">
      <formula>"2 Add"</formula>
    </cfRule>
  </conditionalFormatting>
  <conditionalFormatting sqref="C1216">
    <cfRule type="cellIs" dxfId="30486" priority="3648" stopIfTrue="1" operator="equal">
      <formula>"3 Delete"</formula>
    </cfRule>
  </conditionalFormatting>
  <conditionalFormatting sqref="C1217">
    <cfRule type="cellIs" dxfId="30485" priority="3649" stopIfTrue="1" operator="equal">
      <formula>"1 Modify"</formula>
    </cfRule>
  </conditionalFormatting>
  <conditionalFormatting sqref="C1217">
    <cfRule type="cellIs" dxfId="30484" priority="3650" stopIfTrue="1" operator="equal">
      <formula>"2 Add"</formula>
    </cfRule>
  </conditionalFormatting>
  <conditionalFormatting sqref="C1217">
    <cfRule type="cellIs" dxfId="30483" priority="3651" stopIfTrue="1" operator="equal">
      <formula>"3 Delete"</formula>
    </cfRule>
  </conditionalFormatting>
  <conditionalFormatting sqref="C1218">
    <cfRule type="cellIs" dxfId="30482" priority="3652" stopIfTrue="1" operator="equal">
      <formula>"1 Modify"</formula>
    </cfRule>
  </conditionalFormatting>
  <conditionalFormatting sqref="C1218">
    <cfRule type="cellIs" dxfId="30481" priority="3653" stopIfTrue="1" operator="equal">
      <formula>"2 Add"</formula>
    </cfRule>
  </conditionalFormatting>
  <conditionalFormatting sqref="C1218">
    <cfRule type="cellIs" dxfId="30480" priority="3654" stopIfTrue="1" operator="equal">
      <formula>"3 Delete"</formula>
    </cfRule>
  </conditionalFormatting>
  <conditionalFormatting sqref="C1219">
    <cfRule type="cellIs" dxfId="30479" priority="3655" stopIfTrue="1" operator="equal">
      <formula>"1 Modify"</formula>
    </cfRule>
  </conditionalFormatting>
  <conditionalFormatting sqref="C1219">
    <cfRule type="cellIs" dxfId="30478" priority="3656" stopIfTrue="1" operator="equal">
      <formula>"2 Add"</formula>
    </cfRule>
  </conditionalFormatting>
  <conditionalFormatting sqref="C1219">
    <cfRule type="cellIs" dxfId="30477" priority="3657" stopIfTrue="1" operator="equal">
      <formula>"3 Delete"</formula>
    </cfRule>
  </conditionalFormatting>
  <conditionalFormatting sqref="C1220">
    <cfRule type="cellIs" dxfId="30476" priority="3658" stopIfTrue="1" operator="equal">
      <formula>"1 Modify"</formula>
    </cfRule>
  </conditionalFormatting>
  <conditionalFormatting sqref="C1220">
    <cfRule type="cellIs" dxfId="30475" priority="3659" stopIfTrue="1" operator="equal">
      <formula>"2 Add"</formula>
    </cfRule>
  </conditionalFormatting>
  <conditionalFormatting sqref="C1220">
    <cfRule type="cellIs" dxfId="30474" priority="3660" stopIfTrue="1" operator="equal">
      <formula>"3 Delete"</formula>
    </cfRule>
  </conditionalFormatting>
  <conditionalFormatting sqref="C1221">
    <cfRule type="cellIs" dxfId="30473" priority="3661" stopIfTrue="1" operator="equal">
      <formula>"1 Modify"</formula>
    </cfRule>
  </conditionalFormatting>
  <conditionalFormatting sqref="C1221">
    <cfRule type="cellIs" dxfId="30472" priority="3662" stopIfTrue="1" operator="equal">
      <formula>"2 Add"</formula>
    </cfRule>
  </conditionalFormatting>
  <conditionalFormatting sqref="C1221">
    <cfRule type="cellIs" dxfId="30471" priority="3663" stopIfTrue="1" operator="equal">
      <formula>"3 Delete"</formula>
    </cfRule>
  </conditionalFormatting>
  <conditionalFormatting sqref="C1222">
    <cfRule type="cellIs" dxfId="30470" priority="3664" stopIfTrue="1" operator="equal">
      <formula>"1 Modify"</formula>
    </cfRule>
  </conditionalFormatting>
  <conditionalFormatting sqref="C1222">
    <cfRule type="cellIs" dxfId="30469" priority="3665" stopIfTrue="1" operator="equal">
      <formula>"2 Add"</formula>
    </cfRule>
  </conditionalFormatting>
  <conditionalFormatting sqref="C1222">
    <cfRule type="cellIs" dxfId="30468" priority="3666" stopIfTrue="1" operator="equal">
      <formula>"3 Delete"</formula>
    </cfRule>
  </conditionalFormatting>
  <conditionalFormatting sqref="C1223">
    <cfRule type="cellIs" dxfId="30467" priority="3667" stopIfTrue="1" operator="equal">
      <formula>"1 Modify"</formula>
    </cfRule>
  </conditionalFormatting>
  <conditionalFormatting sqref="C1223">
    <cfRule type="cellIs" dxfId="30466" priority="3668" stopIfTrue="1" operator="equal">
      <formula>"2 Add"</formula>
    </cfRule>
  </conditionalFormatting>
  <conditionalFormatting sqref="C1223">
    <cfRule type="cellIs" dxfId="30465" priority="3669" stopIfTrue="1" operator="equal">
      <formula>"3 Delete"</formula>
    </cfRule>
  </conditionalFormatting>
  <conditionalFormatting sqref="C1224">
    <cfRule type="cellIs" dxfId="30464" priority="3670" stopIfTrue="1" operator="equal">
      <formula>"1 Modify"</formula>
    </cfRule>
  </conditionalFormatting>
  <conditionalFormatting sqref="C1224">
    <cfRule type="cellIs" dxfId="30463" priority="3671" stopIfTrue="1" operator="equal">
      <formula>"2 Add"</formula>
    </cfRule>
  </conditionalFormatting>
  <conditionalFormatting sqref="C1224">
    <cfRule type="cellIs" dxfId="30462" priority="3672" stopIfTrue="1" operator="equal">
      <formula>"3 Delete"</formula>
    </cfRule>
  </conditionalFormatting>
  <conditionalFormatting sqref="C1225">
    <cfRule type="cellIs" dxfId="30461" priority="3673" stopIfTrue="1" operator="equal">
      <formula>"1 Modify"</formula>
    </cfRule>
  </conditionalFormatting>
  <conditionalFormatting sqref="C1225">
    <cfRule type="cellIs" dxfId="30460" priority="3674" stopIfTrue="1" operator="equal">
      <formula>"2 Add"</formula>
    </cfRule>
  </conditionalFormatting>
  <conditionalFormatting sqref="C1225">
    <cfRule type="cellIs" dxfId="30459" priority="3675" stopIfTrue="1" operator="equal">
      <formula>"3 Delete"</formula>
    </cfRule>
  </conditionalFormatting>
  <conditionalFormatting sqref="C1226">
    <cfRule type="cellIs" dxfId="30458" priority="3676" stopIfTrue="1" operator="equal">
      <formula>"1 Modify"</formula>
    </cfRule>
  </conditionalFormatting>
  <conditionalFormatting sqref="C1226">
    <cfRule type="cellIs" dxfId="30457" priority="3677" stopIfTrue="1" operator="equal">
      <formula>"2 Add"</formula>
    </cfRule>
  </conditionalFormatting>
  <conditionalFormatting sqref="C1226">
    <cfRule type="cellIs" dxfId="30456" priority="3678" stopIfTrue="1" operator="equal">
      <formula>"3 Delete"</formula>
    </cfRule>
  </conditionalFormatting>
  <conditionalFormatting sqref="C1227">
    <cfRule type="cellIs" dxfId="30455" priority="3679" stopIfTrue="1" operator="equal">
      <formula>"1 Modify"</formula>
    </cfRule>
  </conditionalFormatting>
  <conditionalFormatting sqref="C1227">
    <cfRule type="cellIs" dxfId="30454" priority="3680" stopIfTrue="1" operator="equal">
      <formula>"2 Add"</formula>
    </cfRule>
  </conditionalFormatting>
  <conditionalFormatting sqref="C1227">
    <cfRule type="cellIs" dxfId="30453" priority="3681" stopIfTrue="1" operator="equal">
      <formula>"3 Delete"</formula>
    </cfRule>
  </conditionalFormatting>
  <conditionalFormatting sqref="C1228">
    <cfRule type="cellIs" dxfId="30452" priority="3682" stopIfTrue="1" operator="equal">
      <formula>"1 Modify"</formula>
    </cfRule>
  </conditionalFormatting>
  <conditionalFormatting sqref="C1228">
    <cfRule type="cellIs" dxfId="30451" priority="3683" stopIfTrue="1" operator="equal">
      <formula>"2 Add"</formula>
    </cfRule>
  </conditionalFormatting>
  <conditionalFormatting sqref="C1228">
    <cfRule type="cellIs" dxfId="30450" priority="3684" stopIfTrue="1" operator="equal">
      <formula>"3 Delete"</formula>
    </cfRule>
  </conditionalFormatting>
  <conditionalFormatting sqref="C1229">
    <cfRule type="cellIs" dxfId="30449" priority="3685" stopIfTrue="1" operator="equal">
      <formula>"1 Modify"</formula>
    </cfRule>
  </conditionalFormatting>
  <conditionalFormatting sqref="C1229">
    <cfRule type="cellIs" dxfId="30448" priority="3686" stopIfTrue="1" operator="equal">
      <formula>"2 Add"</formula>
    </cfRule>
  </conditionalFormatting>
  <conditionalFormatting sqref="C1229">
    <cfRule type="cellIs" dxfId="30447" priority="3687" stopIfTrue="1" operator="equal">
      <formula>"3 Delete"</formula>
    </cfRule>
  </conditionalFormatting>
  <conditionalFormatting sqref="C1230">
    <cfRule type="cellIs" dxfId="30446" priority="3688" stopIfTrue="1" operator="equal">
      <formula>"1 Modify"</formula>
    </cfRule>
  </conditionalFormatting>
  <conditionalFormatting sqref="C1230">
    <cfRule type="cellIs" dxfId="30445" priority="3689" stopIfTrue="1" operator="equal">
      <formula>"2 Add"</formula>
    </cfRule>
  </conditionalFormatting>
  <conditionalFormatting sqref="C1230">
    <cfRule type="cellIs" dxfId="30444" priority="3690" stopIfTrue="1" operator="equal">
      <formula>"3 Delete"</formula>
    </cfRule>
  </conditionalFormatting>
  <conditionalFormatting sqref="C1231">
    <cfRule type="cellIs" dxfId="30443" priority="3691" stopIfTrue="1" operator="equal">
      <formula>"1 Modify"</formula>
    </cfRule>
  </conditionalFormatting>
  <conditionalFormatting sqref="C1231">
    <cfRule type="cellIs" dxfId="30442" priority="3692" stopIfTrue="1" operator="equal">
      <formula>"2 Add"</formula>
    </cfRule>
  </conditionalFormatting>
  <conditionalFormatting sqref="C1231">
    <cfRule type="cellIs" dxfId="30441" priority="3693" stopIfTrue="1" operator="equal">
      <formula>"3 Delete"</formula>
    </cfRule>
  </conditionalFormatting>
  <conditionalFormatting sqref="C1232">
    <cfRule type="cellIs" dxfId="30440" priority="3694" stopIfTrue="1" operator="equal">
      <formula>"1 Modify"</formula>
    </cfRule>
  </conditionalFormatting>
  <conditionalFormatting sqref="C1232">
    <cfRule type="cellIs" dxfId="30439" priority="3695" stopIfTrue="1" operator="equal">
      <formula>"2 Add"</formula>
    </cfRule>
  </conditionalFormatting>
  <conditionalFormatting sqref="C1232">
    <cfRule type="cellIs" dxfId="30438" priority="3696" stopIfTrue="1" operator="equal">
      <formula>"3 Delete"</formula>
    </cfRule>
  </conditionalFormatting>
  <conditionalFormatting sqref="C1233">
    <cfRule type="cellIs" dxfId="30437" priority="3697" stopIfTrue="1" operator="equal">
      <formula>"1 Modify"</formula>
    </cfRule>
  </conditionalFormatting>
  <conditionalFormatting sqref="C1233">
    <cfRule type="cellIs" dxfId="30436" priority="3698" stopIfTrue="1" operator="equal">
      <formula>"2 Add"</formula>
    </cfRule>
  </conditionalFormatting>
  <conditionalFormatting sqref="C1233">
    <cfRule type="cellIs" dxfId="30435" priority="3699" stopIfTrue="1" operator="equal">
      <formula>"3 Delete"</formula>
    </cfRule>
  </conditionalFormatting>
  <conditionalFormatting sqref="C1234">
    <cfRule type="cellIs" dxfId="30434" priority="3700" stopIfTrue="1" operator="equal">
      <formula>"1 Modify"</formula>
    </cfRule>
  </conditionalFormatting>
  <conditionalFormatting sqref="C1234">
    <cfRule type="cellIs" dxfId="30433" priority="3701" stopIfTrue="1" operator="equal">
      <formula>"2 Add"</formula>
    </cfRule>
  </conditionalFormatting>
  <conditionalFormatting sqref="C1234">
    <cfRule type="cellIs" dxfId="30432" priority="3702" stopIfTrue="1" operator="equal">
      <formula>"3 Delete"</formula>
    </cfRule>
  </conditionalFormatting>
  <conditionalFormatting sqref="C1235">
    <cfRule type="cellIs" dxfId="30431" priority="3703" stopIfTrue="1" operator="equal">
      <formula>"1 Modify"</formula>
    </cfRule>
  </conditionalFormatting>
  <conditionalFormatting sqref="C1235">
    <cfRule type="cellIs" dxfId="30430" priority="3704" stopIfTrue="1" operator="equal">
      <formula>"2 Add"</formula>
    </cfRule>
  </conditionalFormatting>
  <conditionalFormatting sqref="C1235">
    <cfRule type="cellIs" dxfId="30429" priority="3705" stopIfTrue="1" operator="equal">
      <formula>"3 Delete"</formula>
    </cfRule>
  </conditionalFormatting>
  <conditionalFormatting sqref="C1236">
    <cfRule type="cellIs" dxfId="30428" priority="3706" stopIfTrue="1" operator="equal">
      <formula>"1 Modify"</formula>
    </cfRule>
  </conditionalFormatting>
  <conditionalFormatting sqref="C1236">
    <cfRule type="cellIs" dxfId="30427" priority="3707" stopIfTrue="1" operator="equal">
      <formula>"2 Add"</formula>
    </cfRule>
  </conditionalFormatting>
  <conditionalFormatting sqref="C1236">
    <cfRule type="cellIs" dxfId="30426" priority="3708" stopIfTrue="1" operator="equal">
      <formula>"3 Delete"</formula>
    </cfRule>
  </conditionalFormatting>
  <conditionalFormatting sqref="C1237">
    <cfRule type="cellIs" dxfId="30425" priority="3709" stopIfTrue="1" operator="equal">
      <formula>"1 Modify"</formula>
    </cfRule>
  </conditionalFormatting>
  <conditionalFormatting sqref="C1237">
    <cfRule type="cellIs" dxfId="30424" priority="3710" stopIfTrue="1" operator="equal">
      <formula>"2 Add"</formula>
    </cfRule>
  </conditionalFormatting>
  <conditionalFormatting sqref="C1237">
    <cfRule type="cellIs" dxfId="30423" priority="3711" stopIfTrue="1" operator="equal">
      <formula>"3 Delete"</formula>
    </cfRule>
  </conditionalFormatting>
  <conditionalFormatting sqref="C1238">
    <cfRule type="cellIs" dxfId="30422" priority="3712" stopIfTrue="1" operator="equal">
      <formula>"1 Modify"</formula>
    </cfRule>
  </conditionalFormatting>
  <conditionalFormatting sqref="C1238">
    <cfRule type="cellIs" dxfId="30421" priority="3713" stopIfTrue="1" operator="equal">
      <formula>"2 Add"</formula>
    </cfRule>
  </conditionalFormatting>
  <conditionalFormatting sqref="C1238">
    <cfRule type="cellIs" dxfId="30420" priority="3714" stopIfTrue="1" operator="equal">
      <formula>"3 Delete"</formula>
    </cfRule>
  </conditionalFormatting>
  <conditionalFormatting sqref="C1239">
    <cfRule type="cellIs" dxfId="30419" priority="3715" stopIfTrue="1" operator="equal">
      <formula>"1 Modify"</formula>
    </cfRule>
  </conditionalFormatting>
  <conditionalFormatting sqref="C1239">
    <cfRule type="cellIs" dxfId="30418" priority="3716" stopIfTrue="1" operator="equal">
      <formula>"2 Add"</formula>
    </cfRule>
  </conditionalFormatting>
  <conditionalFormatting sqref="C1239">
    <cfRule type="cellIs" dxfId="30417" priority="3717" stopIfTrue="1" operator="equal">
      <formula>"3 Delete"</formula>
    </cfRule>
  </conditionalFormatting>
  <conditionalFormatting sqref="C1240">
    <cfRule type="cellIs" dxfId="30416" priority="3718" stopIfTrue="1" operator="equal">
      <formula>"1 Modify"</formula>
    </cfRule>
  </conditionalFormatting>
  <conditionalFormatting sqref="C1240">
    <cfRule type="cellIs" dxfId="30415" priority="3719" stopIfTrue="1" operator="equal">
      <formula>"2 Add"</formula>
    </cfRule>
  </conditionalFormatting>
  <conditionalFormatting sqref="C1240">
    <cfRule type="cellIs" dxfId="30414" priority="3720" stopIfTrue="1" operator="equal">
      <formula>"3 Delete"</formula>
    </cfRule>
  </conditionalFormatting>
  <conditionalFormatting sqref="C1241">
    <cfRule type="cellIs" dxfId="30413" priority="3721" stopIfTrue="1" operator="equal">
      <formula>"1 Modify"</formula>
    </cfRule>
  </conditionalFormatting>
  <conditionalFormatting sqref="C1241">
    <cfRule type="cellIs" dxfId="30412" priority="3722" stopIfTrue="1" operator="equal">
      <formula>"2 Add"</formula>
    </cfRule>
  </conditionalFormatting>
  <conditionalFormatting sqref="C1241">
    <cfRule type="cellIs" dxfId="30411" priority="3723" stopIfTrue="1" operator="equal">
      <formula>"3 Delete"</formula>
    </cfRule>
  </conditionalFormatting>
  <conditionalFormatting sqref="C1242">
    <cfRule type="cellIs" dxfId="30410" priority="3724" stopIfTrue="1" operator="equal">
      <formula>"1 Modify"</formula>
    </cfRule>
  </conditionalFormatting>
  <conditionalFormatting sqref="C1242">
    <cfRule type="cellIs" dxfId="30409" priority="3725" stopIfTrue="1" operator="equal">
      <formula>"2 Add"</formula>
    </cfRule>
  </conditionalFormatting>
  <conditionalFormatting sqref="C1242">
    <cfRule type="cellIs" dxfId="30408" priority="3726" stopIfTrue="1" operator="equal">
      <formula>"3 Delete"</formula>
    </cfRule>
  </conditionalFormatting>
  <conditionalFormatting sqref="C1243">
    <cfRule type="cellIs" dxfId="30407" priority="3727" stopIfTrue="1" operator="equal">
      <formula>"1 Modify"</formula>
    </cfRule>
  </conditionalFormatting>
  <conditionalFormatting sqref="C1243">
    <cfRule type="cellIs" dxfId="30406" priority="3728" stopIfTrue="1" operator="equal">
      <formula>"2 Add"</formula>
    </cfRule>
  </conditionalFormatting>
  <conditionalFormatting sqref="C1243">
    <cfRule type="cellIs" dxfId="30405" priority="3729" stopIfTrue="1" operator="equal">
      <formula>"3 Delete"</formula>
    </cfRule>
  </conditionalFormatting>
  <conditionalFormatting sqref="C1244">
    <cfRule type="cellIs" dxfId="30404" priority="3730" stopIfTrue="1" operator="equal">
      <formula>"1 Modify"</formula>
    </cfRule>
  </conditionalFormatting>
  <conditionalFormatting sqref="C1244">
    <cfRule type="cellIs" dxfId="30403" priority="3731" stopIfTrue="1" operator="equal">
      <formula>"2 Add"</formula>
    </cfRule>
  </conditionalFormatting>
  <conditionalFormatting sqref="C1244">
    <cfRule type="cellIs" dxfId="30402" priority="3732" stopIfTrue="1" operator="equal">
      <formula>"3 Delete"</formula>
    </cfRule>
  </conditionalFormatting>
  <conditionalFormatting sqref="C1245">
    <cfRule type="cellIs" dxfId="30401" priority="3733" stopIfTrue="1" operator="equal">
      <formula>"1 Modify"</formula>
    </cfRule>
  </conditionalFormatting>
  <conditionalFormatting sqref="C1245">
    <cfRule type="cellIs" dxfId="30400" priority="3734" stopIfTrue="1" operator="equal">
      <formula>"2 Add"</formula>
    </cfRule>
  </conditionalFormatting>
  <conditionalFormatting sqref="C1245">
    <cfRule type="cellIs" dxfId="30399" priority="3735" stopIfTrue="1" operator="equal">
      <formula>"3 Delete"</formula>
    </cfRule>
  </conditionalFormatting>
  <conditionalFormatting sqref="C1246">
    <cfRule type="cellIs" dxfId="30398" priority="3736" stopIfTrue="1" operator="equal">
      <formula>"1 Modify"</formula>
    </cfRule>
  </conditionalFormatting>
  <conditionalFormatting sqref="C1246">
    <cfRule type="cellIs" dxfId="30397" priority="3737" stopIfTrue="1" operator="equal">
      <formula>"2 Add"</formula>
    </cfRule>
  </conditionalFormatting>
  <conditionalFormatting sqref="C1246">
    <cfRule type="cellIs" dxfId="30396" priority="3738" stopIfTrue="1" operator="equal">
      <formula>"3 Delete"</formula>
    </cfRule>
  </conditionalFormatting>
  <conditionalFormatting sqref="C1247">
    <cfRule type="cellIs" dxfId="30395" priority="3739" stopIfTrue="1" operator="equal">
      <formula>"1 Modify"</formula>
    </cfRule>
  </conditionalFormatting>
  <conditionalFormatting sqref="C1247">
    <cfRule type="cellIs" dxfId="30394" priority="3740" stopIfTrue="1" operator="equal">
      <formula>"2 Add"</formula>
    </cfRule>
  </conditionalFormatting>
  <conditionalFormatting sqref="C1247">
    <cfRule type="cellIs" dxfId="30393" priority="3741" stopIfTrue="1" operator="equal">
      <formula>"3 Delete"</formula>
    </cfRule>
  </conditionalFormatting>
  <conditionalFormatting sqref="C1248">
    <cfRule type="cellIs" dxfId="30392" priority="3742" stopIfTrue="1" operator="equal">
      <formula>"1 Modify"</formula>
    </cfRule>
  </conditionalFormatting>
  <conditionalFormatting sqref="C1248">
    <cfRule type="cellIs" dxfId="30391" priority="3743" stopIfTrue="1" operator="equal">
      <formula>"2 Add"</formula>
    </cfRule>
  </conditionalFormatting>
  <conditionalFormatting sqref="C1248">
    <cfRule type="cellIs" dxfId="30390" priority="3744" stopIfTrue="1" operator="equal">
      <formula>"3 Delete"</formula>
    </cfRule>
  </conditionalFormatting>
  <conditionalFormatting sqref="C1249">
    <cfRule type="cellIs" dxfId="30389" priority="3745" stopIfTrue="1" operator="equal">
      <formula>"1 Modify"</formula>
    </cfRule>
  </conditionalFormatting>
  <conditionalFormatting sqref="C1249">
    <cfRule type="cellIs" dxfId="30388" priority="3746" stopIfTrue="1" operator="equal">
      <formula>"2 Add"</formula>
    </cfRule>
  </conditionalFormatting>
  <conditionalFormatting sqref="C1249">
    <cfRule type="cellIs" dxfId="30387" priority="3747" stopIfTrue="1" operator="equal">
      <formula>"3 Delete"</formula>
    </cfRule>
  </conditionalFormatting>
  <conditionalFormatting sqref="C1250">
    <cfRule type="cellIs" dxfId="30386" priority="3748" stopIfTrue="1" operator="equal">
      <formula>"1 Modify"</formula>
    </cfRule>
  </conditionalFormatting>
  <conditionalFormatting sqref="C1250">
    <cfRule type="cellIs" dxfId="30385" priority="3749" stopIfTrue="1" operator="equal">
      <formula>"2 Add"</formula>
    </cfRule>
  </conditionalFormatting>
  <conditionalFormatting sqref="C1250">
    <cfRule type="cellIs" dxfId="30384" priority="3750" stopIfTrue="1" operator="equal">
      <formula>"3 Delete"</formula>
    </cfRule>
  </conditionalFormatting>
  <conditionalFormatting sqref="C1251">
    <cfRule type="cellIs" dxfId="30383" priority="3751" stopIfTrue="1" operator="equal">
      <formula>"1 Modify"</formula>
    </cfRule>
  </conditionalFormatting>
  <conditionalFormatting sqref="C1251">
    <cfRule type="cellIs" dxfId="30382" priority="3752" stopIfTrue="1" operator="equal">
      <formula>"2 Add"</formula>
    </cfRule>
  </conditionalFormatting>
  <conditionalFormatting sqref="C1251">
    <cfRule type="cellIs" dxfId="30381" priority="3753" stopIfTrue="1" operator="equal">
      <formula>"3 Delete"</formula>
    </cfRule>
  </conditionalFormatting>
  <conditionalFormatting sqref="C1252">
    <cfRule type="cellIs" dxfId="30380" priority="3754" stopIfTrue="1" operator="equal">
      <formula>"1 Modify"</formula>
    </cfRule>
  </conditionalFormatting>
  <conditionalFormatting sqref="C1252">
    <cfRule type="cellIs" dxfId="30379" priority="3755" stopIfTrue="1" operator="equal">
      <formula>"2 Add"</formula>
    </cfRule>
  </conditionalFormatting>
  <conditionalFormatting sqref="C1252">
    <cfRule type="cellIs" dxfId="30378" priority="3756" stopIfTrue="1" operator="equal">
      <formula>"3 Delete"</formula>
    </cfRule>
  </conditionalFormatting>
  <conditionalFormatting sqref="C1253">
    <cfRule type="cellIs" dxfId="30377" priority="3757" stopIfTrue="1" operator="equal">
      <formula>"1 Modify"</formula>
    </cfRule>
  </conditionalFormatting>
  <conditionalFormatting sqref="C1253">
    <cfRule type="cellIs" dxfId="30376" priority="3758" stopIfTrue="1" operator="equal">
      <formula>"2 Add"</formula>
    </cfRule>
  </conditionalFormatting>
  <conditionalFormatting sqref="C1253">
    <cfRule type="cellIs" dxfId="30375" priority="3759" stopIfTrue="1" operator="equal">
      <formula>"3 Delete"</formula>
    </cfRule>
  </conditionalFormatting>
  <conditionalFormatting sqref="C1254">
    <cfRule type="cellIs" dxfId="30374" priority="3760" stopIfTrue="1" operator="equal">
      <formula>"1 Modify"</formula>
    </cfRule>
  </conditionalFormatting>
  <conditionalFormatting sqref="C1254">
    <cfRule type="cellIs" dxfId="30373" priority="3761" stopIfTrue="1" operator="equal">
      <formula>"2 Add"</formula>
    </cfRule>
  </conditionalFormatting>
  <conditionalFormatting sqref="C1254">
    <cfRule type="cellIs" dxfId="30372" priority="3762" stopIfTrue="1" operator="equal">
      <formula>"3 Delete"</formula>
    </cfRule>
  </conditionalFormatting>
  <conditionalFormatting sqref="C1255">
    <cfRule type="cellIs" dxfId="30371" priority="3763" stopIfTrue="1" operator="equal">
      <formula>"1 Modify"</formula>
    </cfRule>
  </conditionalFormatting>
  <conditionalFormatting sqref="C1255">
    <cfRule type="cellIs" dxfId="30370" priority="3764" stopIfTrue="1" operator="equal">
      <formula>"2 Add"</formula>
    </cfRule>
  </conditionalFormatting>
  <conditionalFormatting sqref="C1255">
    <cfRule type="cellIs" dxfId="30369" priority="3765" stopIfTrue="1" operator="equal">
      <formula>"3 Delete"</formula>
    </cfRule>
  </conditionalFormatting>
  <conditionalFormatting sqref="C1256">
    <cfRule type="cellIs" dxfId="30368" priority="3766" stopIfTrue="1" operator="equal">
      <formula>"1 Modify"</formula>
    </cfRule>
  </conditionalFormatting>
  <conditionalFormatting sqref="C1256">
    <cfRule type="cellIs" dxfId="30367" priority="3767" stopIfTrue="1" operator="equal">
      <formula>"2 Add"</formula>
    </cfRule>
  </conditionalFormatting>
  <conditionalFormatting sqref="C1256">
    <cfRule type="cellIs" dxfId="30366" priority="3768" stopIfTrue="1" operator="equal">
      <formula>"3 Delete"</formula>
    </cfRule>
  </conditionalFormatting>
  <conditionalFormatting sqref="C1257">
    <cfRule type="cellIs" dxfId="30365" priority="3769" stopIfTrue="1" operator="equal">
      <formula>"1 Modify"</formula>
    </cfRule>
  </conditionalFormatting>
  <conditionalFormatting sqref="C1257">
    <cfRule type="cellIs" dxfId="30364" priority="3770" stopIfTrue="1" operator="equal">
      <formula>"2 Add"</formula>
    </cfRule>
  </conditionalFormatting>
  <conditionalFormatting sqref="C1257">
    <cfRule type="cellIs" dxfId="30363" priority="3771" stopIfTrue="1" operator="equal">
      <formula>"3 Delete"</formula>
    </cfRule>
  </conditionalFormatting>
  <conditionalFormatting sqref="C1258">
    <cfRule type="cellIs" dxfId="30362" priority="3772" stopIfTrue="1" operator="equal">
      <formula>"1 Modify"</formula>
    </cfRule>
  </conditionalFormatting>
  <conditionalFormatting sqref="C1258">
    <cfRule type="cellIs" dxfId="30361" priority="3773" stopIfTrue="1" operator="equal">
      <formula>"2 Add"</formula>
    </cfRule>
  </conditionalFormatting>
  <conditionalFormatting sqref="C1258">
    <cfRule type="cellIs" dxfId="30360" priority="3774" stopIfTrue="1" operator="equal">
      <formula>"3 Delete"</formula>
    </cfRule>
  </conditionalFormatting>
  <conditionalFormatting sqref="C1259">
    <cfRule type="cellIs" dxfId="30359" priority="3775" stopIfTrue="1" operator="equal">
      <formula>"1 Modify"</formula>
    </cfRule>
  </conditionalFormatting>
  <conditionalFormatting sqref="C1259">
    <cfRule type="cellIs" dxfId="30358" priority="3776" stopIfTrue="1" operator="equal">
      <formula>"2 Add"</formula>
    </cfRule>
  </conditionalFormatting>
  <conditionalFormatting sqref="C1259">
    <cfRule type="cellIs" dxfId="30357" priority="3777" stopIfTrue="1" operator="equal">
      <formula>"3 Delete"</formula>
    </cfRule>
  </conditionalFormatting>
  <conditionalFormatting sqref="C1260">
    <cfRule type="cellIs" dxfId="30356" priority="3778" stopIfTrue="1" operator="equal">
      <formula>"1 Modify"</formula>
    </cfRule>
  </conditionalFormatting>
  <conditionalFormatting sqref="C1260">
    <cfRule type="cellIs" dxfId="30355" priority="3779" stopIfTrue="1" operator="equal">
      <formula>"2 Add"</formula>
    </cfRule>
  </conditionalFormatting>
  <conditionalFormatting sqref="C1260">
    <cfRule type="cellIs" dxfId="30354" priority="3780" stopIfTrue="1" operator="equal">
      <formula>"3 Delete"</formula>
    </cfRule>
  </conditionalFormatting>
  <conditionalFormatting sqref="C1261">
    <cfRule type="cellIs" dxfId="30353" priority="3781" stopIfTrue="1" operator="equal">
      <formula>"1 Modify"</formula>
    </cfRule>
  </conditionalFormatting>
  <conditionalFormatting sqref="C1261">
    <cfRule type="cellIs" dxfId="30352" priority="3782" stopIfTrue="1" operator="equal">
      <formula>"2 Add"</formula>
    </cfRule>
  </conditionalFormatting>
  <conditionalFormatting sqref="C1261">
    <cfRule type="cellIs" dxfId="30351" priority="3783" stopIfTrue="1" operator="equal">
      <formula>"3 Delete"</formula>
    </cfRule>
  </conditionalFormatting>
  <conditionalFormatting sqref="C1262">
    <cfRule type="cellIs" dxfId="30350" priority="3784" stopIfTrue="1" operator="equal">
      <formula>"1 Modify"</formula>
    </cfRule>
  </conditionalFormatting>
  <conditionalFormatting sqref="C1262">
    <cfRule type="cellIs" dxfId="30349" priority="3785" stopIfTrue="1" operator="equal">
      <formula>"2 Add"</formula>
    </cfRule>
  </conditionalFormatting>
  <conditionalFormatting sqref="C1262">
    <cfRule type="cellIs" dxfId="30348" priority="3786" stopIfTrue="1" operator="equal">
      <formula>"3 Delete"</formula>
    </cfRule>
  </conditionalFormatting>
  <conditionalFormatting sqref="C1263">
    <cfRule type="cellIs" dxfId="30347" priority="3787" stopIfTrue="1" operator="equal">
      <formula>"1 Modify"</formula>
    </cfRule>
  </conditionalFormatting>
  <conditionalFormatting sqref="C1263">
    <cfRule type="cellIs" dxfId="30346" priority="3788" stopIfTrue="1" operator="equal">
      <formula>"2 Add"</formula>
    </cfRule>
  </conditionalFormatting>
  <conditionalFormatting sqref="C1263">
    <cfRule type="cellIs" dxfId="30345" priority="3789" stopIfTrue="1" operator="equal">
      <formula>"3 Delete"</formula>
    </cfRule>
  </conditionalFormatting>
  <conditionalFormatting sqref="C1264">
    <cfRule type="cellIs" dxfId="30344" priority="3790" stopIfTrue="1" operator="equal">
      <formula>"1 Modify"</formula>
    </cfRule>
  </conditionalFormatting>
  <conditionalFormatting sqref="C1264">
    <cfRule type="cellIs" dxfId="30343" priority="3791" stopIfTrue="1" operator="equal">
      <formula>"2 Add"</formula>
    </cfRule>
  </conditionalFormatting>
  <conditionalFormatting sqref="C1264">
    <cfRule type="cellIs" dxfId="30342" priority="3792" stopIfTrue="1" operator="equal">
      <formula>"3 Delete"</formula>
    </cfRule>
  </conditionalFormatting>
  <conditionalFormatting sqref="C1265">
    <cfRule type="cellIs" dxfId="30341" priority="3793" stopIfTrue="1" operator="equal">
      <formula>"1 Modify"</formula>
    </cfRule>
  </conditionalFormatting>
  <conditionalFormatting sqref="C1265">
    <cfRule type="cellIs" dxfId="30340" priority="3794" stopIfTrue="1" operator="equal">
      <formula>"2 Add"</formula>
    </cfRule>
  </conditionalFormatting>
  <conditionalFormatting sqref="C1265">
    <cfRule type="cellIs" dxfId="30339" priority="3795" stopIfTrue="1" operator="equal">
      <formula>"3 Delete"</formula>
    </cfRule>
  </conditionalFormatting>
  <conditionalFormatting sqref="C1266">
    <cfRule type="cellIs" dxfId="30338" priority="3796" stopIfTrue="1" operator="equal">
      <formula>"1 Modify"</formula>
    </cfRule>
  </conditionalFormatting>
  <conditionalFormatting sqref="C1266">
    <cfRule type="cellIs" dxfId="30337" priority="3797" stopIfTrue="1" operator="equal">
      <formula>"2 Add"</formula>
    </cfRule>
  </conditionalFormatting>
  <conditionalFormatting sqref="C1266">
    <cfRule type="cellIs" dxfId="30336" priority="3798" stopIfTrue="1" operator="equal">
      <formula>"3 Delete"</formula>
    </cfRule>
  </conditionalFormatting>
  <conditionalFormatting sqref="C1267">
    <cfRule type="cellIs" dxfId="30335" priority="3799" stopIfTrue="1" operator="equal">
      <formula>"1 Modify"</formula>
    </cfRule>
  </conditionalFormatting>
  <conditionalFormatting sqref="C1267">
    <cfRule type="cellIs" dxfId="30334" priority="3800" stopIfTrue="1" operator="equal">
      <formula>"2 Add"</formula>
    </cfRule>
  </conditionalFormatting>
  <conditionalFormatting sqref="C1267">
    <cfRule type="cellIs" dxfId="30333" priority="3801" stopIfTrue="1" operator="equal">
      <formula>"3 Delete"</formula>
    </cfRule>
  </conditionalFormatting>
  <conditionalFormatting sqref="C1268">
    <cfRule type="cellIs" dxfId="30332" priority="3802" stopIfTrue="1" operator="equal">
      <formula>"1 Modify"</formula>
    </cfRule>
  </conditionalFormatting>
  <conditionalFormatting sqref="C1268">
    <cfRule type="cellIs" dxfId="30331" priority="3803" stopIfTrue="1" operator="equal">
      <formula>"2 Add"</formula>
    </cfRule>
  </conditionalFormatting>
  <conditionalFormatting sqref="C1268">
    <cfRule type="cellIs" dxfId="30330" priority="3804" stopIfTrue="1" operator="equal">
      <formula>"3 Delete"</formula>
    </cfRule>
  </conditionalFormatting>
  <conditionalFormatting sqref="C1269">
    <cfRule type="cellIs" dxfId="30329" priority="3805" stopIfTrue="1" operator="equal">
      <formula>"1 Modify"</formula>
    </cfRule>
  </conditionalFormatting>
  <conditionalFormatting sqref="C1269">
    <cfRule type="cellIs" dxfId="30328" priority="3806" stopIfTrue="1" operator="equal">
      <formula>"2 Add"</formula>
    </cfRule>
  </conditionalFormatting>
  <conditionalFormatting sqref="C1269">
    <cfRule type="cellIs" dxfId="30327" priority="3807" stopIfTrue="1" operator="equal">
      <formula>"3 Delete"</formula>
    </cfRule>
  </conditionalFormatting>
  <conditionalFormatting sqref="C1270">
    <cfRule type="cellIs" dxfId="30326" priority="3808" stopIfTrue="1" operator="equal">
      <formula>"1 Modify"</formula>
    </cfRule>
  </conditionalFormatting>
  <conditionalFormatting sqref="C1270">
    <cfRule type="cellIs" dxfId="30325" priority="3809" stopIfTrue="1" operator="equal">
      <formula>"2 Add"</formula>
    </cfRule>
  </conditionalFormatting>
  <conditionalFormatting sqref="C1270">
    <cfRule type="cellIs" dxfId="30324" priority="3810" stopIfTrue="1" operator="equal">
      <formula>"3 Delete"</formula>
    </cfRule>
  </conditionalFormatting>
  <conditionalFormatting sqref="C1271">
    <cfRule type="cellIs" dxfId="30323" priority="3811" stopIfTrue="1" operator="equal">
      <formula>"1 Modify"</formula>
    </cfRule>
  </conditionalFormatting>
  <conditionalFormatting sqref="C1271">
    <cfRule type="cellIs" dxfId="30322" priority="3812" stopIfTrue="1" operator="equal">
      <formula>"2 Add"</formula>
    </cfRule>
  </conditionalFormatting>
  <conditionalFormatting sqref="C1271">
    <cfRule type="cellIs" dxfId="30321" priority="3813" stopIfTrue="1" operator="equal">
      <formula>"3 Delete"</formula>
    </cfRule>
  </conditionalFormatting>
  <conditionalFormatting sqref="C1272">
    <cfRule type="cellIs" dxfId="30320" priority="3814" stopIfTrue="1" operator="equal">
      <formula>"1 Modify"</formula>
    </cfRule>
  </conditionalFormatting>
  <conditionalFormatting sqref="C1272">
    <cfRule type="cellIs" dxfId="30319" priority="3815" stopIfTrue="1" operator="equal">
      <formula>"2 Add"</formula>
    </cfRule>
  </conditionalFormatting>
  <conditionalFormatting sqref="C1272">
    <cfRule type="cellIs" dxfId="30318" priority="3816" stopIfTrue="1" operator="equal">
      <formula>"3 Delete"</formula>
    </cfRule>
  </conditionalFormatting>
  <conditionalFormatting sqref="C1273">
    <cfRule type="cellIs" dxfId="30317" priority="3817" stopIfTrue="1" operator="equal">
      <formula>"1 Modify"</formula>
    </cfRule>
  </conditionalFormatting>
  <conditionalFormatting sqref="C1273">
    <cfRule type="cellIs" dxfId="30316" priority="3818" stopIfTrue="1" operator="equal">
      <formula>"2 Add"</formula>
    </cfRule>
  </conditionalFormatting>
  <conditionalFormatting sqref="C1273">
    <cfRule type="cellIs" dxfId="30315" priority="3819" stopIfTrue="1" operator="equal">
      <formula>"3 Delete"</formula>
    </cfRule>
  </conditionalFormatting>
  <conditionalFormatting sqref="C1274">
    <cfRule type="cellIs" dxfId="30314" priority="3820" stopIfTrue="1" operator="equal">
      <formula>"1 Modify"</formula>
    </cfRule>
  </conditionalFormatting>
  <conditionalFormatting sqref="C1274">
    <cfRule type="cellIs" dxfId="30313" priority="3821" stopIfTrue="1" operator="equal">
      <formula>"2 Add"</formula>
    </cfRule>
  </conditionalFormatting>
  <conditionalFormatting sqref="C1274">
    <cfRule type="cellIs" dxfId="30312" priority="3822" stopIfTrue="1" operator="equal">
      <formula>"3 Delete"</formula>
    </cfRule>
  </conditionalFormatting>
  <conditionalFormatting sqref="C1275">
    <cfRule type="cellIs" dxfId="30311" priority="3823" stopIfTrue="1" operator="equal">
      <formula>"1 Modify"</formula>
    </cfRule>
  </conditionalFormatting>
  <conditionalFormatting sqref="C1275">
    <cfRule type="cellIs" dxfId="30310" priority="3824" stopIfTrue="1" operator="equal">
      <formula>"2 Add"</formula>
    </cfRule>
  </conditionalFormatting>
  <conditionalFormatting sqref="C1275">
    <cfRule type="cellIs" dxfId="30309" priority="3825" stopIfTrue="1" operator="equal">
      <formula>"3 Delete"</formula>
    </cfRule>
  </conditionalFormatting>
  <conditionalFormatting sqref="C1276">
    <cfRule type="cellIs" dxfId="30308" priority="3826" stopIfTrue="1" operator="equal">
      <formula>"1 Modify"</formula>
    </cfRule>
  </conditionalFormatting>
  <conditionalFormatting sqref="C1276">
    <cfRule type="cellIs" dxfId="30307" priority="3827" stopIfTrue="1" operator="equal">
      <formula>"2 Add"</formula>
    </cfRule>
  </conditionalFormatting>
  <conditionalFormatting sqref="C1276">
    <cfRule type="cellIs" dxfId="30306" priority="3828" stopIfTrue="1" operator="equal">
      <formula>"3 Delete"</formula>
    </cfRule>
  </conditionalFormatting>
  <conditionalFormatting sqref="C1277">
    <cfRule type="cellIs" dxfId="30305" priority="3829" stopIfTrue="1" operator="equal">
      <formula>"1 Modify"</formula>
    </cfRule>
  </conditionalFormatting>
  <conditionalFormatting sqref="C1277">
    <cfRule type="cellIs" dxfId="30304" priority="3830" stopIfTrue="1" operator="equal">
      <formula>"2 Add"</formula>
    </cfRule>
  </conditionalFormatting>
  <conditionalFormatting sqref="C1277">
    <cfRule type="cellIs" dxfId="30303" priority="3831" stopIfTrue="1" operator="equal">
      <formula>"3 Delete"</formula>
    </cfRule>
  </conditionalFormatting>
  <conditionalFormatting sqref="C1278">
    <cfRule type="cellIs" dxfId="30302" priority="3832" stopIfTrue="1" operator="equal">
      <formula>"1 Modify"</formula>
    </cfRule>
  </conditionalFormatting>
  <conditionalFormatting sqref="C1278">
    <cfRule type="cellIs" dxfId="30301" priority="3833" stopIfTrue="1" operator="equal">
      <formula>"2 Add"</formula>
    </cfRule>
  </conditionalFormatting>
  <conditionalFormatting sqref="C1278">
    <cfRule type="cellIs" dxfId="30300" priority="3834" stopIfTrue="1" operator="equal">
      <formula>"3 Delete"</formula>
    </cfRule>
  </conditionalFormatting>
  <conditionalFormatting sqref="C1279">
    <cfRule type="cellIs" dxfId="30299" priority="3835" stopIfTrue="1" operator="equal">
      <formula>"1 Modify"</formula>
    </cfRule>
  </conditionalFormatting>
  <conditionalFormatting sqref="C1279">
    <cfRule type="cellIs" dxfId="30298" priority="3836" stopIfTrue="1" operator="equal">
      <formula>"2 Add"</formula>
    </cfRule>
  </conditionalFormatting>
  <conditionalFormatting sqref="C1279">
    <cfRule type="cellIs" dxfId="30297" priority="3837" stopIfTrue="1" operator="equal">
      <formula>"3 Delete"</formula>
    </cfRule>
  </conditionalFormatting>
  <conditionalFormatting sqref="C1280">
    <cfRule type="cellIs" dxfId="30296" priority="3838" stopIfTrue="1" operator="equal">
      <formula>"1 Modify"</formula>
    </cfRule>
  </conditionalFormatting>
  <conditionalFormatting sqref="C1280">
    <cfRule type="cellIs" dxfId="30295" priority="3839" stopIfTrue="1" operator="equal">
      <formula>"2 Add"</formula>
    </cfRule>
  </conditionalFormatting>
  <conditionalFormatting sqref="C1280">
    <cfRule type="cellIs" dxfId="30294" priority="3840" stopIfTrue="1" operator="equal">
      <formula>"3 Delete"</formula>
    </cfRule>
  </conditionalFormatting>
  <conditionalFormatting sqref="C1281">
    <cfRule type="cellIs" dxfId="30293" priority="3841" stopIfTrue="1" operator="equal">
      <formula>"1 Modify"</formula>
    </cfRule>
  </conditionalFormatting>
  <conditionalFormatting sqref="C1281">
    <cfRule type="cellIs" dxfId="30292" priority="3842" stopIfTrue="1" operator="equal">
      <formula>"2 Add"</formula>
    </cfRule>
  </conditionalFormatting>
  <conditionalFormatting sqref="C1281">
    <cfRule type="cellIs" dxfId="30291" priority="3843" stopIfTrue="1" operator="equal">
      <formula>"3 Delete"</formula>
    </cfRule>
  </conditionalFormatting>
  <conditionalFormatting sqref="C1282">
    <cfRule type="cellIs" dxfId="30290" priority="3844" stopIfTrue="1" operator="equal">
      <formula>"1 Modify"</formula>
    </cfRule>
  </conditionalFormatting>
  <conditionalFormatting sqref="C1282">
    <cfRule type="cellIs" dxfId="30289" priority="3845" stopIfTrue="1" operator="equal">
      <formula>"2 Add"</formula>
    </cfRule>
  </conditionalFormatting>
  <conditionalFormatting sqref="C1282">
    <cfRule type="cellIs" dxfId="30288" priority="3846" stopIfTrue="1" operator="equal">
      <formula>"3 Delete"</formula>
    </cfRule>
  </conditionalFormatting>
  <conditionalFormatting sqref="C1283">
    <cfRule type="cellIs" dxfId="30287" priority="3847" stopIfTrue="1" operator="equal">
      <formula>"1 Modify"</formula>
    </cfRule>
  </conditionalFormatting>
  <conditionalFormatting sqref="C1283">
    <cfRule type="cellIs" dxfId="30286" priority="3848" stopIfTrue="1" operator="equal">
      <formula>"2 Add"</formula>
    </cfRule>
  </conditionalFormatting>
  <conditionalFormatting sqref="C1283">
    <cfRule type="cellIs" dxfId="30285" priority="3849" stopIfTrue="1" operator="equal">
      <formula>"3 Delete"</formula>
    </cfRule>
  </conditionalFormatting>
  <conditionalFormatting sqref="C1284">
    <cfRule type="cellIs" dxfId="30284" priority="3850" stopIfTrue="1" operator="equal">
      <formula>"1 Modify"</formula>
    </cfRule>
  </conditionalFormatting>
  <conditionalFormatting sqref="C1284">
    <cfRule type="cellIs" dxfId="30283" priority="3851" stopIfTrue="1" operator="equal">
      <formula>"2 Add"</formula>
    </cfRule>
  </conditionalFormatting>
  <conditionalFormatting sqref="C1284">
    <cfRule type="cellIs" dxfId="30282" priority="3852" stopIfTrue="1" operator="equal">
      <formula>"3 Delete"</formula>
    </cfRule>
  </conditionalFormatting>
  <conditionalFormatting sqref="C1285">
    <cfRule type="cellIs" dxfId="30281" priority="3853" stopIfTrue="1" operator="equal">
      <formula>"1 Modify"</formula>
    </cfRule>
  </conditionalFormatting>
  <conditionalFormatting sqref="C1285">
    <cfRule type="cellIs" dxfId="30280" priority="3854" stopIfTrue="1" operator="equal">
      <formula>"2 Add"</formula>
    </cfRule>
  </conditionalFormatting>
  <conditionalFormatting sqref="C1285">
    <cfRule type="cellIs" dxfId="30279" priority="3855" stopIfTrue="1" operator="equal">
      <formula>"3 Delete"</formula>
    </cfRule>
  </conditionalFormatting>
  <conditionalFormatting sqref="C1286">
    <cfRule type="cellIs" dxfId="30278" priority="3856" stopIfTrue="1" operator="equal">
      <formula>"1 Modify"</formula>
    </cfRule>
  </conditionalFormatting>
  <conditionalFormatting sqref="C1286">
    <cfRule type="cellIs" dxfId="30277" priority="3857" stopIfTrue="1" operator="equal">
      <formula>"2 Add"</formula>
    </cfRule>
  </conditionalFormatting>
  <conditionalFormatting sqref="C1286">
    <cfRule type="cellIs" dxfId="30276" priority="3858" stopIfTrue="1" operator="equal">
      <formula>"3 Delete"</formula>
    </cfRule>
  </conditionalFormatting>
  <conditionalFormatting sqref="C1287">
    <cfRule type="cellIs" dxfId="30275" priority="3859" stopIfTrue="1" operator="equal">
      <formula>"1 Modify"</formula>
    </cfRule>
  </conditionalFormatting>
  <conditionalFormatting sqref="C1287">
    <cfRule type="cellIs" dxfId="30274" priority="3860" stopIfTrue="1" operator="equal">
      <formula>"2 Add"</formula>
    </cfRule>
  </conditionalFormatting>
  <conditionalFormatting sqref="C1287">
    <cfRule type="cellIs" dxfId="30273" priority="3861" stopIfTrue="1" operator="equal">
      <formula>"3 Delete"</formula>
    </cfRule>
  </conditionalFormatting>
  <conditionalFormatting sqref="C1288">
    <cfRule type="cellIs" dxfId="30272" priority="3862" stopIfTrue="1" operator="equal">
      <formula>"1 Modify"</formula>
    </cfRule>
  </conditionalFormatting>
  <conditionalFormatting sqref="C1288">
    <cfRule type="cellIs" dxfId="30271" priority="3863" stopIfTrue="1" operator="equal">
      <formula>"2 Add"</formula>
    </cfRule>
  </conditionalFormatting>
  <conditionalFormatting sqref="C1288">
    <cfRule type="cellIs" dxfId="30270" priority="3864" stopIfTrue="1" operator="equal">
      <formula>"3 Delete"</formula>
    </cfRule>
  </conditionalFormatting>
  <conditionalFormatting sqref="C1289">
    <cfRule type="cellIs" dxfId="30269" priority="3865" stopIfTrue="1" operator="equal">
      <formula>"1 Modify"</formula>
    </cfRule>
  </conditionalFormatting>
  <conditionalFormatting sqref="C1289">
    <cfRule type="cellIs" dxfId="30268" priority="3866" stopIfTrue="1" operator="equal">
      <formula>"2 Add"</formula>
    </cfRule>
  </conditionalFormatting>
  <conditionalFormatting sqref="C1289">
    <cfRule type="cellIs" dxfId="30267" priority="3867" stopIfTrue="1" operator="equal">
      <formula>"3 Delete"</formula>
    </cfRule>
  </conditionalFormatting>
  <conditionalFormatting sqref="C1290">
    <cfRule type="cellIs" dxfId="30266" priority="3868" stopIfTrue="1" operator="equal">
      <formula>"1 Modify"</formula>
    </cfRule>
  </conditionalFormatting>
  <conditionalFormatting sqref="C1290">
    <cfRule type="cellIs" dxfId="30265" priority="3869" stopIfTrue="1" operator="equal">
      <formula>"2 Add"</formula>
    </cfRule>
  </conditionalFormatting>
  <conditionalFormatting sqref="C1290">
    <cfRule type="cellIs" dxfId="30264" priority="3870" stopIfTrue="1" operator="equal">
      <formula>"3 Delete"</formula>
    </cfRule>
  </conditionalFormatting>
  <conditionalFormatting sqref="C1291">
    <cfRule type="cellIs" dxfId="30263" priority="3871" stopIfTrue="1" operator="equal">
      <formula>"1 Modify"</formula>
    </cfRule>
  </conditionalFormatting>
  <conditionalFormatting sqref="C1291">
    <cfRule type="cellIs" dxfId="30262" priority="3872" stopIfTrue="1" operator="equal">
      <formula>"2 Add"</formula>
    </cfRule>
  </conditionalFormatting>
  <conditionalFormatting sqref="C1291">
    <cfRule type="cellIs" dxfId="30261" priority="3873" stopIfTrue="1" operator="equal">
      <formula>"3 Delete"</formula>
    </cfRule>
  </conditionalFormatting>
  <conditionalFormatting sqref="C1292">
    <cfRule type="cellIs" dxfId="30260" priority="3874" stopIfTrue="1" operator="equal">
      <formula>"1 Modify"</formula>
    </cfRule>
  </conditionalFormatting>
  <conditionalFormatting sqref="C1292">
    <cfRule type="cellIs" dxfId="30259" priority="3875" stopIfTrue="1" operator="equal">
      <formula>"2 Add"</formula>
    </cfRule>
  </conditionalFormatting>
  <conditionalFormatting sqref="C1292">
    <cfRule type="cellIs" dxfId="30258" priority="3876" stopIfTrue="1" operator="equal">
      <formula>"3 Delete"</formula>
    </cfRule>
  </conditionalFormatting>
  <conditionalFormatting sqref="C1293">
    <cfRule type="cellIs" dxfId="30257" priority="3877" stopIfTrue="1" operator="equal">
      <formula>"1 Modify"</formula>
    </cfRule>
  </conditionalFormatting>
  <conditionalFormatting sqref="C1293">
    <cfRule type="cellIs" dxfId="30256" priority="3878" stopIfTrue="1" operator="equal">
      <formula>"2 Add"</formula>
    </cfRule>
  </conditionalFormatting>
  <conditionalFormatting sqref="C1293">
    <cfRule type="cellIs" dxfId="30255" priority="3879" stopIfTrue="1" operator="equal">
      <formula>"3 Delete"</formula>
    </cfRule>
  </conditionalFormatting>
  <conditionalFormatting sqref="C1294">
    <cfRule type="cellIs" dxfId="30254" priority="3880" stopIfTrue="1" operator="equal">
      <formula>"1 Modify"</formula>
    </cfRule>
  </conditionalFormatting>
  <conditionalFormatting sqref="C1294">
    <cfRule type="cellIs" dxfId="30253" priority="3881" stopIfTrue="1" operator="equal">
      <formula>"2 Add"</formula>
    </cfRule>
  </conditionalFormatting>
  <conditionalFormatting sqref="C1294">
    <cfRule type="cellIs" dxfId="30252" priority="3882" stopIfTrue="1" operator="equal">
      <formula>"3 Delete"</formula>
    </cfRule>
  </conditionalFormatting>
  <conditionalFormatting sqref="C1295">
    <cfRule type="cellIs" dxfId="30251" priority="3883" stopIfTrue="1" operator="equal">
      <formula>"1 Modify"</formula>
    </cfRule>
  </conditionalFormatting>
  <conditionalFormatting sqref="C1295">
    <cfRule type="cellIs" dxfId="30250" priority="3884" stopIfTrue="1" operator="equal">
      <formula>"2 Add"</formula>
    </cfRule>
  </conditionalFormatting>
  <conditionalFormatting sqref="C1295">
    <cfRule type="cellIs" dxfId="30249" priority="3885" stopIfTrue="1" operator="equal">
      <formula>"3 Delete"</formula>
    </cfRule>
  </conditionalFormatting>
  <conditionalFormatting sqref="C1296">
    <cfRule type="cellIs" dxfId="30248" priority="3886" stopIfTrue="1" operator="equal">
      <formula>"1 Modify"</formula>
    </cfRule>
  </conditionalFormatting>
  <conditionalFormatting sqref="C1296">
    <cfRule type="cellIs" dxfId="30247" priority="3887" stopIfTrue="1" operator="equal">
      <formula>"2 Add"</formula>
    </cfRule>
  </conditionalFormatting>
  <conditionalFormatting sqref="C1296">
    <cfRule type="cellIs" dxfId="30246" priority="3888" stopIfTrue="1" operator="equal">
      <formula>"3 Delete"</formula>
    </cfRule>
  </conditionalFormatting>
  <conditionalFormatting sqref="C1297">
    <cfRule type="cellIs" dxfId="30245" priority="3889" stopIfTrue="1" operator="equal">
      <formula>"1 Modify"</formula>
    </cfRule>
  </conditionalFormatting>
  <conditionalFormatting sqref="C1297">
    <cfRule type="cellIs" dxfId="30244" priority="3890" stopIfTrue="1" operator="equal">
      <formula>"2 Add"</formula>
    </cfRule>
  </conditionalFormatting>
  <conditionalFormatting sqref="C1297">
    <cfRule type="cellIs" dxfId="30243" priority="3891" stopIfTrue="1" operator="equal">
      <formula>"3 Delete"</formula>
    </cfRule>
  </conditionalFormatting>
  <conditionalFormatting sqref="C1298">
    <cfRule type="cellIs" dxfId="30242" priority="3892" stopIfTrue="1" operator="equal">
      <formula>"1 Modify"</formula>
    </cfRule>
  </conditionalFormatting>
  <conditionalFormatting sqref="C1298">
    <cfRule type="cellIs" dxfId="30241" priority="3893" stopIfTrue="1" operator="equal">
      <formula>"2 Add"</formula>
    </cfRule>
  </conditionalFormatting>
  <conditionalFormatting sqref="C1298">
    <cfRule type="cellIs" dxfId="30240" priority="3894" stopIfTrue="1" operator="equal">
      <formula>"3 Delete"</formula>
    </cfRule>
  </conditionalFormatting>
  <conditionalFormatting sqref="C1299">
    <cfRule type="cellIs" dxfId="30239" priority="3895" stopIfTrue="1" operator="equal">
      <formula>"1 Modify"</formula>
    </cfRule>
  </conditionalFormatting>
  <conditionalFormatting sqref="C1299">
    <cfRule type="cellIs" dxfId="30238" priority="3896" stopIfTrue="1" operator="equal">
      <formula>"2 Add"</formula>
    </cfRule>
  </conditionalFormatting>
  <conditionalFormatting sqref="C1299">
    <cfRule type="cellIs" dxfId="30237" priority="3897" stopIfTrue="1" operator="equal">
      <formula>"3 Delete"</formula>
    </cfRule>
  </conditionalFormatting>
  <conditionalFormatting sqref="C1300">
    <cfRule type="cellIs" dxfId="30236" priority="3898" stopIfTrue="1" operator="equal">
      <formula>"1 Modify"</formula>
    </cfRule>
  </conditionalFormatting>
  <conditionalFormatting sqref="C1300">
    <cfRule type="cellIs" dxfId="30235" priority="3899" stopIfTrue="1" operator="equal">
      <formula>"2 Add"</formula>
    </cfRule>
  </conditionalFormatting>
  <conditionalFormatting sqref="C1300">
    <cfRule type="cellIs" dxfId="30234" priority="3900" stopIfTrue="1" operator="equal">
      <formula>"3 Delete"</formula>
    </cfRule>
  </conditionalFormatting>
  <conditionalFormatting sqref="C1301">
    <cfRule type="cellIs" dxfId="30233" priority="3901" stopIfTrue="1" operator="equal">
      <formula>"1 Modify"</formula>
    </cfRule>
  </conditionalFormatting>
  <conditionalFormatting sqref="C1301">
    <cfRule type="cellIs" dxfId="30232" priority="3902" stopIfTrue="1" operator="equal">
      <formula>"2 Add"</formula>
    </cfRule>
  </conditionalFormatting>
  <conditionalFormatting sqref="C1301">
    <cfRule type="cellIs" dxfId="30231" priority="3903" stopIfTrue="1" operator="equal">
      <formula>"3 Delete"</formula>
    </cfRule>
  </conditionalFormatting>
  <conditionalFormatting sqref="C1302">
    <cfRule type="cellIs" dxfId="30230" priority="3904" stopIfTrue="1" operator="equal">
      <formula>"1 Modify"</formula>
    </cfRule>
  </conditionalFormatting>
  <conditionalFormatting sqref="C1302">
    <cfRule type="cellIs" dxfId="30229" priority="3905" stopIfTrue="1" operator="equal">
      <formula>"2 Add"</formula>
    </cfRule>
  </conditionalFormatting>
  <conditionalFormatting sqref="C1302">
    <cfRule type="cellIs" dxfId="30228" priority="3906" stopIfTrue="1" operator="equal">
      <formula>"3 Delete"</formula>
    </cfRule>
  </conditionalFormatting>
  <conditionalFormatting sqref="C1303">
    <cfRule type="cellIs" dxfId="30227" priority="3907" stopIfTrue="1" operator="equal">
      <formula>"1 Modify"</formula>
    </cfRule>
  </conditionalFormatting>
  <conditionalFormatting sqref="C1303">
    <cfRule type="cellIs" dxfId="30226" priority="3908" stopIfTrue="1" operator="equal">
      <formula>"2 Add"</formula>
    </cfRule>
  </conditionalFormatting>
  <conditionalFormatting sqref="C1303">
    <cfRule type="cellIs" dxfId="30225" priority="3909" stopIfTrue="1" operator="equal">
      <formula>"3 Delete"</formula>
    </cfRule>
  </conditionalFormatting>
  <conditionalFormatting sqref="C1304">
    <cfRule type="cellIs" dxfId="30224" priority="3910" stopIfTrue="1" operator="equal">
      <formula>"1 Modify"</formula>
    </cfRule>
  </conditionalFormatting>
  <conditionalFormatting sqref="C1304">
    <cfRule type="cellIs" dxfId="30223" priority="3911" stopIfTrue="1" operator="equal">
      <formula>"2 Add"</formula>
    </cfRule>
  </conditionalFormatting>
  <conditionalFormatting sqref="C1304">
    <cfRule type="cellIs" dxfId="30222" priority="3912" stopIfTrue="1" operator="equal">
      <formula>"3 Delete"</formula>
    </cfRule>
  </conditionalFormatting>
  <conditionalFormatting sqref="C1305">
    <cfRule type="cellIs" dxfId="30221" priority="3913" stopIfTrue="1" operator="equal">
      <formula>"1 Modify"</formula>
    </cfRule>
  </conditionalFormatting>
  <conditionalFormatting sqref="C1305">
    <cfRule type="cellIs" dxfId="30220" priority="3914" stopIfTrue="1" operator="equal">
      <formula>"2 Add"</formula>
    </cfRule>
  </conditionalFormatting>
  <conditionalFormatting sqref="C1305">
    <cfRule type="cellIs" dxfId="30219" priority="3915" stopIfTrue="1" operator="equal">
      <formula>"3 Delete"</formula>
    </cfRule>
  </conditionalFormatting>
  <conditionalFormatting sqref="C1306">
    <cfRule type="cellIs" dxfId="30218" priority="3916" stopIfTrue="1" operator="equal">
      <formula>"1 Modify"</formula>
    </cfRule>
  </conditionalFormatting>
  <conditionalFormatting sqref="C1306">
    <cfRule type="cellIs" dxfId="30217" priority="3917" stopIfTrue="1" operator="equal">
      <formula>"2 Add"</formula>
    </cfRule>
  </conditionalFormatting>
  <conditionalFormatting sqref="C1306">
    <cfRule type="cellIs" dxfId="30216" priority="3918" stopIfTrue="1" operator="equal">
      <formula>"3 Delete"</formula>
    </cfRule>
  </conditionalFormatting>
  <conditionalFormatting sqref="C1307">
    <cfRule type="cellIs" dxfId="30215" priority="3919" stopIfTrue="1" operator="equal">
      <formula>"1 Modify"</formula>
    </cfRule>
  </conditionalFormatting>
  <conditionalFormatting sqref="C1307">
    <cfRule type="cellIs" dxfId="30214" priority="3920" stopIfTrue="1" operator="equal">
      <formula>"2 Add"</formula>
    </cfRule>
  </conditionalFormatting>
  <conditionalFormatting sqref="C1307">
    <cfRule type="cellIs" dxfId="30213" priority="3921" stopIfTrue="1" operator="equal">
      <formula>"3 Delete"</formula>
    </cfRule>
  </conditionalFormatting>
  <conditionalFormatting sqref="C1308">
    <cfRule type="cellIs" dxfId="30212" priority="3922" stopIfTrue="1" operator="equal">
      <formula>"1 Modify"</formula>
    </cfRule>
  </conditionalFormatting>
  <conditionalFormatting sqref="C1308">
    <cfRule type="cellIs" dxfId="30211" priority="3923" stopIfTrue="1" operator="equal">
      <formula>"2 Add"</formula>
    </cfRule>
  </conditionalFormatting>
  <conditionalFormatting sqref="C1308">
    <cfRule type="cellIs" dxfId="30210" priority="3924" stopIfTrue="1" operator="equal">
      <formula>"3 Delete"</formula>
    </cfRule>
  </conditionalFormatting>
  <conditionalFormatting sqref="C1309">
    <cfRule type="cellIs" dxfId="30209" priority="3925" stopIfTrue="1" operator="equal">
      <formula>"1 Modify"</formula>
    </cfRule>
  </conditionalFormatting>
  <conditionalFormatting sqref="C1309">
    <cfRule type="cellIs" dxfId="30208" priority="3926" stopIfTrue="1" operator="equal">
      <formula>"2 Add"</formula>
    </cfRule>
  </conditionalFormatting>
  <conditionalFormatting sqref="C1309">
    <cfRule type="cellIs" dxfId="30207" priority="3927" stopIfTrue="1" operator="equal">
      <formula>"3 Delete"</formula>
    </cfRule>
  </conditionalFormatting>
  <conditionalFormatting sqref="C1310">
    <cfRule type="cellIs" dxfId="30206" priority="3928" stopIfTrue="1" operator="equal">
      <formula>"1 Modify"</formula>
    </cfRule>
  </conditionalFormatting>
  <conditionalFormatting sqref="C1310">
    <cfRule type="cellIs" dxfId="30205" priority="3929" stopIfTrue="1" operator="equal">
      <formula>"2 Add"</formula>
    </cfRule>
  </conditionalFormatting>
  <conditionalFormatting sqref="C1310">
    <cfRule type="cellIs" dxfId="30204" priority="3930" stopIfTrue="1" operator="equal">
      <formula>"3 Delete"</formula>
    </cfRule>
  </conditionalFormatting>
  <conditionalFormatting sqref="C1311">
    <cfRule type="cellIs" dxfId="30203" priority="3931" stopIfTrue="1" operator="equal">
      <formula>"1 Modify"</formula>
    </cfRule>
  </conditionalFormatting>
  <conditionalFormatting sqref="C1311">
    <cfRule type="cellIs" dxfId="30202" priority="3932" stopIfTrue="1" operator="equal">
      <formula>"2 Add"</formula>
    </cfRule>
  </conditionalFormatting>
  <conditionalFormatting sqref="C1311">
    <cfRule type="cellIs" dxfId="30201" priority="3933" stopIfTrue="1" operator="equal">
      <formula>"3 Delete"</formula>
    </cfRule>
  </conditionalFormatting>
  <conditionalFormatting sqref="C1312">
    <cfRule type="cellIs" dxfId="30200" priority="3934" stopIfTrue="1" operator="equal">
      <formula>"1 Modify"</formula>
    </cfRule>
  </conditionalFormatting>
  <conditionalFormatting sqref="C1312">
    <cfRule type="cellIs" dxfId="30199" priority="3935" stopIfTrue="1" operator="equal">
      <formula>"2 Add"</formula>
    </cfRule>
  </conditionalFormatting>
  <conditionalFormatting sqref="C1312">
    <cfRule type="cellIs" dxfId="30198" priority="3936" stopIfTrue="1" operator="equal">
      <formula>"3 Delete"</formula>
    </cfRule>
  </conditionalFormatting>
  <conditionalFormatting sqref="C1313">
    <cfRule type="cellIs" dxfId="30197" priority="3937" stopIfTrue="1" operator="equal">
      <formula>"1 Modify"</formula>
    </cfRule>
  </conditionalFormatting>
  <conditionalFormatting sqref="C1313">
    <cfRule type="cellIs" dxfId="30196" priority="3938" stopIfTrue="1" operator="equal">
      <formula>"2 Add"</formula>
    </cfRule>
  </conditionalFormatting>
  <conditionalFormatting sqref="C1313">
    <cfRule type="cellIs" dxfId="30195" priority="3939" stopIfTrue="1" operator="equal">
      <formula>"3 Delete"</formula>
    </cfRule>
  </conditionalFormatting>
  <conditionalFormatting sqref="C1314">
    <cfRule type="cellIs" dxfId="30194" priority="3940" stopIfTrue="1" operator="equal">
      <formula>"1 Modify"</formula>
    </cfRule>
  </conditionalFormatting>
  <conditionalFormatting sqref="C1314">
    <cfRule type="cellIs" dxfId="30193" priority="3941" stopIfTrue="1" operator="equal">
      <formula>"2 Add"</formula>
    </cfRule>
  </conditionalFormatting>
  <conditionalFormatting sqref="C1314">
    <cfRule type="cellIs" dxfId="30192" priority="3942" stopIfTrue="1" operator="equal">
      <formula>"3 Delete"</formula>
    </cfRule>
  </conditionalFormatting>
  <conditionalFormatting sqref="C1315">
    <cfRule type="cellIs" dxfId="30191" priority="3943" stopIfTrue="1" operator="equal">
      <formula>"1 Modify"</formula>
    </cfRule>
  </conditionalFormatting>
  <conditionalFormatting sqref="C1315">
    <cfRule type="cellIs" dxfId="30190" priority="3944" stopIfTrue="1" operator="equal">
      <formula>"2 Add"</formula>
    </cfRule>
  </conditionalFormatting>
  <conditionalFormatting sqref="C1315">
    <cfRule type="cellIs" dxfId="30189" priority="3945" stopIfTrue="1" operator="equal">
      <formula>"3 Delete"</formula>
    </cfRule>
  </conditionalFormatting>
  <conditionalFormatting sqref="C1316">
    <cfRule type="cellIs" dxfId="30188" priority="3946" stopIfTrue="1" operator="equal">
      <formula>"1 Modify"</formula>
    </cfRule>
  </conditionalFormatting>
  <conditionalFormatting sqref="C1316">
    <cfRule type="cellIs" dxfId="30187" priority="3947" stopIfTrue="1" operator="equal">
      <formula>"2 Add"</formula>
    </cfRule>
  </conditionalFormatting>
  <conditionalFormatting sqref="C1316">
    <cfRule type="cellIs" dxfId="30186" priority="3948" stopIfTrue="1" operator="equal">
      <formula>"3 Delete"</formula>
    </cfRule>
  </conditionalFormatting>
  <conditionalFormatting sqref="C1317">
    <cfRule type="cellIs" dxfId="30185" priority="3949" stopIfTrue="1" operator="equal">
      <formula>"1 Modify"</formula>
    </cfRule>
  </conditionalFormatting>
  <conditionalFormatting sqref="C1317">
    <cfRule type="cellIs" dxfId="30184" priority="3950" stopIfTrue="1" operator="equal">
      <formula>"2 Add"</formula>
    </cfRule>
  </conditionalFormatting>
  <conditionalFormatting sqref="C1317">
    <cfRule type="cellIs" dxfId="30183" priority="3951" stopIfTrue="1" operator="equal">
      <formula>"3 Delete"</formula>
    </cfRule>
  </conditionalFormatting>
  <conditionalFormatting sqref="C1318">
    <cfRule type="cellIs" dxfId="30182" priority="3952" stopIfTrue="1" operator="equal">
      <formula>"1 Modify"</formula>
    </cfRule>
  </conditionalFormatting>
  <conditionalFormatting sqref="C1318">
    <cfRule type="cellIs" dxfId="30181" priority="3953" stopIfTrue="1" operator="equal">
      <formula>"2 Add"</formula>
    </cfRule>
  </conditionalFormatting>
  <conditionalFormatting sqref="C1318">
    <cfRule type="cellIs" dxfId="30180" priority="3954" stopIfTrue="1" operator="equal">
      <formula>"3 Delete"</formula>
    </cfRule>
  </conditionalFormatting>
  <conditionalFormatting sqref="C1319">
    <cfRule type="cellIs" dxfId="30179" priority="3955" stopIfTrue="1" operator="equal">
      <formula>"1 Modify"</formula>
    </cfRule>
  </conditionalFormatting>
  <conditionalFormatting sqref="C1319">
    <cfRule type="cellIs" dxfId="30178" priority="3956" stopIfTrue="1" operator="equal">
      <formula>"2 Add"</formula>
    </cfRule>
  </conditionalFormatting>
  <conditionalFormatting sqref="C1319">
    <cfRule type="cellIs" dxfId="30177" priority="3957" stopIfTrue="1" operator="equal">
      <formula>"3 Delete"</formula>
    </cfRule>
  </conditionalFormatting>
  <conditionalFormatting sqref="C1320">
    <cfRule type="cellIs" dxfId="30176" priority="3958" stopIfTrue="1" operator="equal">
      <formula>"1 Modify"</formula>
    </cfRule>
  </conditionalFormatting>
  <conditionalFormatting sqref="C1320">
    <cfRule type="cellIs" dxfId="30175" priority="3959" stopIfTrue="1" operator="equal">
      <formula>"2 Add"</formula>
    </cfRule>
  </conditionalFormatting>
  <conditionalFormatting sqref="C1320">
    <cfRule type="cellIs" dxfId="30174" priority="3960" stopIfTrue="1" operator="equal">
      <formula>"3 Delete"</formula>
    </cfRule>
  </conditionalFormatting>
  <conditionalFormatting sqref="C1321">
    <cfRule type="cellIs" dxfId="30173" priority="3961" stopIfTrue="1" operator="equal">
      <formula>"1 Modify"</formula>
    </cfRule>
  </conditionalFormatting>
  <conditionalFormatting sqref="C1321">
    <cfRule type="cellIs" dxfId="30172" priority="3962" stopIfTrue="1" operator="equal">
      <formula>"2 Add"</formula>
    </cfRule>
  </conditionalFormatting>
  <conditionalFormatting sqref="C1321">
    <cfRule type="cellIs" dxfId="30171" priority="3963" stopIfTrue="1" operator="equal">
      <formula>"3 Delete"</formula>
    </cfRule>
  </conditionalFormatting>
  <conditionalFormatting sqref="C1322">
    <cfRule type="cellIs" dxfId="30170" priority="3964" stopIfTrue="1" operator="equal">
      <formula>"1 Modify"</formula>
    </cfRule>
  </conditionalFormatting>
  <conditionalFormatting sqref="C1322">
    <cfRule type="cellIs" dxfId="30169" priority="3965" stopIfTrue="1" operator="equal">
      <formula>"2 Add"</formula>
    </cfRule>
  </conditionalFormatting>
  <conditionalFormatting sqref="C1322">
    <cfRule type="cellIs" dxfId="30168" priority="3966" stopIfTrue="1" operator="equal">
      <formula>"3 Delete"</formula>
    </cfRule>
  </conditionalFormatting>
  <conditionalFormatting sqref="C1323">
    <cfRule type="cellIs" dxfId="30167" priority="3967" stopIfTrue="1" operator="equal">
      <formula>"1 Modify"</formula>
    </cfRule>
  </conditionalFormatting>
  <conditionalFormatting sqref="C1323">
    <cfRule type="cellIs" dxfId="30166" priority="3968" stopIfTrue="1" operator="equal">
      <formula>"2 Add"</formula>
    </cfRule>
  </conditionalFormatting>
  <conditionalFormatting sqref="C1323">
    <cfRule type="cellIs" dxfId="30165" priority="3969" stopIfTrue="1" operator="equal">
      <formula>"3 Delete"</formula>
    </cfRule>
  </conditionalFormatting>
  <conditionalFormatting sqref="C1324">
    <cfRule type="cellIs" dxfId="30164" priority="3970" stopIfTrue="1" operator="equal">
      <formula>"1 Modify"</formula>
    </cfRule>
  </conditionalFormatting>
  <conditionalFormatting sqref="C1324">
    <cfRule type="cellIs" dxfId="30163" priority="3971" stopIfTrue="1" operator="equal">
      <formula>"2 Add"</formula>
    </cfRule>
  </conditionalFormatting>
  <conditionalFormatting sqref="C1324">
    <cfRule type="cellIs" dxfId="30162" priority="3972" stopIfTrue="1" operator="equal">
      <formula>"3 Delete"</formula>
    </cfRule>
  </conditionalFormatting>
  <conditionalFormatting sqref="C1325">
    <cfRule type="cellIs" dxfId="30161" priority="3973" stopIfTrue="1" operator="equal">
      <formula>"1 Modify"</formula>
    </cfRule>
  </conditionalFormatting>
  <conditionalFormatting sqref="C1325">
    <cfRule type="cellIs" dxfId="30160" priority="3974" stopIfTrue="1" operator="equal">
      <formula>"2 Add"</formula>
    </cfRule>
  </conditionalFormatting>
  <conditionalFormatting sqref="C1325">
    <cfRule type="cellIs" dxfId="30159" priority="3975" stopIfTrue="1" operator="equal">
      <formula>"3 Delete"</formula>
    </cfRule>
  </conditionalFormatting>
  <conditionalFormatting sqref="C1326">
    <cfRule type="cellIs" dxfId="30158" priority="3976" stopIfTrue="1" operator="equal">
      <formula>"1 Modify"</formula>
    </cfRule>
  </conditionalFormatting>
  <conditionalFormatting sqref="C1326">
    <cfRule type="cellIs" dxfId="30157" priority="3977" stopIfTrue="1" operator="equal">
      <formula>"2 Add"</formula>
    </cfRule>
  </conditionalFormatting>
  <conditionalFormatting sqref="C1326">
    <cfRule type="cellIs" dxfId="30156" priority="3978" stopIfTrue="1" operator="equal">
      <formula>"3 Delete"</formula>
    </cfRule>
  </conditionalFormatting>
  <conditionalFormatting sqref="C1327">
    <cfRule type="cellIs" dxfId="30155" priority="3979" stopIfTrue="1" operator="equal">
      <formula>"1 Modify"</formula>
    </cfRule>
  </conditionalFormatting>
  <conditionalFormatting sqref="C1327">
    <cfRule type="cellIs" dxfId="30154" priority="3980" stopIfTrue="1" operator="equal">
      <formula>"2 Add"</formula>
    </cfRule>
  </conditionalFormatting>
  <conditionalFormatting sqref="C1327">
    <cfRule type="cellIs" dxfId="30153" priority="3981" stopIfTrue="1" operator="equal">
      <formula>"3 Delete"</formula>
    </cfRule>
  </conditionalFormatting>
  <conditionalFormatting sqref="C1328">
    <cfRule type="cellIs" dxfId="30152" priority="3982" stopIfTrue="1" operator="equal">
      <formula>"1 Modify"</formula>
    </cfRule>
  </conditionalFormatting>
  <conditionalFormatting sqref="C1328">
    <cfRule type="cellIs" dxfId="30151" priority="3983" stopIfTrue="1" operator="equal">
      <formula>"2 Add"</formula>
    </cfRule>
  </conditionalFormatting>
  <conditionalFormatting sqref="C1328">
    <cfRule type="cellIs" dxfId="30150" priority="3984" stopIfTrue="1" operator="equal">
      <formula>"3 Delete"</formula>
    </cfRule>
  </conditionalFormatting>
  <conditionalFormatting sqref="C1329">
    <cfRule type="cellIs" dxfId="30149" priority="3985" stopIfTrue="1" operator="equal">
      <formula>"1 Modify"</formula>
    </cfRule>
  </conditionalFormatting>
  <conditionalFormatting sqref="C1329">
    <cfRule type="cellIs" dxfId="30148" priority="3986" stopIfTrue="1" operator="equal">
      <formula>"2 Add"</formula>
    </cfRule>
  </conditionalFormatting>
  <conditionalFormatting sqref="C1329">
    <cfRule type="cellIs" dxfId="30147" priority="3987" stopIfTrue="1" operator="equal">
      <formula>"3 Delete"</formula>
    </cfRule>
  </conditionalFormatting>
  <conditionalFormatting sqref="C1330">
    <cfRule type="cellIs" dxfId="30146" priority="3988" stopIfTrue="1" operator="equal">
      <formula>"1 Modify"</formula>
    </cfRule>
  </conditionalFormatting>
  <conditionalFormatting sqref="C1330">
    <cfRule type="cellIs" dxfId="30145" priority="3989" stopIfTrue="1" operator="equal">
      <formula>"2 Add"</formula>
    </cfRule>
  </conditionalFormatting>
  <conditionalFormatting sqref="C1330">
    <cfRule type="cellIs" dxfId="30144" priority="3990" stopIfTrue="1" operator="equal">
      <formula>"3 Delete"</formula>
    </cfRule>
  </conditionalFormatting>
  <conditionalFormatting sqref="C1331">
    <cfRule type="cellIs" dxfId="30143" priority="3991" stopIfTrue="1" operator="equal">
      <formula>"1 Modify"</formula>
    </cfRule>
  </conditionalFormatting>
  <conditionalFormatting sqref="C1331">
    <cfRule type="cellIs" dxfId="30142" priority="3992" stopIfTrue="1" operator="equal">
      <formula>"2 Add"</formula>
    </cfRule>
  </conditionalFormatting>
  <conditionalFormatting sqref="C1331">
    <cfRule type="cellIs" dxfId="30141" priority="3993" stopIfTrue="1" operator="equal">
      <formula>"3 Delete"</formula>
    </cfRule>
  </conditionalFormatting>
  <conditionalFormatting sqref="C1332">
    <cfRule type="cellIs" dxfId="30140" priority="3994" stopIfTrue="1" operator="equal">
      <formula>"1 Modify"</formula>
    </cfRule>
  </conditionalFormatting>
  <conditionalFormatting sqref="C1332">
    <cfRule type="cellIs" dxfId="30139" priority="3995" stopIfTrue="1" operator="equal">
      <formula>"2 Add"</formula>
    </cfRule>
  </conditionalFormatting>
  <conditionalFormatting sqref="C1332">
    <cfRule type="cellIs" dxfId="30138" priority="3996" stopIfTrue="1" operator="equal">
      <formula>"3 Delete"</formula>
    </cfRule>
  </conditionalFormatting>
  <conditionalFormatting sqref="C1333">
    <cfRule type="cellIs" dxfId="30137" priority="3997" stopIfTrue="1" operator="equal">
      <formula>"1 Modify"</formula>
    </cfRule>
  </conditionalFormatting>
  <conditionalFormatting sqref="C1333">
    <cfRule type="cellIs" dxfId="30136" priority="3998" stopIfTrue="1" operator="equal">
      <formula>"2 Add"</formula>
    </cfRule>
  </conditionalFormatting>
  <conditionalFormatting sqref="C1333">
    <cfRule type="cellIs" dxfId="30135" priority="3999" stopIfTrue="1" operator="equal">
      <formula>"3 Delete"</formula>
    </cfRule>
  </conditionalFormatting>
  <conditionalFormatting sqref="C1334">
    <cfRule type="cellIs" dxfId="30134" priority="4000" stopIfTrue="1" operator="equal">
      <formula>"1 Modify"</formula>
    </cfRule>
  </conditionalFormatting>
  <conditionalFormatting sqref="C1334">
    <cfRule type="cellIs" dxfId="30133" priority="4001" stopIfTrue="1" operator="equal">
      <formula>"2 Add"</formula>
    </cfRule>
  </conditionalFormatting>
  <conditionalFormatting sqref="C1334">
    <cfRule type="cellIs" dxfId="30132" priority="4002" stopIfTrue="1" operator="equal">
      <formula>"3 Delete"</formula>
    </cfRule>
  </conditionalFormatting>
  <conditionalFormatting sqref="C1335">
    <cfRule type="cellIs" dxfId="30131" priority="4003" stopIfTrue="1" operator="equal">
      <formula>"1 Modify"</formula>
    </cfRule>
  </conditionalFormatting>
  <conditionalFormatting sqref="C1335">
    <cfRule type="cellIs" dxfId="30130" priority="4004" stopIfTrue="1" operator="equal">
      <formula>"2 Add"</formula>
    </cfRule>
  </conditionalFormatting>
  <conditionalFormatting sqref="C1335">
    <cfRule type="cellIs" dxfId="30129" priority="4005" stopIfTrue="1" operator="equal">
      <formula>"3 Delete"</formula>
    </cfRule>
  </conditionalFormatting>
  <conditionalFormatting sqref="C1336">
    <cfRule type="cellIs" dxfId="30128" priority="4006" stopIfTrue="1" operator="equal">
      <formula>"1 Modify"</formula>
    </cfRule>
  </conditionalFormatting>
  <conditionalFormatting sqref="C1336">
    <cfRule type="cellIs" dxfId="30127" priority="4007" stopIfTrue="1" operator="equal">
      <formula>"2 Add"</formula>
    </cfRule>
  </conditionalFormatting>
  <conditionalFormatting sqref="C1336">
    <cfRule type="cellIs" dxfId="30126" priority="4008" stopIfTrue="1" operator="equal">
      <formula>"3 Delete"</formula>
    </cfRule>
  </conditionalFormatting>
  <conditionalFormatting sqref="C1337">
    <cfRule type="cellIs" dxfId="30125" priority="4009" stopIfTrue="1" operator="equal">
      <formula>"1 Modify"</formula>
    </cfRule>
  </conditionalFormatting>
  <conditionalFormatting sqref="C1337">
    <cfRule type="cellIs" dxfId="30124" priority="4010" stopIfTrue="1" operator="equal">
      <formula>"2 Add"</formula>
    </cfRule>
  </conditionalFormatting>
  <conditionalFormatting sqref="C1337">
    <cfRule type="cellIs" dxfId="30123" priority="4011" stopIfTrue="1" operator="equal">
      <formula>"3 Delete"</formula>
    </cfRule>
  </conditionalFormatting>
  <conditionalFormatting sqref="C1338">
    <cfRule type="cellIs" dxfId="30122" priority="4012" stopIfTrue="1" operator="equal">
      <formula>"1 Modify"</formula>
    </cfRule>
  </conditionalFormatting>
  <conditionalFormatting sqref="C1338">
    <cfRule type="cellIs" dxfId="30121" priority="4013" stopIfTrue="1" operator="equal">
      <formula>"2 Add"</formula>
    </cfRule>
  </conditionalFormatting>
  <conditionalFormatting sqref="C1338">
    <cfRule type="cellIs" dxfId="30120" priority="4014" stopIfTrue="1" operator="equal">
      <formula>"3 Delete"</formula>
    </cfRule>
  </conditionalFormatting>
  <conditionalFormatting sqref="C1339">
    <cfRule type="cellIs" dxfId="30119" priority="4015" stopIfTrue="1" operator="equal">
      <formula>"1 Modify"</formula>
    </cfRule>
  </conditionalFormatting>
  <conditionalFormatting sqref="C1339">
    <cfRule type="cellIs" dxfId="30118" priority="4016" stopIfTrue="1" operator="equal">
      <formula>"2 Add"</formula>
    </cfRule>
  </conditionalFormatting>
  <conditionalFormatting sqref="C1339">
    <cfRule type="cellIs" dxfId="30117" priority="4017" stopIfTrue="1" operator="equal">
      <formula>"3 Delete"</formula>
    </cfRule>
  </conditionalFormatting>
  <conditionalFormatting sqref="C1340">
    <cfRule type="cellIs" dxfId="30116" priority="4018" stopIfTrue="1" operator="equal">
      <formula>"1 Modify"</formula>
    </cfRule>
  </conditionalFormatting>
  <conditionalFormatting sqref="C1340">
    <cfRule type="cellIs" dxfId="30115" priority="4019" stopIfTrue="1" operator="equal">
      <formula>"2 Add"</formula>
    </cfRule>
  </conditionalFormatting>
  <conditionalFormatting sqref="C1340">
    <cfRule type="cellIs" dxfId="30114" priority="4020" stopIfTrue="1" operator="equal">
      <formula>"3 Delete"</formula>
    </cfRule>
  </conditionalFormatting>
  <conditionalFormatting sqref="C1341">
    <cfRule type="cellIs" dxfId="30113" priority="4021" stopIfTrue="1" operator="equal">
      <formula>"1 Modify"</formula>
    </cfRule>
  </conditionalFormatting>
  <conditionalFormatting sqref="C1341">
    <cfRule type="cellIs" dxfId="30112" priority="4022" stopIfTrue="1" operator="equal">
      <formula>"2 Add"</formula>
    </cfRule>
  </conditionalFormatting>
  <conditionalFormatting sqref="C1341">
    <cfRule type="cellIs" dxfId="30111" priority="4023" stopIfTrue="1" operator="equal">
      <formula>"3 Delete"</formula>
    </cfRule>
  </conditionalFormatting>
  <conditionalFormatting sqref="C1342">
    <cfRule type="cellIs" dxfId="30110" priority="4024" stopIfTrue="1" operator="equal">
      <formula>"1 Modify"</formula>
    </cfRule>
  </conditionalFormatting>
  <conditionalFormatting sqref="C1342">
    <cfRule type="cellIs" dxfId="30109" priority="4025" stopIfTrue="1" operator="equal">
      <formula>"2 Add"</formula>
    </cfRule>
  </conditionalFormatting>
  <conditionalFormatting sqref="C1342">
    <cfRule type="cellIs" dxfId="30108" priority="4026" stopIfTrue="1" operator="equal">
      <formula>"3 Delete"</formula>
    </cfRule>
  </conditionalFormatting>
  <conditionalFormatting sqref="C1343">
    <cfRule type="cellIs" dxfId="30107" priority="4027" stopIfTrue="1" operator="equal">
      <formula>"1 Modify"</formula>
    </cfRule>
  </conditionalFormatting>
  <conditionalFormatting sqref="C1343">
    <cfRule type="cellIs" dxfId="30106" priority="4028" stopIfTrue="1" operator="equal">
      <formula>"2 Add"</formula>
    </cfRule>
  </conditionalFormatting>
  <conditionalFormatting sqref="C1343">
    <cfRule type="cellIs" dxfId="30105" priority="4029" stopIfTrue="1" operator="equal">
      <formula>"3 Delete"</formula>
    </cfRule>
  </conditionalFormatting>
  <conditionalFormatting sqref="C1344">
    <cfRule type="cellIs" dxfId="30104" priority="4030" stopIfTrue="1" operator="equal">
      <formula>"1 Modify"</formula>
    </cfRule>
  </conditionalFormatting>
  <conditionalFormatting sqref="C1344">
    <cfRule type="cellIs" dxfId="30103" priority="4031" stopIfTrue="1" operator="equal">
      <formula>"2 Add"</formula>
    </cfRule>
  </conditionalFormatting>
  <conditionalFormatting sqref="C1344">
    <cfRule type="cellIs" dxfId="30102" priority="4032" stopIfTrue="1" operator="equal">
      <formula>"3 Delete"</formula>
    </cfRule>
  </conditionalFormatting>
  <conditionalFormatting sqref="C1345">
    <cfRule type="cellIs" dxfId="30101" priority="4033" stopIfTrue="1" operator="equal">
      <formula>"1 Modify"</formula>
    </cfRule>
  </conditionalFormatting>
  <conditionalFormatting sqref="C1345">
    <cfRule type="cellIs" dxfId="30100" priority="4034" stopIfTrue="1" operator="equal">
      <formula>"2 Add"</formula>
    </cfRule>
  </conditionalFormatting>
  <conditionalFormatting sqref="C1345">
    <cfRule type="cellIs" dxfId="30099" priority="4035" stopIfTrue="1" operator="equal">
      <formula>"3 Delete"</formula>
    </cfRule>
  </conditionalFormatting>
  <conditionalFormatting sqref="C1346">
    <cfRule type="cellIs" dxfId="30098" priority="4036" stopIfTrue="1" operator="equal">
      <formula>"1 Modify"</formula>
    </cfRule>
  </conditionalFormatting>
  <conditionalFormatting sqref="C1346">
    <cfRule type="cellIs" dxfId="30097" priority="4037" stopIfTrue="1" operator="equal">
      <formula>"2 Add"</formula>
    </cfRule>
  </conditionalFormatting>
  <conditionalFormatting sqref="C1346">
    <cfRule type="cellIs" dxfId="30096" priority="4038" stopIfTrue="1" operator="equal">
      <formula>"3 Delete"</formula>
    </cfRule>
  </conditionalFormatting>
  <conditionalFormatting sqref="C1347">
    <cfRule type="cellIs" dxfId="30095" priority="4039" stopIfTrue="1" operator="equal">
      <formula>"1 Modify"</formula>
    </cfRule>
  </conditionalFormatting>
  <conditionalFormatting sqref="C1347">
    <cfRule type="cellIs" dxfId="30094" priority="4040" stopIfTrue="1" operator="equal">
      <formula>"2 Add"</formula>
    </cfRule>
  </conditionalFormatting>
  <conditionalFormatting sqref="C1347">
    <cfRule type="cellIs" dxfId="30093" priority="4041" stopIfTrue="1" operator="equal">
      <formula>"3 Delete"</formula>
    </cfRule>
  </conditionalFormatting>
  <conditionalFormatting sqref="C1348">
    <cfRule type="cellIs" dxfId="30092" priority="4042" stopIfTrue="1" operator="equal">
      <formula>"1 Modify"</formula>
    </cfRule>
  </conditionalFormatting>
  <conditionalFormatting sqref="C1348">
    <cfRule type="cellIs" dxfId="30091" priority="4043" stopIfTrue="1" operator="equal">
      <formula>"2 Add"</formula>
    </cfRule>
  </conditionalFormatting>
  <conditionalFormatting sqref="C1348">
    <cfRule type="cellIs" dxfId="30090" priority="4044" stopIfTrue="1" operator="equal">
      <formula>"3 Delete"</formula>
    </cfRule>
  </conditionalFormatting>
  <conditionalFormatting sqref="C1349">
    <cfRule type="cellIs" dxfId="30089" priority="4045" stopIfTrue="1" operator="equal">
      <formula>"1 Modify"</formula>
    </cfRule>
  </conditionalFormatting>
  <conditionalFormatting sqref="C1349">
    <cfRule type="cellIs" dxfId="30088" priority="4046" stopIfTrue="1" operator="equal">
      <formula>"2 Add"</formula>
    </cfRule>
  </conditionalFormatting>
  <conditionalFormatting sqref="C1349">
    <cfRule type="cellIs" dxfId="30087" priority="4047" stopIfTrue="1" operator="equal">
      <formula>"3 Delete"</formula>
    </cfRule>
  </conditionalFormatting>
  <conditionalFormatting sqref="C1350">
    <cfRule type="cellIs" dxfId="30086" priority="4048" stopIfTrue="1" operator="equal">
      <formula>"1 Modify"</formula>
    </cfRule>
  </conditionalFormatting>
  <conditionalFormatting sqref="C1350">
    <cfRule type="cellIs" dxfId="30085" priority="4049" stopIfTrue="1" operator="equal">
      <formula>"2 Add"</formula>
    </cfRule>
  </conditionalFormatting>
  <conditionalFormatting sqref="C1350">
    <cfRule type="cellIs" dxfId="30084" priority="4050" stopIfTrue="1" operator="equal">
      <formula>"3 Delete"</formula>
    </cfRule>
  </conditionalFormatting>
  <conditionalFormatting sqref="C1351">
    <cfRule type="cellIs" dxfId="30083" priority="4051" stopIfTrue="1" operator="equal">
      <formula>"1 Modify"</formula>
    </cfRule>
  </conditionalFormatting>
  <conditionalFormatting sqref="C1351">
    <cfRule type="cellIs" dxfId="30082" priority="4052" stopIfTrue="1" operator="equal">
      <formula>"2 Add"</formula>
    </cfRule>
  </conditionalFormatting>
  <conditionalFormatting sqref="C1351">
    <cfRule type="cellIs" dxfId="30081" priority="4053" stopIfTrue="1" operator="equal">
      <formula>"3 Delete"</formula>
    </cfRule>
  </conditionalFormatting>
  <conditionalFormatting sqref="C1352">
    <cfRule type="cellIs" dxfId="30080" priority="4054" stopIfTrue="1" operator="equal">
      <formula>"1 Modify"</formula>
    </cfRule>
  </conditionalFormatting>
  <conditionalFormatting sqref="C1352">
    <cfRule type="cellIs" dxfId="30079" priority="4055" stopIfTrue="1" operator="equal">
      <formula>"2 Add"</formula>
    </cfRule>
  </conditionalFormatting>
  <conditionalFormatting sqref="C1352">
    <cfRule type="cellIs" dxfId="30078" priority="4056" stopIfTrue="1" operator="equal">
      <formula>"3 Delete"</formula>
    </cfRule>
  </conditionalFormatting>
  <conditionalFormatting sqref="C1353">
    <cfRule type="cellIs" dxfId="30077" priority="4057" stopIfTrue="1" operator="equal">
      <formula>"1 Modify"</formula>
    </cfRule>
  </conditionalFormatting>
  <conditionalFormatting sqref="C1353">
    <cfRule type="cellIs" dxfId="30076" priority="4058" stopIfTrue="1" operator="equal">
      <formula>"2 Add"</formula>
    </cfRule>
  </conditionalFormatting>
  <conditionalFormatting sqref="C1353">
    <cfRule type="cellIs" dxfId="30075" priority="4059" stopIfTrue="1" operator="equal">
      <formula>"3 Delete"</formula>
    </cfRule>
  </conditionalFormatting>
  <conditionalFormatting sqref="C1354">
    <cfRule type="cellIs" dxfId="30074" priority="4060" stopIfTrue="1" operator="equal">
      <formula>"1 Modify"</formula>
    </cfRule>
  </conditionalFormatting>
  <conditionalFormatting sqref="C1354">
    <cfRule type="cellIs" dxfId="30073" priority="4061" stopIfTrue="1" operator="equal">
      <formula>"2 Add"</formula>
    </cfRule>
  </conditionalFormatting>
  <conditionalFormatting sqref="C1354">
    <cfRule type="cellIs" dxfId="30072" priority="4062" stopIfTrue="1" operator="equal">
      <formula>"3 Delete"</formula>
    </cfRule>
  </conditionalFormatting>
  <conditionalFormatting sqref="C1355">
    <cfRule type="cellIs" dxfId="30071" priority="4063" stopIfTrue="1" operator="equal">
      <formula>"1 Modify"</formula>
    </cfRule>
  </conditionalFormatting>
  <conditionalFormatting sqref="C1355">
    <cfRule type="cellIs" dxfId="30070" priority="4064" stopIfTrue="1" operator="equal">
      <formula>"2 Add"</formula>
    </cfRule>
  </conditionalFormatting>
  <conditionalFormatting sqref="C1355">
    <cfRule type="cellIs" dxfId="30069" priority="4065" stopIfTrue="1" operator="equal">
      <formula>"3 Delete"</formula>
    </cfRule>
  </conditionalFormatting>
  <conditionalFormatting sqref="C1356">
    <cfRule type="cellIs" dxfId="30068" priority="4066" stopIfTrue="1" operator="equal">
      <formula>"1 Modify"</formula>
    </cfRule>
  </conditionalFormatting>
  <conditionalFormatting sqref="C1356">
    <cfRule type="cellIs" dxfId="30067" priority="4067" stopIfTrue="1" operator="equal">
      <formula>"2 Add"</formula>
    </cfRule>
  </conditionalFormatting>
  <conditionalFormatting sqref="C1356">
    <cfRule type="cellIs" dxfId="30066" priority="4068" stopIfTrue="1" operator="equal">
      <formula>"3 Delete"</formula>
    </cfRule>
  </conditionalFormatting>
  <conditionalFormatting sqref="C1357">
    <cfRule type="cellIs" dxfId="30065" priority="4069" stopIfTrue="1" operator="equal">
      <formula>"1 Modify"</formula>
    </cfRule>
  </conditionalFormatting>
  <conditionalFormatting sqref="C1357">
    <cfRule type="cellIs" dxfId="30064" priority="4070" stopIfTrue="1" operator="equal">
      <formula>"2 Add"</formula>
    </cfRule>
  </conditionalFormatting>
  <conditionalFormatting sqref="C1357">
    <cfRule type="cellIs" dxfId="30063" priority="4071" stopIfTrue="1" operator="equal">
      <formula>"3 Delete"</formula>
    </cfRule>
  </conditionalFormatting>
  <conditionalFormatting sqref="C1358">
    <cfRule type="cellIs" dxfId="30062" priority="4072" stopIfTrue="1" operator="equal">
      <formula>"1 Modify"</formula>
    </cfRule>
  </conditionalFormatting>
  <conditionalFormatting sqref="C1358">
    <cfRule type="cellIs" dxfId="30061" priority="4073" stopIfTrue="1" operator="equal">
      <formula>"2 Add"</formula>
    </cfRule>
  </conditionalFormatting>
  <conditionalFormatting sqref="C1358">
    <cfRule type="cellIs" dxfId="30060" priority="4074" stopIfTrue="1" operator="equal">
      <formula>"3 Delete"</formula>
    </cfRule>
  </conditionalFormatting>
  <conditionalFormatting sqref="C1359">
    <cfRule type="cellIs" dxfId="30059" priority="4075" stopIfTrue="1" operator="equal">
      <formula>"1 Modify"</formula>
    </cfRule>
  </conditionalFormatting>
  <conditionalFormatting sqref="C1359">
    <cfRule type="cellIs" dxfId="30058" priority="4076" stopIfTrue="1" operator="equal">
      <formula>"2 Add"</formula>
    </cfRule>
  </conditionalFormatting>
  <conditionalFormatting sqref="C1359">
    <cfRule type="cellIs" dxfId="30057" priority="4077" stopIfTrue="1" operator="equal">
      <formula>"3 Delete"</formula>
    </cfRule>
  </conditionalFormatting>
  <conditionalFormatting sqref="C1360">
    <cfRule type="cellIs" dxfId="30056" priority="4078" stopIfTrue="1" operator="equal">
      <formula>"1 Modify"</formula>
    </cfRule>
  </conditionalFormatting>
  <conditionalFormatting sqref="C1360">
    <cfRule type="cellIs" dxfId="30055" priority="4079" stopIfTrue="1" operator="equal">
      <formula>"2 Add"</formula>
    </cfRule>
  </conditionalFormatting>
  <conditionalFormatting sqref="C1360">
    <cfRule type="cellIs" dxfId="30054" priority="4080" stopIfTrue="1" operator="equal">
      <formula>"3 Delete"</formula>
    </cfRule>
  </conditionalFormatting>
  <conditionalFormatting sqref="C1361">
    <cfRule type="cellIs" dxfId="30053" priority="4081" stopIfTrue="1" operator="equal">
      <formula>"1 Modify"</formula>
    </cfRule>
  </conditionalFormatting>
  <conditionalFormatting sqref="C1361">
    <cfRule type="cellIs" dxfId="30052" priority="4082" stopIfTrue="1" operator="equal">
      <formula>"2 Add"</formula>
    </cfRule>
  </conditionalFormatting>
  <conditionalFormatting sqref="C1361">
    <cfRule type="cellIs" dxfId="30051" priority="4083" stopIfTrue="1" operator="equal">
      <formula>"3 Delete"</formula>
    </cfRule>
  </conditionalFormatting>
  <conditionalFormatting sqref="C1362">
    <cfRule type="cellIs" dxfId="30050" priority="4084" stopIfTrue="1" operator="equal">
      <formula>"1 Modify"</formula>
    </cfRule>
  </conditionalFormatting>
  <conditionalFormatting sqref="C1362">
    <cfRule type="cellIs" dxfId="30049" priority="4085" stopIfTrue="1" operator="equal">
      <formula>"2 Add"</formula>
    </cfRule>
  </conditionalFormatting>
  <conditionalFormatting sqref="C1362">
    <cfRule type="cellIs" dxfId="30048" priority="4086" stopIfTrue="1" operator="equal">
      <formula>"3 Delete"</formula>
    </cfRule>
  </conditionalFormatting>
  <conditionalFormatting sqref="C1363">
    <cfRule type="cellIs" dxfId="30047" priority="4087" stopIfTrue="1" operator="equal">
      <formula>"1 Modify"</formula>
    </cfRule>
  </conditionalFormatting>
  <conditionalFormatting sqref="C1363">
    <cfRule type="cellIs" dxfId="30046" priority="4088" stopIfTrue="1" operator="equal">
      <formula>"2 Add"</formula>
    </cfRule>
  </conditionalFormatting>
  <conditionalFormatting sqref="C1363">
    <cfRule type="cellIs" dxfId="30045" priority="4089" stopIfTrue="1" operator="equal">
      <formula>"3 Delete"</formula>
    </cfRule>
  </conditionalFormatting>
  <conditionalFormatting sqref="C1364">
    <cfRule type="cellIs" dxfId="30044" priority="4090" stopIfTrue="1" operator="equal">
      <formula>"1 Modify"</formula>
    </cfRule>
  </conditionalFormatting>
  <conditionalFormatting sqref="C1364">
    <cfRule type="cellIs" dxfId="30043" priority="4091" stopIfTrue="1" operator="equal">
      <formula>"2 Add"</formula>
    </cfRule>
  </conditionalFormatting>
  <conditionalFormatting sqref="C1364">
    <cfRule type="cellIs" dxfId="30042" priority="4092" stopIfTrue="1" operator="equal">
      <formula>"3 Delete"</formula>
    </cfRule>
  </conditionalFormatting>
  <conditionalFormatting sqref="C1365">
    <cfRule type="cellIs" dxfId="30041" priority="4093" stopIfTrue="1" operator="equal">
      <formula>"1 Modify"</formula>
    </cfRule>
  </conditionalFormatting>
  <conditionalFormatting sqref="C1365">
    <cfRule type="cellIs" dxfId="30040" priority="4094" stopIfTrue="1" operator="equal">
      <formula>"2 Add"</formula>
    </cfRule>
  </conditionalFormatting>
  <conditionalFormatting sqref="C1365">
    <cfRule type="cellIs" dxfId="30039" priority="4095" stopIfTrue="1" operator="equal">
      <formula>"3 Delete"</formula>
    </cfRule>
  </conditionalFormatting>
  <conditionalFormatting sqref="C1366">
    <cfRule type="cellIs" dxfId="30038" priority="4096" stopIfTrue="1" operator="equal">
      <formula>"1 Modify"</formula>
    </cfRule>
  </conditionalFormatting>
  <conditionalFormatting sqref="C1366">
    <cfRule type="cellIs" dxfId="30037" priority="4097" stopIfTrue="1" operator="equal">
      <formula>"2 Add"</formula>
    </cfRule>
  </conditionalFormatting>
  <conditionalFormatting sqref="C1366">
    <cfRule type="cellIs" dxfId="30036" priority="4098" stopIfTrue="1" operator="equal">
      <formula>"3 Delete"</formula>
    </cfRule>
  </conditionalFormatting>
  <conditionalFormatting sqref="C1367">
    <cfRule type="cellIs" dxfId="30035" priority="4099" stopIfTrue="1" operator="equal">
      <formula>"1 Modify"</formula>
    </cfRule>
  </conditionalFormatting>
  <conditionalFormatting sqref="C1367">
    <cfRule type="cellIs" dxfId="30034" priority="4100" stopIfTrue="1" operator="equal">
      <formula>"2 Add"</formula>
    </cfRule>
  </conditionalFormatting>
  <conditionalFormatting sqref="C1367">
    <cfRule type="cellIs" dxfId="30033" priority="4101" stopIfTrue="1" operator="equal">
      <formula>"3 Delete"</formula>
    </cfRule>
  </conditionalFormatting>
  <conditionalFormatting sqref="C1368">
    <cfRule type="cellIs" dxfId="30032" priority="4102" stopIfTrue="1" operator="equal">
      <formula>"1 Modify"</formula>
    </cfRule>
  </conditionalFormatting>
  <conditionalFormatting sqref="C1368">
    <cfRule type="cellIs" dxfId="30031" priority="4103" stopIfTrue="1" operator="equal">
      <formula>"2 Add"</formula>
    </cfRule>
  </conditionalFormatting>
  <conditionalFormatting sqref="C1368">
    <cfRule type="cellIs" dxfId="30030" priority="4104" stopIfTrue="1" operator="equal">
      <formula>"3 Delete"</formula>
    </cfRule>
  </conditionalFormatting>
  <conditionalFormatting sqref="C1369">
    <cfRule type="cellIs" dxfId="30029" priority="4105" stopIfTrue="1" operator="equal">
      <formula>"1 Modify"</formula>
    </cfRule>
  </conditionalFormatting>
  <conditionalFormatting sqref="C1369">
    <cfRule type="cellIs" dxfId="30028" priority="4106" stopIfTrue="1" operator="equal">
      <formula>"2 Add"</formula>
    </cfRule>
  </conditionalFormatting>
  <conditionalFormatting sqref="C1369">
    <cfRule type="cellIs" dxfId="30027" priority="4107" stopIfTrue="1" operator="equal">
      <formula>"3 Delete"</formula>
    </cfRule>
  </conditionalFormatting>
  <conditionalFormatting sqref="C1370">
    <cfRule type="cellIs" dxfId="30026" priority="4108" stopIfTrue="1" operator="equal">
      <formula>"1 Modify"</formula>
    </cfRule>
  </conditionalFormatting>
  <conditionalFormatting sqref="C1370">
    <cfRule type="cellIs" dxfId="30025" priority="4109" stopIfTrue="1" operator="equal">
      <formula>"2 Add"</formula>
    </cfRule>
  </conditionalFormatting>
  <conditionalFormatting sqref="C1370">
    <cfRule type="cellIs" dxfId="30024" priority="4110" stopIfTrue="1" operator="equal">
      <formula>"3 Delete"</formula>
    </cfRule>
  </conditionalFormatting>
  <conditionalFormatting sqref="C1371">
    <cfRule type="cellIs" dxfId="30023" priority="4111" stopIfTrue="1" operator="equal">
      <formula>"1 Modify"</formula>
    </cfRule>
  </conditionalFormatting>
  <conditionalFormatting sqref="C1371">
    <cfRule type="cellIs" dxfId="30022" priority="4112" stopIfTrue="1" operator="equal">
      <formula>"2 Add"</formula>
    </cfRule>
  </conditionalFormatting>
  <conditionalFormatting sqref="C1371">
    <cfRule type="cellIs" dxfId="30021" priority="4113" stopIfTrue="1" operator="equal">
      <formula>"3 Delete"</formula>
    </cfRule>
  </conditionalFormatting>
  <conditionalFormatting sqref="C1372">
    <cfRule type="cellIs" dxfId="30020" priority="4114" stopIfTrue="1" operator="equal">
      <formula>"1 Modify"</formula>
    </cfRule>
  </conditionalFormatting>
  <conditionalFormatting sqref="C1372">
    <cfRule type="cellIs" dxfId="30019" priority="4115" stopIfTrue="1" operator="equal">
      <formula>"2 Add"</formula>
    </cfRule>
  </conditionalFormatting>
  <conditionalFormatting sqref="C1372">
    <cfRule type="cellIs" dxfId="30018" priority="4116" stopIfTrue="1" operator="equal">
      <formula>"3 Delete"</formula>
    </cfRule>
  </conditionalFormatting>
  <conditionalFormatting sqref="C1373">
    <cfRule type="cellIs" dxfId="30017" priority="4117" stopIfTrue="1" operator="equal">
      <formula>"1 Modify"</formula>
    </cfRule>
  </conditionalFormatting>
  <conditionalFormatting sqref="C1373">
    <cfRule type="cellIs" dxfId="30016" priority="4118" stopIfTrue="1" operator="equal">
      <formula>"2 Add"</formula>
    </cfRule>
  </conditionalFormatting>
  <conditionalFormatting sqref="C1373">
    <cfRule type="cellIs" dxfId="30015" priority="4119" stopIfTrue="1" operator="equal">
      <formula>"3 Delete"</formula>
    </cfRule>
  </conditionalFormatting>
  <conditionalFormatting sqref="C1374">
    <cfRule type="cellIs" dxfId="30014" priority="4120" stopIfTrue="1" operator="equal">
      <formula>"1 Modify"</formula>
    </cfRule>
  </conditionalFormatting>
  <conditionalFormatting sqref="C1374">
    <cfRule type="cellIs" dxfId="30013" priority="4121" stopIfTrue="1" operator="equal">
      <formula>"2 Add"</formula>
    </cfRule>
  </conditionalFormatting>
  <conditionalFormatting sqref="C1374">
    <cfRule type="cellIs" dxfId="30012" priority="4122" stopIfTrue="1" operator="equal">
      <formula>"3 Delete"</formula>
    </cfRule>
  </conditionalFormatting>
  <conditionalFormatting sqref="C1375">
    <cfRule type="cellIs" dxfId="30011" priority="4123" stopIfTrue="1" operator="equal">
      <formula>"1 Modify"</formula>
    </cfRule>
  </conditionalFormatting>
  <conditionalFormatting sqref="C1375">
    <cfRule type="cellIs" dxfId="30010" priority="4124" stopIfTrue="1" operator="equal">
      <formula>"2 Add"</formula>
    </cfRule>
  </conditionalFormatting>
  <conditionalFormatting sqref="C1375">
    <cfRule type="cellIs" dxfId="30009" priority="4125" stopIfTrue="1" operator="equal">
      <formula>"3 Delete"</formula>
    </cfRule>
  </conditionalFormatting>
  <conditionalFormatting sqref="C1376">
    <cfRule type="cellIs" dxfId="30008" priority="4126" stopIfTrue="1" operator="equal">
      <formula>"1 Modify"</formula>
    </cfRule>
  </conditionalFormatting>
  <conditionalFormatting sqref="C1376">
    <cfRule type="cellIs" dxfId="30007" priority="4127" stopIfTrue="1" operator="equal">
      <formula>"2 Add"</formula>
    </cfRule>
  </conditionalFormatting>
  <conditionalFormatting sqref="C1376">
    <cfRule type="cellIs" dxfId="30006" priority="4128" stopIfTrue="1" operator="equal">
      <formula>"3 Delete"</formula>
    </cfRule>
  </conditionalFormatting>
  <conditionalFormatting sqref="C1377">
    <cfRule type="cellIs" dxfId="30005" priority="4129" stopIfTrue="1" operator="equal">
      <formula>"1 Modify"</formula>
    </cfRule>
  </conditionalFormatting>
  <conditionalFormatting sqref="C1377">
    <cfRule type="cellIs" dxfId="30004" priority="4130" stopIfTrue="1" operator="equal">
      <formula>"2 Add"</formula>
    </cfRule>
  </conditionalFormatting>
  <conditionalFormatting sqref="C1377">
    <cfRule type="cellIs" dxfId="30003" priority="4131" stopIfTrue="1" operator="equal">
      <formula>"3 Delete"</formula>
    </cfRule>
  </conditionalFormatting>
  <conditionalFormatting sqref="C1378">
    <cfRule type="cellIs" dxfId="30002" priority="4132" stopIfTrue="1" operator="equal">
      <formula>"1 Modify"</formula>
    </cfRule>
  </conditionalFormatting>
  <conditionalFormatting sqref="C1378">
    <cfRule type="cellIs" dxfId="30001" priority="4133" stopIfTrue="1" operator="equal">
      <formula>"2 Add"</formula>
    </cfRule>
  </conditionalFormatting>
  <conditionalFormatting sqref="C1378">
    <cfRule type="cellIs" dxfId="30000" priority="4134" stopIfTrue="1" operator="equal">
      <formula>"3 Delete"</formula>
    </cfRule>
  </conditionalFormatting>
  <conditionalFormatting sqref="C1379">
    <cfRule type="cellIs" dxfId="29999" priority="4135" stopIfTrue="1" operator="equal">
      <formula>"1 Modify"</formula>
    </cfRule>
  </conditionalFormatting>
  <conditionalFormatting sqref="C1379">
    <cfRule type="cellIs" dxfId="29998" priority="4136" stopIfTrue="1" operator="equal">
      <formula>"2 Add"</formula>
    </cfRule>
  </conditionalFormatting>
  <conditionalFormatting sqref="C1379">
    <cfRule type="cellIs" dxfId="29997" priority="4137" stopIfTrue="1" operator="equal">
      <formula>"3 Delete"</formula>
    </cfRule>
  </conditionalFormatting>
  <conditionalFormatting sqref="C1380">
    <cfRule type="cellIs" dxfId="29996" priority="4138" stopIfTrue="1" operator="equal">
      <formula>"1 Modify"</formula>
    </cfRule>
  </conditionalFormatting>
  <conditionalFormatting sqref="C1380">
    <cfRule type="cellIs" dxfId="29995" priority="4139" stopIfTrue="1" operator="equal">
      <formula>"2 Add"</formula>
    </cfRule>
  </conditionalFormatting>
  <conditionalFormatting sqref="C1380">
    <cfRule type="cellIs" dxfId="29994" priority="4140" stopIfTrue="1" operator="equal">
      <formula>"3 Delete"</formula>
    </cfRule>
  </conditionalFormatting>
  <conditionalFormatting sqref="C1381">
    <cfRule type="cellIs" dxfId="29993" priority="4141" stopIfTrue="1" operator="equal">
      <formula>"1 Modify"</formula>
    </cfRule>
  </conditionalFormatting>
  <conditionalFormatting sqref="C1381">
    <cfRule type="cellIs" dxfId="29992" priority="4142" stopIfTrue="1" operator="equal">
      <formula>"2 Add"</formula>
    </cfRule>
  </conditionalFormatting>
  <conditionalFormatting sqref="C1381">
    <cfRule type="cellIs" dxfId="29991" priority="4143" stopIfTrue="1" operator="equal">
      <formula>"3 Delete"</formula>
    </cfRule>
  </conditionalFormatting>
  <conditionalFormatting sqref="C1382">
    <cfRule type="cellIs" dxfId="29990" priority="4144" stopIfTrue="1" operator="equal">
      <formula>"1 Modify"</formula>
    </cfRule>
  </conditionalFormatting>
  <conditionalFormatting sqref="C1382">
    <cfRule type="cellIs" dxfId="29989" priority="4145" stopIfTrue="1" operator="equal">
      <formula>"2 Add"</formula>
    </cfRule>
  </conditionalFormatting>
  <conditionalFormatting sqref="C1382">
    <cfRule type="cellIs" dxfId="29988" priority="4146" stopIfTrue="1" operator="equal">
      <formula>"3 Delete"</formula>
    </cfRule>
  </conditionalFormatting>
  <conditionalFormatting sqref="C1383">
    <cfRule type="cellIs" dxfId="29987" priority="4147" stopIfTrue="1" operator="equal">
      <formula>"1 Modify"</formula>
    </cfRule>
  </conditionalFormatting>
  <conditionalFormatting sqref="C1383">
    <cfRule type="cellIs" dxfId="29986" priority="4148" stopIfTrue="1" operator="equal">
      <formula>"2 Add"</formula>
    </cfRule>
  </conditionalFormatting>
  <conditionalFormatting sqref="C1383">
    <cfRule type="cellIs" dxfId="29985" priority="4149" stopIfTrue="1" operator="equal">
      <formula>"3 Delete"</formula>
    </cfRule>
  </conditionalFormatting>
  <conditionalFormatting sqref="C1384">
    <cfRule type="cellIs" dxfId="29984" priority="4150" stopIfTrue="1" operator="equal">
      <formula>"1 Modify"</formula>
    </cfRule>
  </conditionalFormatting>
  <conditionalFormatting sqref="C1384">
    <cfRule type="cellIs" dxfId="29983" priority="4151" stopIfTrue="1" operator="equal">
      <formula>"2 Add"</formula>
    </cfRule>
  </conditionalFormatting>
  <conditionalFormatting sqref="C1384">
    <cfRule type="cellIs" dxfId="29982" priority="4152" stopIfTrue="1" operator="equal">
      <formula>"3 Delete"</formula>
    </cfRule>
  </conditionalFormatting>
  <conditionalFormatting sqref="C1385">
    <cfRule type="cellIs" dxfId="29981" priority="4153" stopIfTrue="1" operator="equal">
      <formula>"1 Modify"</formula>
    </cfRule>
  </conditionalFormatting>
  <conditionalFormatting sqref="C1385">
    <cfRule type="cellIs" dxfId="29980" priority="4154" stopIfTrue="1" operator="equal">
      <formula>"2 Add"</formula>
    </cfRule>
  </conditionalFormatting>
  <conditionalFormatting sqref="C1385">
    <cfRule type="cellIs" dxfId="29979" priority="4155" stopIfTrue="1" operator="equal">
      <formula>"3 Delete"</formula>
    </cfRule>
  </conditionalFormatting>
  <conditionalFormatting sqref="C1386">
    <cfRule type="cellIs" dxfId="29978" priority="4156" stopIfTrue="1" operator="equal">
      <formula>"1 Modify"</formula>
    </cfRule>
  </conditionalFormatting>
  <conditionalFormatting sqref="C1386">
    <cfRule type="cellIs" dxfId="29977" priority="4157" stopIfTrue="1" operator="equal">
      <formula>"2 Add"</formula>
    </cfRule>
  </conditionalFormatting>
  <conditionalFormatting sqref="C1386">
    <cfRule type="cellIs" dxfId="29976" priority="4158" stopIfTrue="1" operator="equal">
      <formula>"3 Delete"</formula>
    </cfRule>
  </conditionalFormatting>
  <conditionalFormatting sqref="C1387">
    <cfRule type="cellIs" dxfId="29975" priority="4159" stopIfTrue="1" operator="equal">
      <formula>"1 Modify"</formula>
    </cfRule>
  </conditionalFormatting>
  <conditionalFormatting sqref="C1387">
    <cfRule type="cellIs" dxfId="29974" priority="4160" stopIfTrue="1" operator="equal">
      <formula>"2 Add"</formula>
    </cfRule>
  </conditionalFormatting>
  <conditionalFormatting sqref="C1387">
    <cfRule type="cellIs" dxfId="29973" priority="4161" stopIfTrue="1" operator="equal">
      <formula>"3 Delete"</formula>
    </cfRule>
  </conditionalFormatting>
  <conditionalFormatting sqref="C1388">
    <cfRule type="cellIs" dxfId="29972" priority="4162" stopIfTrue="1" operator="equal">
      <formula>"1 Modify"</formula>
    </cfRule>
  </conditionalFormatting>
  <conditionalFormatting sqref="C1388">
    <cfRule type="cellIs" dxfId="29971" priority="4163" stopIfTrue="1" operator="equal">
      <formula>"2 Add"</formula>
    </cfRule>
  </conditionalFormatting>
  <conditionalFormatting sqref="C1388">
    <cfRule type="cellIs" dxfId="29970" priority="4164" stopIfTrue="1" operator="equal">
      <formula>"3 Delete"</formula>
    </cfRule>
  </conditionalFormatting>
  <conditionalFormatting sqref="C1389">
    <cfRule type="cellIs" dxfId="29969" priority="4165" stopIfTrue="1" operator="equal">
      <formula>"1 Modify"</formula>
    </cfRule>
  </conditionalFormatting>
  <conditionalFormatting sqref="C1389">
    <cfRule type="cellIs" dxfId="29968" priority="4166" stopIfTrue="1" operator="equal">
      <formula>"2 Add"</formula>
    </cfRule>
  </conditionalFormatting>
  <conditionalFormatting sqref="C1389">
    <cfRule type="cellIs" dxfId="29967" priority="4167" stopIfTrue="1" operator="equal">
      <formula>"3 Delete"</formula>
    </cfRule>
  </conditionalFormatting>
  <conditionalFormatting sqref="C1390">
    <cfRule type="cellIs" dxfId="29966" priority="4168" stopIfTrue="1" operator="equal">
      <formula>"1 Modify"</formula>
    </cfRule>
  </conditionalFormatting>
  <conditionalFormatting sqref="C1390">
    <cfRule type="cellIs" dxfId="29965" priority="4169" stopIfTrue="1" operator="equal">
      <formula>"2 Add"</formula>
    </cfRule>
  </conditionalFormatting>
  <conditionalFormatting sqref="C1390">
    <cfRule type="cellIs" dxfId="29964" priority="4170" stopIfTrue="1" operator="equal">
      <formula>"3 Delete"</formula>
    </cfRule>
  </conditionalFormatting>
  <conditionalFormatting sqref="C1391">
    <cfRule type="cellIs" dxfId="29963" priority="4171" stopIfTrue="1" operator="equal">
      <formula>"1 Modify"</formula>
    </cfRule>
  </conditionalFormatting>
  <conditionalFormatting sqref="C1391">
    <cfRule type="cellIs" dxfId="29962" priority="4172" stopIfTrue="1" operator="equal">
      <formula>"2 Add"</formula>
    </cfRule>
  </conditionalFormatting>
  <conditionalFormatting sqref="C1391">
    <cfRule type="cellIs" dxfId="29961" priority="4173" stopIfTrue="1" operator="equal">
      <formula>"3 Delete"</formula>
    </cfRule>
  </conditionalFormatting>
  <conditionalFormatting sqref="C1392">
    <cfRule type="cellIs" dxfId="29960" priority="4174" stopIfTrue="1" operator="equal">
      <formula>"1 Modify"</formula>
    </cfRule>
  </conditionalFormatting>
  <conditionalFormatting sqref="C1392">
    <cfRule type="cellIs" dxfId="29959" priority="4175" stopIfTrue="1" operator="equal">
      <formula>"2 Add"</formula>
    </cfRule>
  </conditionalFormatting>
  <conditionalFormatting sqref="C1392">
    <cfRule type="cellIs" dxfId="29958" priority="4176" stopIfTrue="1" operator="equal">
      <formula>"3 Delete"</formula>
    </cfRule>
  </conditionalFormatting>
  <conditionalFormatting sqref="C1393">
    <cfRule type="cellIs" dxfId="29957" priority="4177" stopIfTrue="1" operator="equal">
      <formula>"1 Modify"</formula>
    </cfRule>
  </conditionalFormatting>
  <conditionalFormatting sqref="C1393">
    <cfRule type="cellIs" dxfId="29956" priority="4178" stopIfTrue="1" operator="equal">
      <formula>"2 Add"</formula>
    </cfRule>
  </conditionalFormatting>
  <conditionalFormatting sqref="C1393">
    <cfRule type="cellIs" dxfId="29955" priority="4179" stopIfTrue="1" operator="equal">
      <formula>"3 Delete"</formula>
    </cfRule>
  </conditionalFormatting>
  <conditionalFormatting sqref="C1394">
    <cfRule type="cellIs" dxfId="29954" priority="4180" stopIfTrue="1" operator="equal">
      <formula>"1 Modify"</formula>
    </cfRule>
  </conditionalFormatting>
  <conditionalFormatting sqref="C1394">
    <cfRule type="cellIs" dxfId="29953" priority="4181" stopIfTrue="1" operator="equal">
      <formula>"2 Add"</formula>
    </cfRule>
  </conditionalFormatting>
  <conditionalFormatting sqref="C1394">
    <cfRule type="cellIs" dxfId="29952" priority="4182" stopIfTrue="1" operator="equal">
      <formula>"3 Delete"</formula>
    </cfRule>
  </conditionalFormatting>
  <conditionalFormatting sqref="C1395">
    <cfRule type="cellIs" dxfId="29951" priority="4183" stopIfTrue="1" operator="equal">
      <formula>"1 Modify"</formula>
    </cfRule>
  </conditionalFormatting>
  <conditionalFormatting sqref="C1395">
    <cfRule type="cellIs" dxfId="29950" priority="4184" stopIfTrue="1" operator="equal">
      <formula>"2 Add"</formula>
    </cfRule>
  </conditionalFormatting>
  <conditionalFormatting sqref="C1395">
    <cfRule type="cellIs" dxfId="29949" priority="4185" stopIfTrue="1" operator="equal">
      <formula>"3 Delete"</formula>
    </cfRule>
  </conditionalFormatting>
  <conditionalFormatting sqref="C1396">
    <cfRule type="cellIs" dxfId="29948" priority="4186" stopIfTrue="1" operator="equal">
      <formula>"1 Modify"</formula>
    </cfRule>
  </conditionalFormatting>
  <conditionalFormatting sqref="C1396">
    <cfRule type="cellIs" dxfId="29947" priority="4187" stopIfTrue="1" operator="equal">
      <formula>"2 Add"</formula>
    </cfRule>
  </conditionalFormatting>
  <conditionalFormatting sqref="C1396">
    <cfRule type="cellIs" dxfId="29946" priority="4188" stopIfTrue="1" operator="equal">
      <formula>"3 Delete"</formula>
    </cfRule>
  </conditionalFormatting>
  <conditionalFormatting sqref="C1397">
    <cfRule type="cellIs" dxfId="29945" priority="4189" stopIfTrue="1" operator="equal">
      <formula>"1 Modify"</formula>
    </cfRule>
  </conditionalFormatting>
  <conditionalFormatting sqref="C1397">
    <cfRule type="cellIs" dxfId="29944" priority="4190" stopIfTrue="1" operator="equal">
      <formula>"2 Add"</formula>
    </cfRule>
  </conditionalFormatting>
  <conditionalFormatting sqref="C1397">
    <cfRule type="cellIs" dxfId="29943" priority="4191" stopIfTrue="1" operator="equal">
      <formula>"3 Delete"</formula>
    </cfRule>
  </conditionalFormatting>
  <conditionalFormatting sqref="C1398">
    <cfRule type="cellIs" dxfId="29942" priority="4192" stopIfTrue="1" operator="equal">
      <formula>"1 Modify"</formula>
    </cfRule>
  </conditionalFormatting>
  <conditionalFormatting sqref="C1398">
    <cfRule type="cellIs" dxfId="29941" priority="4193" stopIfTrue="1" operator="equal">
      <formula>"2 Add"</formula>
    </cfRule>
  </conditionalFormatting>
  <conditionalFormatting sqref="C1398">
    <cfRule type="cellIs" dxfId="29940" priority="4194" stopIfTrue="1" operator="equal">
      <formula>"3 Delete"</formula>
    </cfRule>
  </conditionalFormatting>
  <conditionalFormatting sqref="C1399">
    <cfRule type="cellIs" dxfId="29939" priority="4195" stopIfTrue="1" operator="equal">
      <formula>"1 Modify"</formula>
    </cfRule>
  </conditionalFormatting>
  <conditionalFormatting sqref="C1399">
    <cfRule type="cellIs" dxfId="29938" priority="4196" stopIfTrue="1" operator="equal">
      <formula>"2 Add"</formula>
    </cfRule>
  </conditionalFormatting>
  <conditionalFormatting sqref="C1399">
    <cfRule type="cellIs" dxfId="29937" priority="4197" stopIfTrue="1" operator="equal">
      <formula>"3 Delete"</formula>
    </cfRule>
  </conditionalFormatting>
  <conditionalFormatting sqref="C1400">
    <cfRule type="cellIs" dxfId="29936" priority="4198" stopIfTrue="1" operator="equal">
      <formula>"1 Modify"</formula>
    </cfRule>
  </conditionalFormatting>
  <conditionalFormatting sqref="C1400">
    <cfRule type="cellIs" dxfId="29935" priority="4199" stopIfTrue="1" operator="equal">
      <formula>"2 Add"</formula>
    </cfRule>
  </conditionalFormatting>
  <conditionalFormatting sqref="C1400">
    <cfRule type="cellIs" dxfId="29934" priority="4200" stopIfTrue="1" operator="equal">
      <formula>"3 Delete"</formula>
    </cfRule>
  </conditionalFormatting>
  <conditionalFormatting sqref="C1401">
    <cfRule type="cellIs" dxfId="29933" priority="4201" stopIfTrue="1" operator="equal">
      <formula>"1 Modify"</formula>
    </cfRule>
  </conditionalFormatting>
  <conditionalFormatting sqref="C1401">
    <cfRule type="cellIs" dxfId="29932" priority="4202" stopIfTrue="1" operator="equal">
      <formula>"2 Add"</formula>
    </cfRule>
  </conditionalFormatting>
  <conditionalFormatting sqref="C1401">
    <cfRule type="cellIs" dxfId="29931" priority="4203" stopIfTrue="1" operator="equal">
      <formula>"3 Delete"</formula>
    </cfRule>
  </conditionalFormatting>
  <conditionalFormatting sqref="C1402">
    <cfRule type="cellIs" dxfId="29930" priority="4204" stopIfTrue="1" operator="equal">
      <formula>"1 Modify"</formula>
    </cfRule>
  </conditionalFormatting>
  <conditionalFormatting sqref="C1402">
    <cfRule type="cellIs" dxfId="29929" priority="4205" stopIfTrue="1" operator="equal">
      <formula>"2 Add"</formula>
    </cfRule>
  </conditionalFormatting>
  <conditionalFormatting sqref="C1402">
    <cfRule type="cellIs" dxfId="29928" priority="4206" stopIfTrue="1" operator="equal">
      <formula>"3 Delete"</formula>
    </cfRule>
  </conditionalFormatting>
  <conditionalFormatting sqref="C1403">
    <cfRule type="cellIs" dxfId="29927" priority="4207" stopIfTrue="1" operator="equal">
      <formula>"1 Modify"</formula>
    </cfRule>
  </conditionalFormatting>
  <conditionalFormatting sqref="C1403">
    <cfRule type="cellIs" dxfId="29926" priority="4208" stopIfTrue="1" operator="equal">
      <formula>"2 Add"</formula>
    </cfRule>
  </conditionalFormatting>
  <conditionalFormatting sqref="C1403">
    <cfRule type="cellIs" dxfId="29925" priority="4209" stopIfTrue="1" operator="equal">
      <formula>"3 Delete"</formula>
    </cfRule>
  </conditionalFormatting>
  <conditionalFormatting sqref="C1404">
    <cfRule type="cellIs" dxfId="29924" priority="4210" stopIfTrue="1" operator="equal">
      <formula>"1 Modify"</formula>
    </cfRule>
  </conditionalFormatting>
  <conditionalFormatting sqref="C1404">
    <cfRule type="cellIs" dxfId="29923" priority="4211" stopIfTrue="1" operator="equal">
      <formula>"2 Add"</formula>
    </cfRule>
  </conditionalFormatting>
  <conditionalFormatting sqref="C1404">
    <cfRule type="cellIs" dxfId="29922" priority="4212" stopIfTrue="1" operator="equal">
      <formula>"3 Delete"</formula>
    </cfRule>
  </conditionalFormatting>
  <conditionalFormatting sqref="C1405">
    <cfRule type="cellIs" dxfId="29921" priority="4213" stopIfTrue="1" operator="equal">
      <formula>"1 Modify"</formula>
    </cfRule>
  </conditionalFormatting>
  <conditionalFormatting sqref="C1405">
    <cfRule type="cellIs" dxfId="29920" priority="4214" stopIfTrue="1" operator="equal">
      <formula>"2 Add"</formula>
    </cfRule>
  </conditionalFormatting>
  <conditionalFormatting sqref="C1405">
    <cfRule type="cellIs" dxfId="29919" priority="4215" stopIfTrue="1" operator="equal">
      <formula>"3 Delete"</formula>
    </cfRule>
  </conditionalFormatting>
  <conditionalFormatting sqref="C1406">
    <cfRule type="cellIs" dxfId="29918" priority="4216" stopIfTrue="1" operator="equal">
      <formula>"1 Modify"</formula>
    </cfRule>
  </conditionalFormatting>
  <conditionalFormatting sqref="C1406">
    <cfRule type="cellIs" dxfId="29917" priority="4217" stopIfTrue="1" operator="equal">
      <formula>"2 Add"</formula>
    </cfRule>
  </conditionalFormatting>
  <conditionalFormatting sqref="C1406">
    <cfRule type="cellIs" dxfId="29916" priority="4218" stopIfTrue="1" operator="equal">
      <formula>"3 Delete"</formula>
    </cfRule>
  </conditionalFormatting>
  <conditionalFormatting sqref="C1407">
    <cfRule type="cellIs" dxfId="29915" priority="4219" stopIfTrue="1" operator="equal">
      <formula>"1 Modify"</formula>
    </cfRule>
  </conditionalFormatting>
  <conditionalFormatting sqref="C1407">
    <cfRule type="cellIs" dxfId="29914" priority="4220" stopIfTrue="1" operator="equal">
      <formula>"2 Add"</formula>
    </cfRule>
  </conditionalFormatting>
  <conditionalFormatting sqref="C1407">
    <cfRule type="cellIs" dxfId="29913" priority="4221" stopIfTrue="1" operator="equal">
      <formula>"3 Delete"</formula>
    </cfRule>
  </conditionalFormatting>
  <conditionalFormatting sqref="C1408">
    <cfRule type="cellIs" dxfId="29912" priority="4222" stopIfTrue="1" operator="equal">
      <formula>"1 Modify"</formula>
    </cfRule>
  </conditionalFormatting>
  <conditionalFormatting sqref="C1408">
    <cfRule type="cellIs" dxfId="29911" priority="4223" stopIfTrue="1" operator="equal">
      <formula>"2 Add"</formula>
    </cfRule>
  </conditionalFormatting>
  <conditionalFormatting sqref="C1408">
    <cfRule type="cellIs" dxfId="29910" priority="4224" stopIfTrue="1" operator="equal">
      <formula>"3 Delete"</formula>
    </cfRule>
  </conditionalFormatting>
  <conditionalFormatting sqref="C1409">
    <cfRule type="cellIs" dxfId="29909" priority="4225" stopIfTrue="1" operator="equal">
      <formula>"1 Modify"</formula>
    </cfRule>
  </conditionalFormatting>
  <conditionalFormatting sqref="C1409">
    <cfRule type="cellIs" dxfId="29908" priority="4226" stopIfTrue="1" operator="equal">
      <formula>"2 Add"</formula>
    </cfRule>
  </conditionalFormatting>
  <conditionalFormatting sqref="C1409">
    <cfRule type="cellIs" dxfId="29907" priority="4227" stopIfTrue="1" operator="equal">
      <formula>"3 Delete"</formula>
    </cfRule>
  </conditionalFormatting>
  <conditionalFormatting sqref="C1410">
    <cfRule type="cellIs" dxfId="29906" priority="4228" stopIfTrue="1" operator="equal">
      <formula>"1 Modify"</formula>
    </cfRule>
  </conditionalFormatting>
  <conditionalFormatting sqref="C1410">
    <cfRule type="cellIs" dxfId="29905" priority="4229" stopIfTrue="1" operator="equal">
      <formula>"2 Add"</formula>
    </cfRule>
  </conditionalFormatting>
  <conditionalFormatting sqref="C1410">
    <cfRule type="cellIs" dxfId="29904" priority="4230" stopIfTrue="1" operator="equal">
      <formula>"3 Delete"</formula>
    </cfRule>
  </conditionalFormatting>
  <conditionalFormatting sqref="C1411">
    <cfRule type="cellIs" dxfId="29903" priority="4231" stopIfTrue="1" operator="equal">
      <formula>"1 Modify"</formula>
    </cfRule>
  </conditionalFormatting>
  <conditionalFormatting sqref="C1411">
    <cfRule type="cellIs" dxfId="29902" priority="4232" stopIfTrue="1" operator="equal">
      <formula>"2 Add"</formula>
    </cfRule>
  </conditionalFormatting>
  <conditionalFormatting sqref="C1411">
    <cfRule type="cellIs" dxfId="29901" priority="4233" stopIfTrue="1" operator="equal">
      <formula>"3 Delete"</formula>
    </cfRule>
  </conditionalFormatting>
  <conditionalFormatting sqref="C1412">
    <cfRule type="cellIs" dxfId="29900" priority="4234" stopIfTrue="1" operator="equal">
      <formula>"1 Modify"</formula>
    </cfRule>
  </conditionalFormatting>
  <conditionalFormatting sqref="C1412">
    <cfRule type="cellIs" dxfId="29899" priority="4235" stopIfTrue="1" operator="equal">
      <formula>"2 Add"</formula>
    </cfRule>
  </conditionalFormatting>
  <conditionalFormatting sqref="C1412">
    <cfRule type="cellIs" dxfId="29898" priority="4236" stopIfTrue="1" operator="equal">
      <formula>"3 Delete"</formula>
    </cfRule>
  </conditionalFormatting>
  <conditionalFormatting sqref="C1413">
    <cfRule type="cellIs" dxfId="29897" priority="4237" stopIfTrue="1" operator="equal">
      <formula>"1 Modify"</formula>
    </cfRule>
  </conditionalFormatting>
  <conditionalFormatting sqref="C1413">
    <cfRule type="cellIs" dxfId="29896" priority="4238" stopIfTrue="1" operator="equal">
      <formula>"2 Add"</formula>
    </cfRule>
  </conditionalFormatting>
  <conditionalFormatting sqref="C1413">
    <cfRule type="cellIs" dxfId="29895" priority="4239" stopIfTrue="1" operator="equal">
      <formula>"3 Delete"</formula>
    </cfRule>
  </conditionalFormatting>
  <conditionalFormatting sqref="C1414">
    <cfRule type="cellIs" dxfId="29894" priority="4240" stopIfTrue="1" operator="equal">
      <formula>"1 Modify"</formula>
    </cfRule>
  </conditionalFormatting>
  <conditionalFormatting sqref="C1414">
    <cfRule type="cellIs" dxfId="29893" priority="4241" stopIfTrue="1" operator="equal">
      <formula>"2 Add"</formula>
    </cfRule>
  </conditionalFormatting>
  <conditionalFormatting sqref="C1414">
    <cfRule type="cellIs" dxfId="29892" priority="4242" stopIfTrue="1" operator="equal">
      <formula>"3 Delete"</formula>
    </cfRule>
  </conditionalFormatting>
  <conditionalFormatting sqref="C1415">
    <cfRule type="cellIs" dxfId="29891" priority="4243" stopIfTrue="1" operator="equal">
      <formula>"1 Modify"</formula>
    </cfRule>
  </conditionalFormatting>
  <conditionalFormatting sqref="C1415">
    <cfRule type="cellIs" dxfId="29890" priority="4244" stopIfTrue="1" operator="equal">
      <formula>"2 Add"</formula>
    </cfRule>
  </conditionalFormatting>
  <conditionalFormatting sqref="C1415">
    <cfRule type="cellIs" dxfId="29889" priority="4245" stopIfTrue="1" operator="equal">
      <formula>"3 Delete"</formula>
    </cfRule>
  </conditionalFormatting>
  <conditionalFormatting sqref="C1416">
    <cfRule type="cellIs" dxfId="29888" priority="4246" stopIfTrue="1" operator="equal">
      <formula>"1 Modify"</formula>
    </cfRule>
  </conditionalFormatting>
  <conditionalFormatting sqref="C1416">
    <cfRule type="cellIs" dxfId="29887" priority="4247" stopIfTrue="1" operator="equal">
      <formula>"2 Add"</formula>
    </cfRule>
  </conditionalFormatting>
  <conditionalFormatting sqref="C1416">
    <cfRule type="cellIs" dxfId="29886" priority="4248" stopIfTrue="1" operator="equal">
      <formula>"3 Delete"</formula>
    </cfRule>
  </conditionalFormatting>
  <conditionalFormatting sqref="C1417">
    <cfRule type="cellIs" dxfId="29885" priority="4249" stopIfTrue="1" operator="equal">
      <formula>"1 Modify"</formula>
    </cfRule>
  </conditionalFormatting>
  <conditionalFormatting sqref="C1417">
    <cfRule type="cellIs" dxfId="29884" priority="4250" stopIfTrue="1" operator="equal">
      <formula>"2 Add"</formula>
    </cfRule>
  </conditionalFormatting>
  <conditionalFormatting sqref="C1417">
    <cfRule type="cellIs" dxfId="29883" priority="4251" stopIfTrue="1" operator="equal">
      <formula>"3 Delete"</formula>
    </cfRule>
  </conditionalFormatting>
  <conditionalFormatting sqref="C1418">
    <cfRule type="cellIs" dxfId="29882" priority="4252" stopIfTrue="1" operator="equal">
      <formula>"1 Modify"</formula>
    </cfRule>
  </conditionalFormatting>
  <conditionalFormatting sqref="C1418">
    <cfRule type="cellIs" dxfId="29881" priority="4253" stopIfTrue="1" operator="equal">
      <formula>"2 Add"</formula>
    </cfRule>
  </conditionalFormatting>
  <conditionalFormatting sqref="C1418">
    <cfRule type="cellIs" dxfId="29880" priority="4254" stopIfTrue="1" operator="equal">
      <formula>"3 Delete"</formula>
    </cfRule>
  </conditionalFormatting>
  <conditionalFormatting sqref="C1419">
    <cfRule type="cellIs" dxfId="29879" priority="4255" stopIfTrue="1" operator="equal">
      <formula>"1 Modify"</formula>
    </cfRule>
  </conditionalFormatting>
  <conditionalFormatting sqref="C1419">
    <cfRule type="cellIs" dxfId="29878" priority="4256" stopIfTrue="1" operator="equal">
      <formula>"2 Add"</formula>
    </cfRule>
  </conditionalFormatting>
  <conditionalFormatting sqref="C1419">
    <cfRule type="cellIs" dxfId="29877" priority="4257" stopIfTrue="1" operator="equal">
      <formula>"3 Delete"</formula>
    </cfRule>
  </conditionalFormatting>
  <conditionalFormatting sqref="C1420">
    <cfRule type="cellIs" dxfId="29876" priority="4258" stopIfTrue="1" operator="equal">
      <formula>"1 Modify"</formula>
    </cfRule>
  </conditionalFormatting>
  <conditionalFormatting sqref="C1420">
    <cfRule type="cellIs" dxfId="29875" priority="4259" stopIfTrue="1" operator="equal">
      <formula>"2 Add"</formula>
    </cfRule>
  </conditionalFormatting>
  <conditionalFormatting sqref="C1420">
    <cfRule type="cellIs" dxfId="29874" priority="4260" stopIfTrue="1" operator="equal">
      <formula>"3 Delete"</formula>
    </cfRule>
  </conditionalFormatting>
  <conditionalFormatting sqref="C1421">
    <cfRule type="cellIs" dxfId="29873" priority="4261" stopIfTrue="1" operator="equal">
      <formula>"1 Modify"</formula>
    </cfRule>
  </conditionalFormatting>
  <conditionalFormatting sqref="C1421">
    <cfRule type="cellIs" dxfId="29872" priority="4262" stopIfTrue="1" operator="equal">
      <formula>"2 Add"</formula>
    </cfRule>
  </conditionalFormatting>
  <conditionalFormatting sqref="C1421">
    <cfRule type="cellIs" dxfId="29871" priority="4263" stopIfTrue="1" operator="equal">
      <formula>"3 Delete"</formula>
    </cfRule>
  </conditionalFormatting>
  <conditionalFormatting sqref="C1422">
    <cfRule type="cellIs" dxfId="29870" priority="4264" stopIfTrue="1" operator="equal">
      <formula>"1 Modify"</formula>
    </cfRule>
  </conditionalFormatting>
  <conditionalFormatting sqref="C1422">
    <cfRule type="cellIs" dxfId="29869" priority="4265" stopIfTrue="1" operator="equal">
      <formula>"2 Add"</formula>
    </cfRule>
  </conditionalFormatting>
  <conditionalFormatting sqref="C1422">
    <cfRule type="cellIs" dxfId="29868" priority="4266" stopIfTrue="1" operator="equal">
      <formula>"3 Delete"</formula>
    </cfRule>
  </conditionalFormatting>
  <conditionalFormatting sqref="C1423">
    <cfRule type="cellIs" dxfId="29867" priority="4267" stopIfTrue="1" operator="equal">
      <formula>"1 Modify"</formula>
    </cfRule>
  </conditionalFormatting>
  <conditionalFormatting sqref="C1423">
    <cfRule type="cellIs" dxfId="29866" priority="4268" stopIfTrue="1" operator="equal">
      <formula>"2 Add"</formula>
    </cfRule>
  </conditionalFormatting>
  <conditionalFormatting sqref="C1423">
    <cfRule type="cellIs" dxfId="29865" priority="4269" stopIfTrue="1" operator="equal">
      <formula>"3 Delete"</formula>
    </cfRule>
  </conditionalFormatting>
  <conditionalFormatting sqref="C1424">
    <cfRule type="cellIs" dxfId="29864" priority="4270" stopIfTrue="1" operator="equal">
      <formula>"1 Modify"</formula>
    </cfRule>
  </conditionalFormatting>
  <conditionalFormatting sqref="C1424">
    <cfRule type="cellIs" dxfId="29863" priority="4271" stopIfTrue="1" operator="equal">
      <formula>"2 Add"</formula>
    </cfRule>
  </conditionalFormatting>
  <conditionalFormatting sqref="C1424">
    <cfRule type="cellIs" dxfId="29862" priority="4272" stopIfTrue="1" operator="equal">
      <formula>"3 Delete"</formula>
    </cfRule>
  </conditionalFormatting>
  <conditionalFormatting sqref="C1425">
    <cfRule type="cellIs" dxfId="29861" priority="4273" stopIfTrue="1" operator="equal">
      <formula>"1 Modify"</formula>
    </cfRule>
  </conditionalFormatting>
  <conditionalFormatting sqref="C1425">
    <cfRule type="cellIs" dxfId="29860" priority="4274" stopIfTrue="1" operator="equal">
      <formula>"2 Add"</formula>
    </cfRule>
  </conditionalFormatting>
  <conditionalFormatting sqref="C1425">
    <cfRule type="cellIs" dxfId="29859" priority="4275" stopIfTrue="1" operator="equal">
      <formula>"3 Delete"</formula>
    </cfRule>
  </conditionalFormatting>
  <conditionalFormatting sqref="C1426">
    <cfRule type="cellIs" dxfId="29858" priority="4276" stopIfTrue="1" operator="equal">
      <formula>"1 Modify"</formula>
    </cfRule>
  </conditionalFormatting>
  <conditionalFormatting sqref="C1426">
    <cfRule type="cellIs" dxfId="29857" priority="4277" stopIfTrue="1" operator="equal">
      <formula>"2 Add"</formula>
    </cfRule>
  </conditionalFormatting>
  <conditionalFormatting sqref="C1426">
    <cfRule type="cellIs" dxfId="29856" priority="4278" stopIfTrue="1" operator="equal">
      <formula>"3 Delete"</formula>
    </cfRule>
  </conditionalFormatting>
  <conditionalFormatting sqref="C1427">
    <cfRule type="cellIs" dxfId="29855" priority="4279" stopIfTrue="1" operator="equal">
      <formula>"1 Modify"</formula>
    </cfRule>
  </conditionalFormatting>
  <conditionalFormatting sqref="C1427">
    <cfRule type="cellIs" dxfId="29854" priority="4280" stopIfTrue="1" operator="equal">
      <formula>"2 Add"</formula>
    </cfRule>
  </conditionalFormatting>
  <conditionalFormatting sqref="C1427">
    <cfRule type="cellIs" dxfId="29853" priority="4281" stopIfTrue="1" operator="equal">
      <formula>"3 Delete"</formula>
    </cfRule>
  </conditionalFormatting>
  <conditionalFormatting sqref="C1428">
    <cfRule type="cellIs" dxfId="29852" priority="4282" stopIfTrue="1" operator="equal">
      <formula>"1 Modify"</formula>
    </cfRule>
  </conditionalFormatting>
  <conditionalFormatting sqref="C1428">
    <cfRule type="cellIs" dxfId="29851" priority="4283" stopIfTrue="1" operator="equal">
      <formula>"2 Add"</formula>
    </cfRule>
  </conditionalFormatting>
  <conditionalFormatting sqref="C1428">
    <cfRule type="cellIs" dxfId="29850" priority="4284" stopIfTrue="1" operator="equal">
      <formula>"3 Delete"</formula>
    </cfRule>
  </conditionalFormatting>
  <conditionalFormatting sqref="C1429">
    <cfRule type="cellIs" dxfId="29849" priority="4285" stopIfTrue="1" operator="equal">
      <formula>"1 Modify"</formula>
    </cfRule>
  </conditionalFormatting>
  <conditionalFormatting sqref="C1429">
    <cfRule type="cellIs" dxfId="29848" priority="4286" stopIfTrue="1" operator="equal">
      <formula>"2 Add"</formula>
    </cfRule>
  </conditionalFormatting>
  <conditionalFormatting sqref="C1429">
    <cfRule type="cellIs" dxfId="29847" priority="4287" stopIfTrue="1" operator="equal">
      <formula>"3 Delete"</formula>
    </cfRule>
  </conditionalFormatting>
  <conditionalFormatting sqref="C1430">
    <cfRule type="cellIs" dxfId="29846" priority="4288" stopIfTrue="1" operator="equal">
      <formula>"1 Modify"</formula>
    </cfRule>
  </conditionalFormatting>
  <conditionalFormatting sqref="C1430">
    <cfRule type="cellIs" dxfId="29845" priority="4289" stopIfTrue="1" operator="equal">
      <formula>"2 Add"</formula>
    </cfRule>
  </conditionalFormatting>
  <conditionalFormatting sqref="C1430">
    <cfRule type="cellIs" dxfId="29844" priority="4290" stopIfTrue="1" operator="equal">
      <formula>"3 Delete"</formula>
    </cfRule>
  </conditionalFormatting>
  <conditionalFormatting sqref="C1431">
    <cfRule type="cellIs" dxfId="29843" priority="4291" stopIfTrue="1" operator="equal">
      <formula>"1 Modify"</formula>
    </cfRule>
  </conditionalFormatting>
  <conditionalFormatting sqref="C1431">
    <cfRule type="cellIs" dxfId="29842" priority="4292" stopIfTrue="1" operator="equal">
      <formula>"2 Add"</formula>
    </cfRule>
  </conditionalFormatting>
  <conditionalFormatting sqref="C1431">
    <cfRule type="cellIs" dxfId="29841" priority="4293" stopIfTrue="1" operator="equal">
      <formula>"3 Delete"</formula>
    </cfRule>
  </conditionalFormatting>
  <conditionalFormatting sqref="C1432">
    <cfRule type="cellIs" dxfId="29840" priority="4294" stopIfTrue="1" operator="equal">
      <formula>"1 Modify"</formula>
    </cfRule>
  </conditionalFormatting>
  <conditionalFormatting sqref="C1432">
    <cfRule type="cellIs" dxfId="29839" priority="4295" stopIfTrue="1" operator="equal">
      <formula>"2 Add"</formula>
    </cfRule>
  </conditionalFormatting>
  <conditionalFormatting sqref="C1432">
    <cfRule type="cellIs" dxfId="29838" priority="4296" stopIfTrue="1" operator="equal">
      <formula>"3 Delete"</formula>
    </cfRule>
  </conditionalFormatting>
  <conditionalFormatting sqref="C1433">
    <cfRule type="cellIs" dxfId="29837" priority="4297" stopIfTrue="1" operator="equal">
      <formula>"1 Modify"</formula>
    </cfRule>
  </conditionalFormatting>
  <conditionalFormatting sqref="C1433">
    <cfRule type="cellIs" dxfId="29836" priority="4298" stopIfTrue="1" operator="equal">
      <formula>"2 Add"</formula>
    </cfRule>
  </conditionalFormatting>
  <conditionalFormatting sqref="C1433">
    <cfRule type="cellIs" dxfId="29835" priority="4299" stopIfTrue="1" operator="equal">
      <formula>"3 Delete"</formula>
    </cfRule>
  </conditionalFormatting>
  <conditionalFormatting sqref="C1434">
    <cfRule type="cellIs" dxfId="29834" priority="4300" stopIfTrue="1" operator="equal">
      <formula>"1 Modify"</formula>
    </cfRule>
  </conditionalFormatting>
  <conditionalFormatting sqref="C1434">
    <cfRule type="cellIs" dxfId="29833" priority="4301" stopIfTrue="1" operator="equal">
      <formula>"2 Add"</formula>
    </cfRule>
  </conditionalFormatting>
  <conditionalFormatting sqref="C1434">
    <cfRule type="cellIs" dxfId="29832" priority="4302" stopIfTrue="1" operator="equal">
      <formula>"3 Delete"</formula>
    </cfRule>
  </conditionalFormatting>
  <conditionalFormatting sqref="C1435">
    <cfRule type="cellIs" dxfId="29831" priority="4303" stopIfTrue="1" operator="equal">
      <formula>"1 Modify"</formula>
    </cfRule>
  </conditionalFormatting>
  <conditionalFormatting sqref="C1435">
    <cfRule type="cellIs" dxfId="29830" priority="4304" stopIfTrue="1" operator="equal">
      <formula>"2 Add"</formula>
    </cfRule>
  </conditionalFormatting>
  <conditionalFormatting sqref="C1435">
    <cfRule type="cellIs" dxfId="29829" priority="4305" stopIfTrue="1" operator="equal">
      <formula>"3 Delete"</formula>
    </cfRule>
  </conditionalFormatting>
  <conditionalFormatting sqref="C1436">
    <cfRule type="cellIs" dxfId="29828" priority="4306" stopIfTrue="1" operator="equal">
      <formula>"1 Modify"</formula>
    </cfRule>
  </conditionalFormatting>
  <conditionalFormatting sqref="C1436">
    <cfRule type="cellIs" dxfId="29827" priority="4307" stopIfTrue="1" operator="equal">
      <formula>"2 Add"</formula>
    </cfRule>
  </conditionalFormatting>
  <conditionalFormatting sqref="C1436">
    <cfRule type="cellIs" dxfId="29826" priority="4308" stopIfTrue="1" operator="equal">
      <formula>"3 Delete"</formula>
    </cfRule>
  </conditionalFormatting>
  <conditionalFormatting sqref="C1437">
    <cfRule type="cellIs" dxfId="29825" priority="4309" stopIfTrue="1" operator="equal">
      <formula>"1 Modify"</formula>
    </cfRule>
  </conditionalFormatting>
  <conditionalFormatting sqref="C1437">
    <cfRule type="cellIs" dxfId="29824" priority="4310" stopIfTrue="1" operator="equal">
      <formula>"2 Add"</formula>
    </cfRule>
  </conditionalFormatting>
  <conditionalFormatting sqref="C1437">
    <cfRule type="cellIs" dxfId="29823" priority="4311" stopIfTrue="1" operator="equal">
      <formula>"3 Delete"</formula>
    </cfRule>
  </conditionalFormatting>
  <conditionalFormatting sqref="C1438">
    <cfRule type="cellIs" dxfId="29822" priority="4312" stopIfTrue="1" operator="equal">
      <formula>"1 Modify"</formula>
    </cfRule>
  </conditionalFormatting>
  <conditionalFormatting sqref="C1438">
    <cfRule type="cellIs" dxfId="29821" priority="4313" stopIfTrue="1" operator="equal">
      <formula>"2 Add"</formula>
    </cfRule>
  </conditionalFormatting>
  <conditionalFormatting sqref="C1438">
    <cfRule type="cellIs" dxfId="29820" priority="4314" stopIfTrue="1" operator="equal">
      <formula>"3 Delete"</formula>
    </cfRule>
  </conditionalFormatting>
  <conditionalFormatting sqref="C1439">
    <cfRule type="cellIs" dxfId="29819" priority="4315" stopIfTrue="1" operator="equal">
      <formula>"1 Modify"</formula>
    </cfRule>
  </conditionalFormatting>
  <conditionalFormatting sqref="C1439">
    <cfRule type="cellIs" dxfId="29818" priority="4316" stopIfTrue="1" operator="equal">
      <formula>"2 Add"</formula>
    </cfRule>
  </conditionalFormatting>
  <conditionalFormatting sqref="C1439">
    <cfRule type="cellIs" dxfId="29817" priority="4317" stopIfTrue="1" operator="equal">
      <formula>"3 Delete"</formula>
    </cfRule>
  </conditionalFormatting>
  <conditionalFormatting sqref="C1440">
    <cfRule type="cellIs" dxfId="29816" priority="4318" stopIfTrue="1" operator="equal">
      <formula>"1 Modify"</formula>
    </cfRule>
  </conditionalFormatting>
  <conditionalFormatting sqref="C1440">
    <cfRule type="cellIs" dxfId="29815" priority="4319" stopIfTrue="1" operator="equal">
      <formula>"2 Add"</formula>
    </cfRule>
  </conditionalFormatting>
  <conditionalFormatting sqref="C1440">
    <cfRule type="cellIs" dxfId="29814" priority="4320" stopIfTrue="1" operator="equal">
      <formula>"3 Delete"</formula>
    </cfRule>
  </conditionalFormatting>
  <conditionalFormatting sqref="C1441">
    <cfRule type="cellIs" dxfId="29813" priority="4321" stopIfTrue="1" operator="equal">
      <formula>"1 Modify"</formula>
    </cfRule>
  </conditionalFormatting>
  <conditionalFormatting sqref="C1441">
    <cfRule type="cellIs" dxfId="29812" priority="4322" stopIfTrue="1" operator="equal">
      <formula>"2 Add"</formula>
    </cfRule>
  </conditionalFormatting>
  <conditionalFormatting sqref="C1441">
    <cfRule type="cellIs" dxfId="29811" priority="4323" stopIfTrue="1" operator="equal">
      <formula>"3 Delete"</formula>
    </cfRule>
  </conditionalFormatting>
  <conditionalFormatting sqref="C1442">
    <cfRule type="cellIs" dxfId="29810" priority="4324" stopIfTrue="1" operator="equal">
      <formula>"1 Modify"</formula>
    </cfRule>
  </conditionalFormatting>
  <conditionalFormatting sqref="C1442">
    <cfRule type="cellIs" dxfId="29809" priority="4325" stopIfTrue="1" operator="equal">
      <formula>"2 Add"</formula>
    </cfRule>
  </conditionalFormatting>
  <conditionalFormatting sqref="C1442">
    <cfRule type="cellIs" dxfId="29808" priority="4326" stopIfTrue="1" operator="equal">
      <formula>"3 Delete"</formula>
    </cfRule>
  </conditionalFormatting>
  <conditionalFormatting sqref="C1443">
    <cfRule type="cellIs" dxfId="29807" priority="4327" stopIfTrue="1" operator="equal">
      <formula>"1 Modify"</formula>
    </cfRule>
  </conditionalFormatting>
  <conditionalFormatting sqref="C1443">
    <cfRule type="cellIs" dxfId="29806" priority="4328" stopIfTrue="1" operator="equal">
      <formula>"2 Add"</formula>
    </cfRule>
  </conditionalFormatting>
  <conditionalFormatting sqref="C1443">
    <cfRule type="cellIs" dxfId="29805" priority="4329" stopIfTrue="1" operator="equal">
      <formula>"3 Delete"</formula>
    </cfRule>
  </conditionalFormatting>
  <conditionalFormatting sqref="C1444">
    <cfRule type="cellIs" dxfId="29804" priority="4330" stopIfTrue="1" operator="equal">
      <formula>"1 Modify"</formula>
    </cfRule>
  </conditionalFormatting>
  <conditionalFormatting sqref="C1444">
    <cfRule type="cellIs" dxfId="29803" priority="4331" stopIfTrue="1" operator="equal">
      <formula>"2 Add"</formula>
    </cfRule>
  </conditionalFormatting>
  <conditionalFormatting sqref="C1444">
    <cfRule type="cellIs" dxfId="29802" priority="4332" stopIfTrue="1" operator="equal">
      <formula>"3 Delete"</formula>
    </cfRule>
  </conditionalFormatting>
  <conditionalFormatting sqref="C1445">
    <cfRule type="cellIs" dxfId="29801" priority="4333" stopIfTrue="1" operator="equal">
      <formula>"1 Modify"</formula>
    </cfRule>
  </conditionalFormatting>
  <conditionalFormatting sqref="C1445">
    <cfRule type="cellIs" dxfId="29800" priority="4334" stopIfTrue="1" operator="equal">
      <formula>"2 Add"</formula>
    </cfRule>
  </conditionalFormatting>
  <conditionalFormatting sqref="C1445">
    <cfRule type="cellIs" dxfId="29799" priority="4335" stopIfTrue="1" operator="equal">
      <formula>"3 Delete"</formula>
    </cfRule>
  </conditionalFormatting>
  <conditionalFormatting sqref="C1446">
    <cfRule type="cellIs" dxfId="29798" priority="4336" stopIfTrue="1" operator="equal">
      <formula>"1 Modify"</formula>
    </cfRule>
  </conditionalFormatting>
  <conditionalFormatting sqref="C1446">
    <cfRule type="cellIs" dxfId="29797" priority="4337" stopIfTrue="1" operator="equal">
      <formula>"2 Add"</formula>
    </cfRule>
  </conditionalFormatting>
  <conditionalFormatting sqref="C1446">
    <cfRule type="cellIs" dxfId="29796" priority="4338" stopIfTrue="1" operator="equal">
      <formula>"3 Delete"</formula>
    </cfRule>
  </conditionalFormatting>
  <conditionalFormatting sqref="C1447">
    <cfRule type="cellIs" dxfId="29795" priority="4339" stopIfTrue="1" operator="equal">
      <formula>"1 Modify"</formula>
    </cfRule>
  </conditionalFormatting>
  <conditionalFormatting sqref="C1447">
    <cfRule type="cellIs" dxfId="29794" priority="4340" stopIfTrue="1" operator="equal">
      <formula>"2 Add"</formula>
    </cfRule>
  </conditionalFormatting>
  <conditionalFormatting sqref="C1447">
    <cfRule type="cellIs" dxfId="29793" priority="4341" stopIfTrue="1" operator="equal">
      <formula>"3 Delete"</formula>
    </cfRule>
  </conditionalFormatting>
  <conditionalFormatting sqref="C1448">
    <cfRule type="cellIs" dxfId="29792" priority="4342" stopIfTrue="1" operator="equal">
      <formula>"1 Modify"</formula>
    </cfRule>
  </conditionalFormatting>
  <conditionalFormatting sqref="C1448">
    <cfRule type="cellIs" dxfId="29791" priority="4343" stopIfTrue="1" operator="equal">
      <formula>"2 Add"</formula>
    </cfRule>
  </conditionalFormatting>
  <conditionalFormatting sqref="C1448">
    <cfRule type="cellIs" dxfId="29790" priority="4344" stopIfTrue="1" operator="equal">
      <formula>"3 Delete"</formula>
    </cfRule>
  </conditionalFormatting>
  <conditionalFormatting sqref="C1449">
    <cfRule type="cellIs" dxfId="29789" priority="4345" stopIfTrue="1" operator="equal">
      <formula>"1 Modify"</formula>
    </cfRule>
  </conditionalFormatting>
  <conditionalFormatting sqref="C1449">
    <cfRule type="cellIs" dxfId="29788" priority="4346" stopIfTrue="1" operator="equal">
      <formula>"2 Add"</formula>
    </cfRule>
  </conditionalFormatting>
  <conditionalFormatting sqref="C1449">
    <cfRule type="cellIs" dxfId="29787" priority="4347" stopIfTrue="1" operator="equal">
      <formula>"3 Delete"</formula>
    </cfRule>
  </conditionalFormatting>
  <conditionalFormatting sqref="C1450">
    <cfRule type="cellIs" dxfId="29786" priority="4348" stopIfTrue="1" operator="equal">
      <formula>"1 Modify"</formula>
    </cfRule>
  </conditionalFormatting>
  <conditionalFormatting sqref="C1450">
    <cfRule type="cellIs" dxfId="29785" priority="4349" stopIfTrue="1" operator="equal">
      <formula>"2 Add"</formula>
    </cfRule>
  </conditionalFormatting>
  <conditionalFormatting sqref="C1450">
    <cfRule type="cellIs" dxfId="29784" priority="4350" stopIfTrue="1" operator="equal">
      <formula>"3 Delete"</formula>
    </cfRule>
  </conditionalFormatting>
  <conditionalFormatting sqref="C1451">
    <cfRule type="cellIs" dxfId="29783" priority="4351" stopIfTrue="1" operator="equal">
      <formula>"1 Modify"</formula>
    </cfRule>
  </conditionalFormatting>
  <conditionalFormatting sqref="C1451">
    <cfRule type="cellIs" dxfId="29782" priority="4352" stopIfTrue="1" operator="equal">
      <formula>"2 Add"</formula>
    </cfRule>
  </conditionalFormatting>
  <conditionalFormatting sqref="C1451">
    <cfRule type="cellIs" dxfId="29781" priority="4353" stopIfTrue="1" operator="equal">
      <formula>"3 Delete"</formula>
    </cfRule>
  </conditionalFormatting>
  <conditionalFormatting sqref="C1452">
    <cfRule type="cellIs" dxfId="29780" priority="4354" stopIfTrue="1" operator="equal">
      <formula>"1 Modify"</formula>
    </cfRule>
  </conditionalFormatting>
  <conditionalFormatting sqref="C1452">
    <cfRule type="cellIs" dxfId="29779" priority="4355" stopIfTrue="1" operator="equal">
      <formula>"2 Add"</formula>
    </cfRule>
  </conditionalFormatting>
  <conditionalFormatting sqref="C1452">
    <cfRule type="cellIs" dxfId="29778" priority="4356" stopIfTrue="1" operator="equal">
      <formula>"3 Delete"</formula>
    </cfRule>
  </conditionalFormatting>
  <conditionalFormatting sqref="C1453">
    <cfRule type="cellIs" dxfId="29777" priority="4357" stopIfTrue="1" operator="equal">
      <formula>"1 Modify"</formula>
    </cfRule>
  </conditionalFormatting>
  <conditionalFormatting sqref="C1453">
    <cfRule type="cellIs" dxfId="29776" priority="4358" stopIfTrue="1" operator="equal">
      <formula>"2 Add"</formula>
    </cfRule>
  </conditionalFormatting>
  <conditionalFormatting sqref="C1453">
    <cfRule type="cellIs" dxfId="29775" priority="4359" stopIfTrue="1" operator="equal">
      <formula>"3 Delete"</formula>
    </cfRule>
  </conditionalFormatting>
  <conditionalFormatting sqref="C1454">
    <cfRule type="cellIs" dxfId="29774" priority="4360" stopIfTrue="1" operator="equal">
      <formula>"1 Modify"</formula>
    </cfRule>
  </conditionalFormatting>
  <conditionalFormatting sqref="C1454">
    <cfRule type="cellIs" dxfId="29773" priority="4361" stopIfTrue="1" operator="equal">
      <formula>"2 Add"</formula>
    </cfRule>
  </conditionalFormatting>
  <conditionalFormatting sqref="C1454">
    <cfRule type="cellIs" dxfId="29772" priority="4362" stopIfTrue="1" operator="equal">
      <formula>"3 Delete"</formula>
    </cfRule>
  </conditionalFormatting>
  <conditionalFormatting sqref="C1455">
    <cfRule type="cellIs" dxfId="29771" priority="4363" stopIfTrue="1" operator="equal">
      <formula>"1 Modify"</formula>
    </cfRule>
  </conditionalFormatting>
  <conditionalFormatting sqref="C1455">
    <cfRule type="cellIs" dxfId="29770" priority="4364" stopIfTrue="1" operator="equal">
      <formula>"2 Add"</formula>
    </cfRule>
  </conditionalFormatting>
  <conditionalFormatting sqref="C1455">
    <cfRule type="cellIs" dxfId="29769" priority="4365" stopIfTrue="1" operator="equal">
      <formula>"3 Delete"</formula>
    </cfRule>
  </conditionalFormatting>
  <conditionalFormatting sqref="C1456">
    <cfRule type="cellIs" dxfId="29768" priority="4366" stopIfTrue="1" operator="equal">
      <formula>"1 Modify"</formula>
    </cfRule>
  </conditionalFormatting>
  <conditionalFormatting sqref="C1456">
    <cfRule type="cellIs" dxfId="29767" priority="4367" stopIfTrue="1" operator="equal">
      <formula>"2 Add"</formula>
    </cfRule>
  </conditionalFormatting>
  <conditionalFormatting sqref="C1456">
    <cfRule type="cellIs" dxfId="29766" priority="4368" stopIfTrue="1" operator="equal">
      <formula>"3 Delete"</formula>
    </cfRule>
  </conditionalFormatting>
  <conditionalFormatting sqref="C1457">
    <cfRule type="cellIs" dxfId="29765" priority="4369" stopIfTrue="1" operator="equal">
      <formula>"1 Modify"</formula>
    </cfRule>
  </conditionalFormatting>
  <conditionalFormatting sqref="C1457">
    <cfRule type="cellIs" dxfId="29764" priority="4370" stopIfTrue="1" operator="equal">
      <formula>"2 Add"</formula>
    </cfRule>
  </conditionalFormatting>
  <conditionalFormatting sqref="C1457">
    <cfRule type="cellIs" dxfId="29763" priority="4371" stopIfTrue="1" operator="equal">
      <formula>"3 Delete"</formula>
    </cfRule>
  </conditionalFormatting>
  <conditionalFormatting sqref="C1458">
    <cfRule type="cellIs" dxfId="29762" priority="4372" stopIfTrue="1" operator="equal">
      <formula>"1 Modify"</formula>
    </cfRule>
  </conditionalFormatting>
  <conditionalFormatting sqref="C1458">
    <cfRule type="cellIs" dxfId="29761" priority="4373" stopIfTrue="1" operator="equal">
      <formula>"2 Add"</formula>
    </cfRule>
  </conditionalFormatting>
  <conditionalFormatting sqref="C1458">
    <cfRule type="cellIs" dxfId="29760" priority="4374" stopIfTrue="1" operator="equal">
      <formula>"3 Delete"</formula>
    </cfRule>
  </conditionalFormatting>
  <conditionalFormatting sqref="C1459">
    <cfRule type="cellIs" dxfId="29759" priority="4375" stopIfTrue="1" operator="equal">
      <formula>"1 Modify"</formula>
    </cfRule>
  </conditionalFormatting>
  <conditionalFormatting sqref="C1459">
    <cfRule type="cellIs" dxfId="29758" priority="4376" stopIfTrue="1" operator="equal">
      <formula>"2 Add"</formula>
    </cfRule>
  </conditionalFormatting>
  <conditionalFormatting sqref="C1459">
    <cfRule type="cellIs" dxfId="29757" priority="4377" stopIfTrue="1" operator="equal">
      <formula>"3 Delete"</formula>
    </cfRule>
  </conditionalFormatting>
  <conditionalFormatting sqref="C1460">
    <cfRule type="cellIs" dxfId="29756" priority="4378" stopIfTrue="1" operator="equal">
      <formula>"1 Modify"</formula>
    </cfRule>
  </conditionalFormatting>
  <conditionalFormatting sqref="C1460">
    <cfRule type="cellIs" dxfId="29755" priority="4379" stopIfTrue="1" operator="equal">
      <formula>"2 Add"</formula>
    </cfRule>
  </conditionalFormatting>
  <conditionalFormatting sqref="C1460">
    <cfRule type="cellIs" dxfId="29754" priority="4380" stopIfTrue="1" operator="equal">
      <formula>"3 Delete"</formula>
    </cfRule>
  </conditionalFormatting>
  <conditionalFormatting sqref="C1461">
    <cfRule type="cellIs" dxfId="29753" priority="4381" stopIfTrue="1" operator="equal">
      <formula>"1 Modify"</formula>
    </cfRule>
  </conditionalFormatting>
  <conditionalFormatting sqref="C1461">
    <cfRule type="cellIs" dxfId="29752" priority="4382" stopIfTrue="1" operator="equal">
      <formula>"2 Add"</formula>
    </cfRule>
  </conditionalFormatting>
  <conditionalFormatting sqref="C1461">
    <cfRule type="cellIs" dxfId="29751" priority="4383" stopIfTrue="1" operator="equal">
      <formula>"3 Delete"</formula>
    </cfRule>
  </conditionalFormatting>
  <conditionalFormatting sqref="C1462">
    <cfRule type="cellIs" dxfId="29750" priority="4384" stopIfTrue="1" operator="equal">
      <formula>"1 Modify"</formula>
    </cfRule>
  </conditionalFormatting>
  <conditionalFormatting sqref="C1462">
    <cfRule type="cellIs" dxfId="29749" priority="4385" stopIfTrue="1" operator="equal">
      <formula>"2 Add"</formula>
    </cfRule>
  </conditionalFormatting>
  <conditionalFormatting sqref="C1462">
    <cfRule type="cellIs" dxfId="29748" priority="4386" stopIfTrue="1" operator="equal">
      <formula>"3 Delete"</formula>
    </cfRule>
  </conditionalFormatting>
  <conditionalFormatting sqref="C1463">
    <cfRule type="cellIs" dxfId="29747" priority="4387" stopIfTrue="1" operator="equal">
      <formula>"1 Modify"</formula>
    </cfRule>
  </conditionalFormatting>
  <conditionalFormatting sqref="C1463">
    <cfRule type="cellIs" dxfId="29746" priority="4388" stopIfTrue="1" operator="equal">
      <formula>"2 Add"</formula>
    </cfRule>
  </conditionalFormatting>
  <conditionalFormatting sqref="C1463">
    <cfRule type="cellIs" dxfId="29745" priority="4389" stopIfTrue="1" operator="equal">
      <formula>"3 Delete"</formula>
    </cfRule>
  </conditionalFormatting>
  <conditionalFormatting sqref="C1464">
    <cfRule type="cellIs" dxfId="29744" priority="4390" stopIfTrue="1" operator="equal">
      <formula>"1 Modify"</formula>
    </cfRule>
  </conditionalFormatting>
  <conditionalFormatting sqref="C1464">
    <cfRule type="cellIs" dxfId="29743" priority="4391" stopIfTrue="1" operator="equal">
      <formula>"2 Add"</formula>
    </cfRule>
  </conditionalFormatting>
  <conditionalFormatting sqref="C1464">
    <cfRule type="cellIs" dxfId="29742" priority="4392" stopIfTrue="1" operator="equal">
      <formula>"3 Delete"</formula>
    </cfRule>
  </conditionalFormatting>
  <conditionalFormatting sqref="C1465">
    <cfRule type="cellIs" dxfId="29741" priority="4393" stopIfTrue="1" operator="equal">
      <formula>"1 Modify"</formula>
    </cfRule>
  </conditionalFormatting>
  <conditionalFormatting sqref="C1465">
    <cfRule type="cellIs" dxfId="29740" priority="4394" stopIfTrue="1" operator="equal">
      <formula>"2 Add"</formula>
    </cfRule>
  </conditionalFormatting>
  <conditionalFormatting sqref="C1465">
    <cfRule type="cellIs" dxfId="29739" priority="4395" stopIfTrue="1" operator="equal">
      <formula>"3 Delete"</formula>
    </cfRule>
  </conditionalFormatting>
  <conditionalFormatting sqref="C1466">
    <cfRule type="cellIs" dxfId="29738" priority="4396" stopIfTrue="1" operator="equal">
      <formula>"1 Modify"</formula>
    </cfRule>
  </conditionalFormatting>
  <conditionalFormatting sqref="C1466">
    <cfRule type="cellIs" dxfId="29737" priority="4397" stopIfTrue="1" operator="equal">
      <formula>"2 Add"</formula>
    </cfRule>
  </conditionalFormatting>
  <conditionalFormatting sqref="C1466">
    <cfRule type="cellIs" dxfId="29736" priority="4398" stopIfTrue="1" operator="equal">
      <formula>"3 Delete"</formula>
    </cfRule>
  </conditionalFormatting>
  <conditionalFormatting sqref="C1467">
    <cfRule type="cellIs" dxfId="29735" priority="4399" stopIfTrue="1" operator="equal">
      <formula>"1 Modify"</formula>
    </cfRule>
  </conditionalFormatting>
  <conditionalFormatting sqref="C1467">
    <cfRule type="cellIs" dxfId="29734" priority="4400" stopIfTrue="1" operator="equal">
      <formula>"2 Add"</formula>
    </cfRule>
  </conditionalFormatting>
  <conditionalFormatting sqref="C1467">
    <cfRule type="cellIs" dxfId="29733" priority="4401" stopIfTrue="1" operator="equal">
      <formula>"3 Delete"</formula>
    </cfRule>
  </conditionalFormatting>
  <conditionalFormatting sqref="C1468">
    <cfRule type="cellIs" dxfId="29732" priority="4402" stopIfTrue="1" operator="equal">
      <formula>"1 Modify"</formula>
    </cfRule>
  </conditionalFormatting>
  <conditionalFormatting sqref="C1468">
    <cfRule type="cellIs" dxfId="29731" priority="4403" stopIfTrue="1" operator="equal">
      <formula>"2 Add"</formula>
    </cfRule>
  </conditionalFormatting>
  <conditionalFormatting sqref="C1468">
    <cfRule type="cellIs" dxfId="29730" priority="4404" stopIfTrue="1" operator="equal">
      <formula>"3 Delete"</formula>
    </cfRule>
  </conditionalFormatting>
  <conditionalFormatting sqref="C1469">
    <cfRule type="cellIs" dxfId="29729" priority="4405" stopIfTrue="1" operator="equal">
      <formula>"1 Modify"</formula>
    </cfRule>
  </conditionalFormatting>
  <conditionalFormatting sqref="C1469">
    <cfRule type="cellIs" dxfId="29728" priority="4406" stopIfTrue="1" operator="equal">
      <formula>"2 Add"</formula>
    </cfRule>
  </conditionalFormatting>
  <conditionalFormatting sqref="C1469">
    <cfRule type="cellIs" dxfId="29727" priority="4407" stopIfTrue="1" operator="equal">
      <formula>"3 Delete"</formula>
    </cfRule>
  </conditionalFormatting>
  <conditionalFormatting sqref="C1470">
    <cfRule type="cellIs" dxfId="29726" priority="4408" stopIfTrue="1" operator="equal">
      <formula>"1 Modify"</formula>
    </cfRule>
  </conditionalFormatting>
  <conditionalFormatting sqref="C1470">
    <cfRule type="cellIs" dxfId="29725" priority="4409" stopIfTrue="1" operator="equal">
      <formula>"2 Add"</formula>
    </cfRule>
  </conditionalFormatting>
  <conditionalFormatting sqref="C1470">
    <cfRule type="cellIs" dxfId="29724" priority="4410" stopIfTrue="1" operator="equal">
      <formula>"3 Delete"</formula>
    </cfRule>
  </conditionalFormatting>
  <conditionalFormatting sqref="C1471">
    <cfRule type="cellIs" dxfId="29723" priority="4411" stopIfTrue="1" operator="equal">
      <formula>"1 Modify"</formula>
    </cfRule>
  </conditionalFormatting>
  <conditionalFormatting sqref="C1471">
    <cfRule type="cellIs" dxfId="29722" priority="4412" stopIfTrue="1" operator="equal">
      <formula>"2 Add"</formula>
    </cfRule>
  </conditionalFormatting>
  <conditionalFormatting sqref="C1471">
    <cfRule type="cellIs" dxfId="29721" priority="4413" stopIfTrue="1" operator="equal">
      <formula>"3 Delete"</formula>
    </cfRule>
  </conditionalFormatting>
  <conditionalFormatting sqref="C1472">
    <cfRule type="cellIs" dxfId="29720" priority="4414" stopIfTrue="1" operator="equal">
      <formula>"1 Modify"</formula>
    </cfRule>
  </conditionalFormatting>
  <conditionalFormatting sqref="C1472">
    <cfRule type="cellIs" dxfId="29719" priority="4415" stopIfTrue="1" operator="equal">
      <formula>"2 Add"</formula>
    </cfRule>
  </conditionalFormatting>
  <conditionalFormatting sqref="C1472">
    <cfRule type="cellIs" dxfId="29718" priority="4416" stopIfTrue="1" operator="equal">
      <formula>"3 Delete"</formula>
    </cfRule>
  </conditionalFormatting>
  <conditionalFormatting sqref="C1473">
    <cfRule type="cellIs" dxfId="29717" priority="4417" stopIfTrue="1" operator="equal">
      <formula>"1 Modify"</formula>
    </cfRule>
  </conditionalFormatting>
  <conditionalFormatting sqref="C1473">
    <cfRule type="cellIs" dxfId="29716" priority="4418" stopIfTrue="1" operator="equal">
      <formula>"2 Add"</formula>
    </cfRule>
  </conditionalFormatting>
  <conditionalFormatting sqref="C1473">
    <cfRule type="cellIs" dxfId="29715" priority="4419" stopIfTrue="1" operator="equal">
      <formula>"3 Delete"</formula>
    </cfRule>
  </conditionalFormatting>
  <conditionalFormatting sqref="C1474">
    <cfRule type="cellIs" dxfId="29714" priority="4420" stopIfTrue="1" operator="equal">
      <formula>"1 Modify"</formula>
    </cfRule>
  </conditionalFormatting>
  <conditionalFormatting sqref="C1474">
    <cfRule type="cellIs" dxfId="29713" priority="4421" stopIfTrue="1" operator="equal">
      <formula>"2 Add"</formula>
    </cfRule>
  </conditionalFormatting>
  <conditionalFormatting sqref="C1474">
    <cfRule type="cellIs" dxfId="29712" priority="4422" stopIfTrue="1" operator="equal">
      <formula>"3 Delete"</formula>
    </cfRule>
  </conditionalFormatting>
  <conditionalFormatting sqref="C1475">
    <cfRule type="cellIs" dxfId="29711" priority="4423" stopIfTrue="1" operator="equal">
      <formula>"1 Modify"</formula>
    </cfRule>
  </conditionalFormatting>
  <conditionalFormatting sqref="C1475">
    <cfRule type="cellIs" dxfId="29710" priority="4424" stopIfTrue="1" operator="equal">
      <formula>"2 Add"</formula>
    </cfRule>
  </conditionalFormatting>
  <conditionalFormatting sqref="C1475">
    <cfRule type="cellIs" dxfId="29709" priority="4425" stopIfTrue="1" operator="equal">
      <formula>"3 Delete"</formula>
    </cfRule>
  </conditionalFormatting>
  <conditionalFormatting sqref="C1476">
    <cfRule type="cellIs" dxfId="29708" priority="4426" stopIfTrue="1" operator="equal">
      <formula>"1 Modify"</formula>
    </cfRule>
  </conditionalFormatting>
  <conditionalFormatting sqref="C1476">
    <cfRule type="cellIs" dxfId="29707" priority="4427" stopIfTrue="1" operator="equal">
      <formula>"2 Add"</formula>
    </cfRule>
  </conditionalFormatting>
  <conditionalFormatting sqref="C1476">
    <cfRule type="cellIs" dxfId="29706" priority="4428" stopIfTrue="1" operator="equal">
      <formula>"3 Delete"</formula>
    </cfRule>
  </conditionalFormatting>
  <conditionalFormatting sqref="C1477">
    <cfRule type="cellIs" dxfId="29705" priority="4429" stopIfTrue="1" operator="equal">
      <formula>"1 Modify"</formula>
    </cfRule>
  </conditionalFormatting>
  <conditionalFormatting sqref="C1477">
    <cfRule type="cellIs" dxfId="29704" priority="4430" stopIfTrue="1" operator="equal">
      <formula>"2 Add"</formula>
    </cfRule>
  </conditionalFormatting>
  <conditionalFormatting sqref="C1477">
    <cfRule type="cellIs" dxfId="29703" priority="4431" stopIfTrue="1" operator="equal">
      <formula>"3 Delete"</formula>
    </cfRule>
  </conditionalFormatting>
  <conditionalFormatting sqref="C1478">
    <cfRule type="cellIs" dxfId="29702" priority="4432" stopIfTrue="1" operator="equal">
      <formula>"1 Modify"</formula>
    </cfRule>
  </conditionalFormatting>
  <conditionalFormatting sqref="C1478">
    <cfRule type="cellIs" dxfId="29701" priority="4433" stopIfTrue="1" operator="equal">
      <formula>"2 Add"</formula>
    </cfRule>
  </conditionalFormatting>
  <conditionalFormatting sqref="C1478">
    <cfRule type="cellIs" dxfId="29700" priority="4434" stopIfTrue="1" operator="equal">
      <formula>"3 Delete"</formula>
    </cfRule>
  </conditionalFormatting>
  <conditionalFormatting sqref="C1479">
    <cfRule type="cellIs" dxfId="29699" priority="4435" stopIfTrue="1" operator="equal">
      <formula>"1 Modify"</formula>
    </cfRule>
  </conditionalFormatting>
  <conditionalFormatting sqref="C1479">
    <cfRule type="cellIs" dxfId="29698" priority="4436" stopIfTrue="1" operator="equal">
      <formula>"2 Add"</formula>
    </cfRule>
  </conditionalFormatting>
  <conditionalFormatting sqref="C1479">
    <cfRule type="cellIs" dxfId="29697" priority="4437" stopIfTrue="1" operator="equal">
      <formula>"3 Delete"</formula>
    </cfRule>
  </conditionalFormatting>
  <conditionalFormatting sqref="C1480">
    <cfRule type="cellIs" dxfId="29696" priority="4438" stopIfTrue="1" operator="equal">
      <formula>"1 Modify"</formula>
    </cfRule>
  </conditionalFormatting>
  <conditionalFormatting sqref="C1480">
    <cfRule type="cellIs" dxfId="29695" priority="4439" stopIfTrue="1" operator="equal">
      <formula>"2 Add"</formula>
    </cfRule>
  </conditionalFormatting>
  <conditionalFormatting sqref="C1480">
    <cfRule type="cellIs" dxfId="29694" priority="4440" stopIfTrue="1" operator="equal">
      <formula>"3 Delete"</formula>
    </cfRule>
  </conditionalFormatting>
  <conditionalFormatting sqref="C1481">
    <cfRule type="cellIs" dxfId="29693" priority="4441" stopIfTrue="1" operator="equal">
      <formula>"1 Modify"</formula>
    </cfRule>
  </conditionalFormatting>
  <conditionalFormatting sqref="C1481">
    <cfRule type="cellIs" dxfId="29692" priority="4442" stopIfTrue="1" operator="equal">
      <formula>"2 Add"</formula>
    </cfRule>
  </conditionalFormatting>
  <conditionalFormatting sqref="C1481">
    <cfRule type="cellIs" dxfId="29691" priority="4443" stopIfTrue="1" operator="equal">
      <formula>"3 Delete"</formula>
    </cfRule>
  </conditionalFormatting>
  <conditionalFormatting sqref="C1482">
    <cfRule type="cellIs" dxfId="29690" priority="4444" stopIfTrue="1" operator="equal">
      <formula>"1 Modify"</formula>
    </cfRule>
  </conditionalFormatting>
  <conditionalFormatting sqref="C1482">
    <cfRule type="cellIs" dxfId="29689" priority="4445" stopIfTrue="1" operator="equal">
      <formula>"2 Add"</formula>
    </cfRule>
  </conditionalFormatting>
  <conditionalFormatting sqref="C1482">
    <cfRule type="cellIs" dxfId="29688" priority="4446" stopIfTrue="1" operator="equal">
      <formula>"3 Delete"</formula>
    </cfRule>
  </conditionalFormatting>
  <conditionalFormatting sqref="C1483">
    <cfRule type="cellIs" dxfId="29687" priority="4447" stopIfTrue="1" operator="equal">
      <formula>"1 Modify"</formula>
    </cfRule>
  </conditionalFormatting>
  <conditionalFormatting sqref="C1483">
    <cfRule type="cellIs" dxfId="29686" priority="4448" stopIfTrue="1" operator="equal">
      <formula>"2 Add"</formula>
    </cfRule>
  </conditionalFormatting>
  <conditionalFormatting sqref="C1483">
    <cfRule type="cellIs" dxfId="29685" priority="4449" stopIfTrue="1" operator="equal">
      <formula>"3 Delete"</formula>
    </cfRule>
  </conditionalFormatting>
  <conditionalFormatting sqref="C1484">
    <cfRule type="cellIs" dxfId="29684" priority="4450" stopIfTrue="1" operator="equal">
      <formula>"1 Modify"</formula>
    </cfRule>
  </conditionalFormatting>
  <conditionalFormatting sqref="C1484">
    <cfRule type="cellIs" dxfId="29683" priority="4451" stopIfTrue="1" operator="equal">
      <formula>"2 Add"</formula>
    </cfRule>
  </conditionalFormatting>
  <conditionalFormatting sqref="C1484">
    <cfRule type="cellIs" dxfId="29682" priority="4452" stopIfTrue="1" operator="equal">
      <formula>"3 Delete"</formula>
    </cfRule>
  </conditionalFormatting>
  <conditionalFormatting sqref="C1485">
    <cfRule type="cellIs" dxfId="29681" priority="4453" stopIfTrue="1" operator="equal">
      <formula>"1 Modify"</formula>
    </cfRule>
  </conditionalFormatting>
  <conditionalFormatting sqref="C1485">
    <cfRule type="cellIs" dxfId="29680" priority="4454" stopIfTrue="1" operator="equal">
      <formula>"2 Add"</formula>
    </cfRule>
  </conditionalFormatting>
  <conditionalFormatting sqref="C1485">
    <cfRule type="cellIs" dxfId="29679" priority="4455" stopIfTrue="1" operator="equal">
      <formula>"3 Delete"</formula>
    </cfRule>
  </conditionalFormatting>
  <conditionalFormatting sqref="C1486">
    <cfRule type="cellIs" dxfId="29678" priority="4456" stopIfTrue="1" operator="equal">
      <formula>"1 Modify"</formula>
    </cfRule>
  </conditionalFormatting>
  <conditionalFormatting sqref="C1486">
    <cfRule type="cellIs" dxfId="29677" priority="4457" stopIfTrue="1" operator="equal">
      <formula>"2 Add"</formula>
    </cfRule>
  </conditionalFormatting>
  <conditionalFormatting sqref="C1486">
    <cfRule type="cellIs" dxfId="29676" priority="4458" stopIfTrue="1" operator="equal">
      <formula>"3 Delete"</formula>
    </cfRule>
  </conditionalFormatting>
  <conditionalFormatting sqref="C1487">
    <cfRule type="cellIs" dxfId="29675" priority="4459" stopIfTrue="1" operator="equal">
      <formula>"1 Modify"</formula>
    </cfRule>
  </conditionalFormatting>
  <conditionalFormatting sqref="C1487">
    <cfRule type="cellIs" dxfId="29674" priority="4460" stopIfTrue="1" operator="equal">
      <formula>"2 Add"</formula>
    </cfRule>
  </conditionalFormatting>
  <conditionalFormatting sqref="C1487">
    <cfRule type="cellIs" dxfId="29673" priority="4461" stopIfTrue="1" operator="equal">
      <formula>"3 Delete"</formula>
    </cfRule>
  </conditionalFormatting>
  <conditionalFormatting sqref="C1488">
    <cfRule type="cellIs" dxfId="29672" priority="4462" stopIfTrue="1" operator="equal">
      <formula>"1 Modify"</formula>
    </cfRule>
  </conditionalFormatting>
  <conditionalFormatting sqref="C1488">
    <cfRule type="cellIs" dxfId="29671" priority="4463" stopIfTrue="1" operator="equal">
      <formula>"2 Add"</formula>
    </cfRule>
  </conditionalFormatting>
  <conditionalFormatting sqref="C1488">
    <cfRule type="cellIs" dxfId="29670" priority="4464" stopIfTrue="1" operator="equal">
      <formula>"3 Delete"</formula>
    </cfRule>
  </conditionalFormatting>
  <conditionalFormatting sqref="C1489">
    <cfRule type="cellIs" dxfId="29669" priority="4465" stopIfTrue="1" operator="equal">
      <formula>"1 Modify"</formula>
    </cfRule>
  </conditionalFormatting>
  <conditionalFormatting sqref="C1489">
    <cfRule type="cellIs" dxfId="29668" priority="4466" stopIfTrue="1" operator="equal">
      <formula>"2 Add"</formula>
    </cfRule>
  </conditionalFormatting>
  <conditionalFormatting sqref="C1489">
    <cfRule type="cellIs" dxfId="29667" priority="4467" stopIfTrue="1" operator="equal">
      <formula>"3 Delete"</formula>
    </cfRule>
  </conditionalFormatting>
  <conditionalFormatting sqref="C1490">
    <cfRule type="cellIs" dxfId="29666" priority="4468" stopIfTrue="1" operator="equal">
      <formula>"1 Modify"</formula>
    </cfRule>
  </conditionalFormatting>
  <conditionalFormatting sqref="C1490">
    <cfRule type="cellIs" dxfId="29665" priority="4469" stopIfTrue="1" operator="equal">
      <formula>"2 Add"</formula>
    </cfRule>
  </conditionalFormatting>
  <conditionalFormatting sqref="C1490">
    <cfRule type="cellIs" dxfId="29664" priority="4470" stopIfTrue="1" operator="equal">
      <formula>"3 Delete"</formula>
    </cfRule>
  </conditionalFormatting>
  <conditionalFormatting sqref="C1491">
    <cfRule type="cellIs" dxfId="29663" priority="4471" stopIfTrue="1" operator="equal">
      <formula>"1 Modify"</formula>
    </cfRule>
  </conditionalFormatting>
  <conditionalFormatting sqref="C1491">
    <cfRule type="cellIs" dxfId="29662" priority="4472" stopIfTrue="1" operator="equal">
      <formula>"2 Add"</formula>
    </cfRule>
  </conditionalFormatting>
  <conditionalFormatting sqref="C1491">
    <cfRule type="cellIs" dxfId="29661" priority="4473" stopIfTrue="1" operator="equal">
      <formula>"3 Delete"</formula>
    </cfRule>
  </conditionalFormatting>
  <conditionalFormatting sqref="C1492">
    <cfRule type="cellIs" dxfId="29660" priority="4474" stopIfTrue="1" operator="equal">
      <formula>"1 Modify"</formula>
    </cfRule>
  </conditionalFormatting>
  <conditionalFormatting sqref="C1492">
    <cfRule type="cellIs" dxfId="29659" priority="4475" stopIfTrue="1" operator="equal">
      <formula>"2 Add"</formula>
    </cfRule>
  </conditionalFormatting>
  <conditionalFormatting sqref="C1492">
    <cfRule type="cellIs" dxfId="29658" priority="4476" stopIfTrue="1" operator="equal">
      <formula>"3 Delete"</formula>
    </cfRule>
  </conditionalFormatting>
  <conditionalFormatting sqref="C1493">
    <cfRule type="cellIs" dxfId="29657" priority="4477" stopIfTrue="1" operator="equal">
      <formula>"1 Modify"</formula>
    </cfRule>
  </conditionalFormatting>
  <conditionalFormatting sqref="C1493">
    <cfRule type="cellIs" dxfId="29656" priority="4478" stopIfTrue="1" operator="equal">
      <formula>"2 Add"</formula>
    </cfRule>
  </conditionalFormatting>
  <conditionalFormatting sqref="C1493">
    <cfRule type="cellIs" dxfId="29655" priority="4479" stopIfTrue="1" operator="equal">
      <formula>"3 Delete"</formula>
    </cfRule>
  </conditionalFormatting>
  <conditionalFormatting sqref="C1494">
    <cfRule type="cellIs" dxfId="29654" priority="4480" stopIfTrue="1" operator="equal">
      <formula>"1 Modify"</formula>
    </cfRule>
  </conditionalFormatting>
  <conditionalFormatting sqref="C1494">
    <cfRule type="cellIs" dxfId="29653" priority="4481" stopIfTrue="1" operator="equal">
      <formula>"2 Add"</formula>
    </cfRule>
  </conditionalFormatting>
  <conditionalFormatting sqref="C1494">
    <cfRule type="cellIs" dxfId="29652" priority="4482" stopIfTrue="1" operator="equal">
      <formula>"3 Delete"</formula>
    </cfRule>
  </conditionalFormatting>
  <conditionalFormatting sqref="C1495">
    <cfRule type="cellIs" dxfId="29651" priority="4483" stopIfTrue="1" operator="equal">
      <formula>"1 Modify"</formula>
    </cfRule>
  </conditionalFormatting>
  <conditionalFormatting sqref="C1495">
    <cfRule type="cellIs" dxfId="29650" priority="4484" stopIfTrue="1" operator="equal">
      <formula>"2 Add"</formula>
    </cfRule>
  </conditionalFormatting>
  <conditionalFormatting sqref="C1495">
    <cfRule type="cellIs" dxfId="29649" priority="4485" stopIfTrue="1" operator="equal">
      <formula>"3 Delete"</formula>
    </cfRule>
  </conditionalFormatting>
  <conditionalFormatting sqref="C1496">
    <cfRule type="cellIs" dxfId="29648" priority="4486" stopIfTrue="1" operator="equal">
      <formula>"1 Modify"</formula>
    </cfRule>
  </conditionalFormatting>
  <conditionalFormatting sqref="C1496">
    <cfRule type="cellIs" dxfId="29647" priority="4487" stopIfTrue="1" operator="equal">
      <formula>"2 Add"</formula>
    </cfRule>
  </conditionalFormatting>
  <conditionalFormatting sqref="C1496">
    <cfRule type="cellIs" dxfId="29646" priority="4488" stopIfTrue="1" operator="equal">
      <formula>"3 Delete"</formula>
    </cfRule>
  </conditionalFormatting>
  <conditionalFormatting sqref="C1497">
    <cfRule type="cellIs" dxfId="29645" priority="4489" stopIfTrue="1" operator="equal">
      <formula>"1 Modify"</formula>
    </cfRule>
  </conditionalFormatting>
  <conditionalFormatting sqref="C1497">
    <cfRule type="cellIs" dxfId="29644" priority="4490" stopIfTrue="1" operator="equal">
      <formula>"2 Add"</formula>
    </cfRule>
  </conditionalFormatting>
  <conditionalFormatting sqref="C1497">
    <cfRule type="cellIs" dxfId="29643" priority="4491" stopIfTrue="1" operator="equal">
      <formula>"3 Delete"</formula>
    </cfRule>
  </conditionalFormatting>
  <conditionalFormatting sqref="C1498">
    <cfRule type="cellIs" dxfId="29642" priority="4492" stopIfTrue="1" operator="equal">
      <formula>"1 Modify"</formula>
    </cfRule>
  </conditionalFormatting>
  <conditionalFormatting sqref="C1498">
    <cfRule type="cellIs" dxfId="29641" priority="4493" stopIfTrue="1" operator="equal">
      <formula>"2 Add"</formula>
    </cfRule>
  </conditionalFormatting>
  <conditionalFormatting sqref="C1498">
    <cfRule type="cellIs" dxfId="29640" priority="4494" stopIfTrue="1" operator="equal">
      <formula>"3 Delete"</formula>
    </cfRule>
  </conditionalFormatting>
  <conditionalFormatting sqref="C1499">
    <cfRule type="cellIs" dxfId="29639" priority="4495" stopIfTrue="1" operator="equal">
      <formula>"1 Modify"</formula>
    </cfRule>
  </conditionalFormatting>
  <conditionalFormatting sqref="C1499">
    <cfRule type="cellIs" dxfId="29638" priority="4496" stopIfTrue="1" operator="equal">
      <formula>"2 Add"</formula>
    </cfRule>
  </conditionalFormatting>
  <conditionalFormatting sqref="C1499">
    <cfRule type="cellIs" dxfId="29637" priority="4497" stopIfTrue="1" operator="equal">
      <formula>"3 Delete"</formula>
    </cfRule>
  </conditionalFormatting>
  <conditionalFormatting sqref="C1500">
    <cfRule type="cellIs" dxfId="29636" priority="4498" stopIfTrue="1" operator="equal">
      <formula>"1 Modify"</formula>
    </cfRule>
  </conditionalFormatting>
  <conditionalFormatting sqref="C1500">
    <cfRule type="cellIs" dxfId="29635" priority="4499" stopIfTrue="1" operator="equal">
      <formula>"2 Add"</formula>
    </cfRule>
  </conditionalFormatting>
  <conditionalFormatting sqref="C1500">
    <cfRule type="cellIs" dxfId="29634" priority="4500" stopIfTrue="1" operator="equal">
      <formula>"3 Delete"</formula>
    </cfRule>
  </conditionalFormatting>
  <conditionalFormatting sqref="C1501">
    <cfRule type="cellIs" dxfId="29633" priority="4501" stopIfTrue="1" operator="equal">
      <formula>"1 Modify"</formula>
    </cfRule>
  </conditionalFormatting>
  <conditionalFormatting sqref="C1501">
    <cfRule type="cellIs" dxfId="29632" priority="4502" stopIfTrue="1" operator="equal">
      <formula>"2 Add"</formula>
    </cfRule>
  </conditionalFormatting>
  <conditionalFormatting sqref="C1501">
    <cfRule type="cellIs" dxfId="29631" priority="4503" stopIfTrue="1" operator="equal">
      <formula>"3 Delete"</formula>
    </cfRule>
  </conditionalFormatting>
  <conditionalFormatting sqref="C1502">
    <cfRule type="cellIs" dxfId="29630" priority="4504" stopIfTrue="1" operator="equal">
      <formula>"1 Modify"</formula>
    </cfRule>
  </conditionalFormatting>
  <conditionalFormatting sqref="C1502">
    <cfRule type="cellIs" dxfId="29629" priority="4505" stopIfTrue="1" operator="equal">
      <formula>"2 Add"</formula>
    </cfRule>
  </conditionalFormatting>
  <conditionalFormatting sqref="C1502">
    <cfRule type="cellIs" dxfId="29628" priority="4506" stopIfTrue="1" operator="equal">
      <formula>"3 Delete"</formula>
    </cfRule>
  </conditionalFormatting>
  <dataValidations count="16">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is read-only" sqref="E2:E1048576">
      <formula1>FALSE</formula1>
    </dataValidation>
    <dataValidation type="custom" allowBlank="1" showInputMessage="1" showErrorMessage="1" error="Column Headers are read-only" sqref="E1">
      <formula1>FALSE</formula1>
    </dataValidation>
    <dataValidation type="date" operator="greaterThan" allowBlank="1" showInputMessage="1" showErrorMessage="1" error="Value must be a Date" sqref="F2:F1048576">
      <formula1>1</formula1>
    </dataValidation>
    <dataValidation type="custom" allowBlank="1" showInputMessage="1" showErrorMessage="1" error="Column Headers are read-only" sqref="F1">
      <formula1>FALSE</formula1>
    </dataValidation>
    <dataValidation type="list" allowBlank="1" showInputMessage="1" showErrorMessage="1" error="Value is a foreign key" sqref="G2:G1048576">
      <formula1>Options__customer_id</formula1>
    </dataValidation>
    <dataValidation type="custom" allowBlank="1" showInputMessage="1" showErrorMessage="1" error="Column Headers are read-only" sqref="G1">
      <formula1>FALSE</formula1>
    </dataValidation>
    <dataValidation type="decimal" operator="greaterThan" allowBlank="1" showInputMessage="1" showErrorMessage="1" error="Value must be a Decimal Number" sqref="H2:H1048576">
      <formula1>-999999</formula1>
    </dataValidation>
    <dataValidation type="custom" allowBlank="1" showInputMessage="1" showErrorMessage="1" error="Column Headers are read-only" sqref="H1">
      <formula1>FALSE</formula1>
    </dataValidation>
    <dataValidation type="custom" allowBlank="1" showInputMessage="1" showErrorMessage="1" error="Column Headers are read-only" sqref="I1">
      <formula1>FALSE</formula1>
    </dataValidation>
    <dataValidation type="date" operator="greaterThan" allowBlank="1" showInputMessage="1" showErrorMessage="1" error="Value must be a Date" sqref="J2:J1048576">
      <formula1>1</formula1>
    </dataValidation>
    <dataValidation type="custom" allowBlank="1" showInputMessage="1" showErrorMessage="1" error="Column Headers are read-only" sqref="J1">
      <formula1>FALSE</formula1>
    </dataValidation>
    <dataValidation type="custom" allowBlank="1" showInputMessage="1" showErrorMessage="1" error="Column Headers are read-only" sqref="A1">
      <formula1>FALSE</formula1>
    </dataValidation>
  </dataValidations>
  <hyperlinks>
    <hyperlink ref="A2" tooltip="macro:RefreshSheet" display="Refresh"/>
    <hyperlink ref="A3" tooltip="macro:SaveActiveSheet" display="Save"/>
  </hyperlink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N2906"/>
  <sheetViews>
    <sheetView topLeftCell="G8" workbookViewId="0">
      <selection activeCell="M19" sqref="M19"/>
    </sheetView>
  </sheetViews>
  <sheetFormatPr baseColWidth="10" defaultRowHeight="15" x14ac:dyDescent="0.25"/>
  <cols>
    <col min="4" max="4" width="11.42578125" style="5"/>
    <col min="5" max="5" width="11.42578125" style="3"/>
    <col min="6" max="6" width="23.7109375" customWidth="1"/>
    <col min="7" max="7" width="35.140625" customWidth="1"/>
    <col min="8" max="8" width="11.42578125" style="9"/>
    <col min="9" max="9" width="11.42578125" style="3"/>
    <col min="10" max="10" width="11.42578125" style="5"/>
    <col min="11" max="11" width="23.7109375" style="15" customWidth="1"/>
    <col min="12" max="12" width="11.42578125" style="20"/>
  </cols>
  <sheetData>
    <row r="1" spans="1:14" x14ac:dyDescent="0.25">
      <c r="A1" s="1" t="s">
        <v>54</v>
      </c>
      <c r="C1" s="1" t="s">
        <v>5</v>
      </c>
      <c r="D1" s="6" t="s">
        <v>50</v>
      </c>
      <c r="E1" s="4" t="s">
        <v>6</v>
      </c>
      <c r="F1" s="1" t="s">
        <v>59</v>
      </c>
      <c r="G1" s="1" t="s">
        <v>60</v>
      </c>
      <c r="H1" s="10" t="s">
        <v>51</v>
      </c>
      <c r="I1" s="4" t="s">
        <v>52</v>
      </c>
      <c r="J1" s="6" t="s">
        <v>9</v>
      </c>
      <c r="K1" s="16" t="s">
        <v>10</v>
      </c>
      <c r="L1" s="20" t="s">
        <v>4495</v>
      </c>
      <c r="M1" t="s">
        <v>4498</v>
      </c>
      <c r="N1" t="s">
        <v>4496</v>
      </c>
    </row>
    <row r="2" spans="1:14" x14ac:dyDescent="0.25">
      <c r="A2" s="2" t="s">
        <v>366</v>
      </c>
      <c r="C2" t="str">
        <f>IF(COUNTBLANK(E2:K2) = 7,"",IF(AND(NOT(ISBLANK(E2)),COUNTBLANK(E2:K2) = 6),"3 Delete",IF(ISBLANK(E2),"2 Add",IF(SHA1Range(E2:K2) = "9c1dad8d242f7f3dc95b38713c793ba6b5d74c31","0 Original","1 Modify"))))</f>
        <v>0 Original</v>
      </c>
      <c r="D2" s="5" t="s">
        <v>2277</v>
      </c>
      <c r="E2" s="3">
        <v>1451</v>
      </c>
      <c r="F2" t="s">
        <v>961</v>
      </c>
      <c r="G2" t="s">
        <v>657</v>
      </c>
      <c r="H2" s="9">
        <v>9.99</v>
      </c>
      <c r="I2" s="3">
        <v>1</v>
      </c>
      <c r="J2" s="5" t="s">
        <v>68</v>
      </c>
      <c r="K2" s="15">
        <v>41640.961770833332</v>
      </c>
      <c r="L2" s="20">
        <f>DATEVALUE(LEFT(F2,10))</f>
        <v>41640</v>
      </c>
      <c r="M2" t="str">
        <f>TEXT(L2,"mm-yyyy")</f>
        <v>01-2014</v>
      </c>
      <c r="N2">
        <f>H2*I2</f>
        <v>9.99</v>
      </c>
    </row>
    <row r="3" spans="1:14" x14ac:dyDescent="0.25">
      <c r="A3" s="2" t="s">
        <v>55</v>
      </c>
      <c r="C3" t="str">
        <f>IF(COUNTBLANK(E3:K3) = 7,"",IF(AND(NOT(ISBLANK(E3)),COUNTBLANK(E3:K3) = 6),"3 Delete",IF(ISBLANK(E3),"2 Add",IF(SHA1Range(E3:K3) = "d9146140a73cbf4622d0d32259baba7f3b28785e","0 Original","1 Modify"))))</f>
        <v>0 Original</v>
      </c>
      <c r="D3" s="5" t="s">
        <v>2278</v>
      </c>
      <c r="E3" s="3">
        <v>1452</v>
      </c>
      <c r="F3" t="s">
        <v>961</v>
      </c>
      <c r="G3" t="s">
        <v>690</v>
      </c>
      <c r="H3" s="9">
        <v>7.99</v>
      </c>
      <c r="I3" s="3">
        <v>1</v>
      </c>
      <c r="J3" s="5" t="s">
        <v>68</v>
      </c>
      <c r="K3" s="15">
        <v>41640.961770833332</v>
      </c>
      <c r="L3" s="20">
        <f t="shared" ref="L3:L66" si="0">DATEVALUE(LEFT(F3,10))</f>
        <v>41640</v>
      </c>
      <c r="M3" t="str">
        <f t="shared" ref="M3:M66" si="1">TEXT(L3,"mm-yyyy")</f>
        <v>01-2014</v>
      </c>
      <c r="N3">
        <f t="shared" ref="N3:N66" si="2">H3*I3</f>
        <v>7.99</v>
      </c>
    </row>
    <row r="4" spans="1:14" x14ac:dyDescent="0.25">
      <c r="C4" t="str">
        <f>IF(COUNTBLANK(E4:K4) = 7,"",IF(AND(NOT(ISBLANK(E4)),COUNTBLANK(E4:K4) = 6),"3 Delete",IF(ISBLANK(E4),"2 Add",IF(SHA1Range(E4:K4) = "e0023f2017075dec8002491e60ba2f166cc818cb","0 Original","1 Modify"))))</f>
        <v>0 Original</v>
      </c>
      <c r="D4" s="5" t="s">
        <v>2279</v>
      </c>
      <c r="E4" s="3">
        <v>1453</v>
      </c>
      <c r="F4" t="s">
        <v>961</v>
      </c>
      <c r="G4" t="s">
        <v>845</v>
      </c>
      <c r="H4" s="9">
        <v>7.99</v>
      </c>
      <c r="I4" s="3">
        <v>1</v>
      </c>
      <c r="J4" s="5" t="s">
        <v>68</v>
      </c>
      <c r="K4" s="15">
        <v>41640.961770833332</v>
      </c>
      <c r="L4" s="20">
        <f t="shared" si="0"/>
        <v>41640</v>
      </c>
      <c r="M4" t="str">
        <f t="shared" si="1"/>
        <v>01-2014</v>
      </c>
      <c r="N4">
        <f t="shared" si="2"/>
        <v>7.99</v>
      </c>
    </row>
    <row r="5" spans="1:14" x14ac:dyDescent="0.25">
      <c r="C5" t="str">
        <f>IF(COUNTBLANK(E5:K5) = 7,"",IF(AND(NOT(ISBLANK(E5)),COUNTBLANK(E5:K5) = 6),"3 Delete",IF(ISBLANK(E5),"2 Add",IF(SHA1Range(E5:K5) = "4692b053c7b110a4ca07b7bb56db5395703a0d65","0 Original","1 Modify"))))</f>
        <v>0 Original</v>
      </c>
      <c r="D5" s="5" t="s">
        <v>2280</v>
      </c>
      <c r="E5" s="3">
        <v>1314</v>
      </c>
      <c r="F5" t="s">
        <v>962</v>
      </c>
      <c r="G5" t="s">
        <v>596</v>
      </c>
      <c r="H5" s="9">
        <v>7.99</v>
      </c>
      <c r="I5" s="3">
        <v>1</v>
      </c>
      <c r="J5" s="5" t="s">
        <v>68</v>
      </c>
      <c r="K5" s="15">
        <v>41641.38689814815</v>
      </c>
      <c r="L5" s="20">
        <f t="shared" si="0"/>
        <v>41641</v>
      </c>
      <c r="M5" t="str">
        <f t="shared" si="1"/>
        <v>01-2014</v>
      </c>
      <c r="N5">
        <f t="shared" si="2"/>
        <v>7.99</v>
      </c>
    </row>
    <row r="6" spans="1:14" x14ac:dyDescent="0.25">
      <c r="C6" t="str">
        <f>IF(COUNTBLANK(E6:K6) = 7,"",IF(AND(NOT(ISBLANK(E6)),COUNTBLANK(E6:K6) = 6),"3 Delete",IF(ISBLANK(E6),"2 Add",IF(SHA1Range(E6:K6) = "7fc98f35c146d465f2b7c299738a20f5d9dfed13","0 Original","1 Modify"))))</f>
        <v>0 Original</v>
      </c>
      <c r="D6" s="5" t="s">
        <v>2281</v>
      </c>
      <c r="E6" s="3">
        <v>1315</v>
      </c>
      <c r="F6" t="s">
        <v>962</v>
      </c>
      <c r="G6" t="s">
        <v>671</v>
      </c>
      <c r="H6" s="9">
        <v>6.99</v>
      </c>
      <c r="I6" s="3">
        <v>1</v>
      </c>
      <c r="J6" s="5" t="s">
        <v>68</v>
      </c>
      <c r="K6" s="15">
        <v>41641.38689814815</v>
      </c>
      <c r="L6" s="20">
        <f t="shared" si="0"/>
        <v>41641</v>
      </c>
      <c r="M6" t="str">
        <f t="shared" si="1"/>
        <v>01-2014</v>
      </c>
      <c r="N6">
        <f t="shared" si="2"/>
        <v>6.99</v>
      </c>
    </row>
    <row r="7" spans="1:14" x14ac:dyDescent="0.25">
      <c r="C7" t="str">
        <f>IF(COUNTBLANK(E7:K7) = 7,"",IF(AND(NOT(ISBLANK(E7)),COUNTBLANK(E7:K7) = 6),"3 Delete",IF(ISBLANK(E7),"2 Add",IF(SHA1Range(E7:K7) = "5d1a269ecd4ccab82140927ed4a5ef0bd3d13012","0 Original","1 Modify"))))</f>
        <v>0 Original</v>
      </c>
      <c r="D7" s="5" t="s">
        <v>2282</v>
      </c>
      <c r="E7" s="3">
        <v>1316</v>
      </c>
      <c r="F7" t="s">
        <v>962</v>
      </c>
      <c r="G7" t="s">
        <v>585</v>
      </c>
      <c r="H7" s="9">
        <v>9.99</v>
      </c>
      <c r="I7" s="3">
        <v>1</v>
      </c>
      <c r="J7" s="5" t="s">
        <v>68</v>
      </c>
      <c r="K7" s="15">
        <v>41641.38689814815</v>
      </c>
      <c r="L7" s="20">
        <f t="shared" si="0"/>
        <v>41641</v>
      </c>
      <c r="M7" t="str">
        <f t="shared" si="1"/>
        <v>01-2014</v>
      </c>
      <c r="N7">
        <f t="shared" si="2"/>
        <v>9.99</v>
      </c>
    </row>
    <row r="8" spans="1:14" x14ac:dyDescent="0.25">
      <c r="C8" t="str">
        <f>IF(COUNTBLANK(E8:K8) = 7,"",IF(AND(NOT(ISBLANK(E8)),COUNTBLANK(E8:K8) = 6),"3 Delete",IF(ISBLANK(E8),"2 Add",IF(SHA1Range(E8:K8) = "0e43cb73d6b77643d4cd224846a1b3f21b4a34ab","0 Original","1 Modify"))))</f>
        <v>0 Original</v>
      </c>
      <c r="D8" s="5" t="s">
        <v>2283</v>
      </c>
      <c r="E8" s="3">
        <v>2844</v>
      </c>
      <c r="F8" t="s">
        <v>963</v>
      </c>
      <c r="G8" t="s">
        <v>749</v>
      </c>
      <c r="H8" s="9">
        <v>5.99</v>
      </c>
      <c r="I8" s="3">
        <v>1</v>
      </c>
      <c r="J8" s="5" t="s">
        <v>68</v>
      </c>
      <c r="K8" s="15">
        <v>41643.210185185184</v>
      </c>
      <c r="L8" s="20">
        <f t="shared" si="0"/>
        <v>41643</v>
      </c>
      <c r="M8" t="str">
        <f t="shared" si="1"/>
        <v>01-2014</v>
      </c>
      <c r="N8">
        <f t="shared" si="2"/>
        <v>5.99</v>
      </c>
    </row>
    <row r="9" spans="1:14" x14ac:dyDescent="0.25">
      <c r="C9" t="str">
        <f>IF(COUNTBLANK(E9:K9) = 7,"",IF(AND(NOT(ISBLANK(E9)),COUNTBLANK(E9:K9) = 6),"3 Delete",IF(ISBLANK(E9),"2 Add",IF(SHA1Range(E9:K9) = "5aa7bbfb8a893d818d9a4ae0dbd61960e749c5ba","0 Original","1 Modify"))))</f>
        <v>0 Original</v>
      </c>
      <c r="D9" s="5" t="s">
        <v>2284</v>
      </c>
      <c r="E9" s="3">
        <v>2845</v>
      </c>
      <c r="F9" t="s">
        <v>963</v>
      </c>
      <c r="G9" t="s">
        <v>687</v>
      </c>
      <c r="H9" s="9">
        <v>9.99</v>
      </c>
      <c r="I9" s="3">
        <v>1</v>
      </c>
      <c r="J9" s="5" t="s">
        <v>68</v>
      </c>
      <c r="K9" s="15">
        <v>41643.210185185184</v>
      </c>
      <c r="L9" s="20">
        <f t="shared" si="0"/>
        <v>41643</v>
      </c>
      <c r="M9" t="str">
        <f t="shared" si="1"/>
        <v>01-2014</v>
      </c>
      <c r="N9">
        <f t="shared" si="2"/>
        <v>9.99</v>
      </c>
    </row>
    <row r="10" spans="1:14" x14ac:dyDescent="0.25">
      <c r="C10" t="str">
        <f>IF(COUNTBLANK(E10:K10) = 7,"",IF(AND(NOT(ISBLANK(E10)),COUNTBLANK(E10:K10) = 6),"3 Delete",IF(ISBLANK(E10),"2 Add",IF(SHA1Range(E10:K10) = "81d3b54bbab419bdc6f00d299946eb614eeaf586","0 Original","1 Modify"))))</f>
        <v>0 Original</v>
      </c>
      <c r="D10" s="5" t="s">
        <v>2285</v>
      </c>
      <c r="E10" s="3">
        <v>2846</v>
      </c>
      <c r="F10" t="s">
        <v>963</v>
      </c>
      <c r="G10" t="s">
        <v>400</v>
      </c>
      <c r="H10" s="9">
        <v>4.99</v>
      </c>
      <c r="I10" s="3">
        <v>2</v>
      </c>
      <c r="J10" s="5" t="s">
        <v>68</v>
      </c>
      <c r="K10" s="15">
        <v>41643.210185185184</v>
      </c>
      <c r="L10" s="20">
        <f t="shared" si="0"/>
        <v>41643</v>
      </c>
      <c r="M10" t="str">
        <f t="shared" si="1"/>
        <v>01-2014</v>
      </c>
      <c r="N10">
        <f t="shared" si="2"/>
        <v>9.98</v>
      </c>
    </row>
    <row r="11" spans="1:14" x14ac:dyDescent="0.25">
      <c r="C11" t="str">
        <f>IF(COUNTBLANK(E11:K11) = 7,"",IF(AND(NOT(ISBLANK(E11)),COUNTBLANK(E11:K11) = 6),"3 Delete",IF(ISBLANK(E11),"2 Add",IF(SHA1Range(E11:K11) = "05beda9d177fbfbe71e55017bd3ce4fdc2b7a415","0 Original","1 Modify"))))</f>
        <v>0 Original</v>
      </c>
      <c r="D11" s="5" t="s">
        <v>2286</v>
      </c>
      <c r="E11" s="3">
        <v>2847</v>
      </c>
      <c r="F11" t="s">
        <v>963</v>
      </c>
      <c r="G11" t="s">
        <v>373</v>
      </c>
      <c r="H11" s="9">
        <v>7.99</v>
      </c>
      <c r="I11" s="3">
        <v>2</v>
      </c>
      <c r="J11" s="5" t="s">
        <v>68</v>
      </c>
      <c r="K11" s="15">
        <v>41643.210185185184</v>
      </c>
      <c r="L11" s="20">
        <f t="shared" si="0"/>
        <v>41643</v>
      </c>
      <c r="M11" t="str">
        <f t="shared" si="1"/>
        <v>01-2014</v>
      </c>
      <c r="N11">
        <f t="shared" si="2"/>
        <v>15.98</v>
      </c>
    </row>
    <row r="12" spans="1:14" x14ac:dyDescent="0.25">
      <c r="C12" t="str">
        <f>IF(COUNTBLANK(E12:K12) = 7,"",IF(AND(NOT(ISBLANK(E12)),COUNTBLANK(E12:K12) = 6),"3 Delete",IF(ISBLANK(E12),"2 Add",IF(SHA1Range(E12:K12) = "2b5f3ab6b3a1c97d13c0b7b30fcdeac10c4bf9f6","0 Original","1 Modify"))))</f>
        <v>0 Original</v>
      </c>
      <c r="D12" s="5" t="s">
        <v>2287</v>
      </c>
      <c r="E12" s="3">
        <v>2335</v>
      </c>
      <c r="F12" t="s">
        <v>964</v>
      </c>
      <c r="G12" t="s">
        <v>854</v>
      </c>
      <c r="H12" s="9">
        <v>8.99</v>
      </c>
      <c r="I12" s="3">
        <v>2</v>
      </c>
      <c r="J12" s="5" t="s">
        <v>68</v>
      </c>
      <c r="K12" s="15">
        <v>41643.527604166666</v>
      </c>
      <c r="L12" s="20">
        <f t="shared" si="0"/>
        <v>41643</v>
      </c>
      <c r="M12" t="str">
        <f t="shared" si="1"/>
        <v>01-2014</v>
      </c>
      <c r="N12">
        <f t="shared" si="2"/>
        <v>17.98</v>
      </c>
    </row>
    <row r="13" spans="1:14" x14ac:dyDescent="0.25">
      <c r="C13" t="str">
        <f>IF(COUNTBLANK(E13:K13) = 7,"",IF(AND(NOT(ISBLANK(E13)),COUNTBLANK(E13:K13) = 6),"3 Delete",IF(ISBLANK(E13),"2 Add",IF(SHA1Range(E13:K13) = "bdc338a7a4e6b2acbd421c8e6e193964624d01ad","0 Original","1 Modify"))))</f>
        <v>0 Original</v>
      </c>
      <c r="D13" s="5" t="s">
        <v>2288</v>
      </c>
      <c r="E13" s="3">
        <v>2336</v>
      </c>
      <c r="F13" t="s">
        <v>964</v>
      </c>
      <c r="G13" t="s">
        <v>396</v>
      </c>
      <c r="H13" s="9">
        <v>8.99</v>
      </c>
      <c r="I13" s="3">
        <v>1</v>
      </c>
      <c r="J13" s="5" t="s">
        <v>68</v>
      </c>
      <c r="K13" s="15">
        <v>41643.527604166666</v>
      </c>
      <c r="L13" s="20">
        <f t="shared" si="0"/>
        <v>41643</v>
      </c>
      <c r="M13" t="str">
        <f t="shared" si="1"/>
        <v>01-2014</v>
      </c>
      <c r="N13">
        <f t="shared" si="2"/>
        <v>8.99</v>
      </c>
    </row>
    <row r="14" spans="1:14" x14ac:dyDescent="0.25">
      <c r="C14" t="str">
        <f>IF(COUNTBLANK(E14:K14) = 7,"",IF(AND(NOT(ISBLANK(E14)),COUNTBLANK(E14:K14) = 6),"3 Delete",IF(ISBLANK(E14),"2 Add",IF(SHA1Range(E14:K14) = "0e50321f7827e1688be38c926c8b9b545ef51c22","0 Original","1 Modify"))))</f>
        <v>0 Original</v>
      </c>
      <c r="D14" s="5" t="s">
        <v>2289</v>
      </c>
      <c r="E14" s="3">
        <v>2337</v>
      </c>
      <c r="F14" t="s">
        <v>964</v>
      </c>
      <c r="G14" t="s">
        <v>680</v>
      </c>
      <c r="H14" s="9">
        <v>8.99</v>
      </c>
      <c r="I14" s="3">
        <v>1</v>
      </c>
      <c r="J14" s="5" t="s">
        <v>68</v>
      </c>
      <c r="K14" s="15">
        <v>41643.527604166666</v>
      </c>
      <c r="L14" s="20">
        <f t="shared" si="0"/>
        <v>41643</v>
      </c>
      <c r="M14" t="str">
        <f t="shared" si="1"/>
        <v>01-2014</v>
      </c>
      <c r="N14">
        <f t="shared" si="2"/>
        <v>8.99</v>
      </c>
    </row>
    <row r="15" spans="1:14" x14ac:dyDescent="0.25">
      <c r="C15" t="str">
        <f>IF(COUNTBLANK(E15:K15) = 7,"",IF(AND(NOT(ISBLANK(E15)),COUNTBLANK(E15:K15) = 6),"3 Delete",IF(ISBLANK(E15),"2 Add",IF(SHA1Range(E15:K15) = "a4caaac4afbd2ef3e089d5671f9486fc1017ac4d","0 Original","1 Modify"))))</f>
        <v>0 Original</v>
      </c>
      <c r="D15" s="5" t="s">
        <v>2290</v>
      </c>
      <c r="E15" s="3">
        <v>2338</v>
      </c>
      <c r="F15" t="s">
        <v>964</v>
      </c>
      <c r="G15" t="s">
        <v>684</v>
      </c>
      <c r="H15" s="9">
        <v>8.99</v>
      </c>
      <c r="I15" s="3">
        <v>1</v>
      </c>
      <c r="J15" s="5" t="s">
        <v>68</v>
      </c>
      <c r="K15" s="15">
        <v>41643.527604166666</v>
      </c>
      <c r="L15" s="20">
        <f t="shared" si="0"/>
        <v>41643</v>
      </c>
      <c r="M15" t="str">
        <f t="shared" si="1"/>
        <v>01-2014</v>
      </c>
      <c r="N15">
        <f t="shared" si="2"/>
        <v>8.99</v>
      </c>
    </row>
    <row r="16" spans="1:14" x14ac:dyDescent="0.25">
      <c r="C16" t="str">
        <f>IF(COUNTBLANK(E16:K16) = 7,"",IF(AND(NOT(ISBLANK(E16)),COUNTBLANK(E16:K16) = 6),"3 Delete",IF(ISBLANK(E16),"2 Add",IF(SHA1Range(E16:K16) = "8aac7277158a80b0a99011406c5cf9fb33f5c28b","0 Original","1 Modify"))))</f>
        <v>0 Original</v>
      </c>
      <c r="D16" s="5" t="s">
        <v>2291</v>
      </c>
      <c r="E16" s="3">
        <v>734</v>
      </c>
      <c r="F16" t="s">
        <v>965</v>
      </c>
      <c r="G16" t="s">
        <v>693</v>
      </c>
      <c r="H16" s="9">
        <v>7.99</v>
      </c>
      <c r="I16" s="3">
        <v>1</v>
      </c>
      <c r="J16" s="5" t="s">
        <v>68</v>
      </c>
      <c r="K16" s="15">
        <v>41643.582002314812</v>
      </c>
      <c r="L16" s="20">
        <f t="shared" si="0"/>
        <v>41643</v>
      </c>
      <c r="M16" t="str">
        <f t="shared" si="1"/>
        <v>01-2014</v>
      </c>
      <c r="N16">
        <f t="shared" si="2"/>
        <v>7.99</v>
      </c>
    </row>
    <row r="17" spans="3:14" x14ac:dyDescent="0.25">
      <c r="C17" t="str">
        <f>IF(COUNTBLANK(E17:K17) = 7,"",IF(AND(NOT(ISBLANK(E17)),COUNTBLANK(E17:K17) = 6),"3 Delete",IF(ISBLANK(E17),"2 Add",IF(SHA1Range(E17:K17) = "2c5f34c7d33919eb74db5fd66e89739fb8c138c7","0 Original","1 Modify"))))</f>
        <v>0 Original</v>
      </c>
      <c r="D17" s="5" t="s">
        <v>2292</v>
      </c>
      <c r="E17" s="3">
        <v>735</v>
      </c>
      <c r="F17" t="s">
        <v>965</v>
      </c>
      <c r="G17" t="s">
        <v>693</v>
      </c>
      <c r="H17" s="9">
        <v>7.99</v>
      </c>
      <c r="I17" s="3">
        <v>1</v>
      </c>
      <c r="J17" s="5" t="s">
        <v>68</v>
      </c>
      <c r="K17" s="15">
        <v>41643.582002314812</v>
      </c>
      <c r="L17" s="20">
        <f t="shared" si="0"/>
        <v>41643</v>
      </c>
      <c r="M17" t="str">
        <f t="shared" si="1"/>
        <v>01-2014</v>
      </c>
      <c r="N17">
        <f t="shared" si="2"/>
        <v>7.99</v>
      </c>
    </row>
    <row r="18" spans="3:14" x14ac:dyDescent="0.25">
      <c r="C18" t="str">
        <f>IF(COUNTBLANK(E18:K18) = 7,"",IF(AND(NOT(ISBLANK(E18)),COUNTBLANK(E18:K18) = 6),"3 Delete",IF(ISBLANK(E18),"2 Add",IF(SHA1Range(E18:K18) = "e770ff136a1ffd0e66912e3639eb56de6a95934c","0 Original","1 Modify"))))</f>
        <v>0 Original</v>
      </c>
      <c r="D18" s="5" t="s">
        <v>2293</v>
      </c>
      <c r="E18" s="3">
        <v>736</v>
      </c>
      <c r="F18" t="s">
        <v>965</v>
      </c>
      <c r="G18" t="s">
        <v>482</v>
      </c>
      <c r="H18" s="9">
        <v>8.99</v>
      </c>
      <c r="I18" s="3">
        <v>1</v>
      </c>
      <c r="J18" s="5" t="s">
        <v>68</v>
      </c>
      <c r="K18" s="15">
        <v>41643.582002314812</v>
      </c>
      <c r="L18" s="20">
        <f t="shared" si="0"/>
        <v>41643</v>
      </c>
      <c r="M18" t="str">
        <f t="shared" si="1"/>
        <v>01-2014</v>
      </c>
      <c r="N18">
        <f t="shared" si="2"/>
        <v>8.99</v>
      </c>
    </row>
    <row r="19" spans="3:14" x14ac:dyDescent="0.25">
      <c r="C19" t="str">
        <f>IF(COUNTBLANK(E19:K19) = 7,"",IF(AND(NOT(ISBLANK(E19)),COUNTBLANK(E19:K19) = 6),"3 Delete",IF(ISBLANK(E19),"2 Add",IF(SHA1Range(E19:K19) = "034d6d58c8cec75dc1372ba52e40e0eac870eaf5","0 Original","1 Modify"))))</f>
        <v>0 Original</v>
      </c>
      <c r="D19" s="5" t="s">
        <v>2294</v>
      </c>
      <c r="E19" s="3">
        <v>1719</v>
      </c>
      <c r="F19" t="s">
        <v>966</v>
      </c>
      <c r="G19" t="s">
        <v>657</v>
      </c>
      <c r="H19" s="9">
        <v>9.99</v>
      </c>
      <c r="I19" s="3">
        <v>1</v>
      </c>
      <c r="J19" s="5" t="s">
        <v>68</v>
      </c>
      <c r="K19" s="15">
        <v>41643.695347222223</v>
      </c>
      <c r="L19" s="20">
        <f t="shared" si="0"/>
        <v>41643</v>
      </c>
      <c r="M19" t="str">
        <f t="shared" si="1"/>
        <v>01-2014</v>
      </c>
      <c r="N19">
        <f t="shared" si="2"/>
        <v>9.99</v>
      </c>
    </row>
    <row r="20" spans="3:14" x14ac:dyDescent="0.25">
      <c r="C20" t="str">
        <f>IF(COUNTBLANK(E20:K20) = 7,"",IF(AND(NOT(ISBLANK(E20)),COUNTBLANK(E20:K20) = 6),"3 Delete",IF(ISBLANK(E20),"2 Add",IF(SHA1Range(E20:K20) = "d851d53dd840e84e80b10db906c61c342eea9ce4","0 Original","1 Modify"))))</f>
        <v>0 Original</v>
      </c>
      <c r="D20" s="5" t="s">
        <v>2295</v>
      </c>
      <c r="E20" s="3">
        <v>1720</v>
      </c>
      <c r="F20" t="s">
        <v>966</v>
      </c>
      <c r="G20" t="s">
        <v>514</v>
      </c>
      <c r="H20" s="9">
        <v>6.99</v>
      </c>
      <c r="I20" s="3">
        <v>1</v>
      </c>
      <c r="J20" s="5" t="s">
        <v>68</v>
      </c>
      <c r="K20" s="15">
        <v>41643.695347222223</v>
      </c>
      <c r="L20" s="20">
        <f t="shared" si="0"/>
        <v>41643</v>
      </c>
      <c r="M20" t="str">
        <f t="shared" si="1"/>
        <v>01-2014</v>
      </c>
      <c r="N20">
        <f t="shared" si="2"/>
        <v>6.99</v>
      </c>
    </row>
    <row r="21" spans="3:14" x14ac:dyDescent="0.25">
      <c r="C21" t="str">
        <f>IF(COUNTBLANK(E21:K21) = 7,"",IF(AND(NOT(ISBLANK(E21)),COUNTBLANK(E21:K21) = 6),"3 Delete",IF(ISBLANK(E21),"2 Add",IF(SHA1Range(E21:K21) = "c2184d55ce9b496c124a5874f3a332a169824965","0 Original","1 Modify"))))</f>
        <v>0 Original</v>
      </c>
      <c r="D21" s="5" t="s">
        <v>2296</v>
      </c>
      <c r="E21" s="3">
        <v>389</v>
      </c>
      <c r="F21" t="s">
        <v>967</v>
      </c>
      <c r="G21" t="s">
        <v>771</v>
      </c>
      <c r="H21" s="9">
        <v>9.99</v>
      </c>
      <c r="I21" s="3">
        <v>1</v>
      </c>
      <c r="J21" s="5" t="s">
        <v>68</v>
      </c>
      <c r="K21" s="15">
        <v>41643.735358796293</v>
      </c>
      <c r="L21" s="20">
        <f t="shared" si="0"/>
        <v>41643</v>
      </c>
      <c r="M21" t="str">
        <f t="shared" si="1"/>
        <v>01-2014</v>
      </c>
      <c r="N21">
        <f t="shared" si="2"/>
        <v>9.99</v>
      </c>
    </row>
    <row r="22" spans="3:14" x14ac:dyDescent="0.25">
      <c r="C22" t="str">
        <f>IF(COUNTBLANK(E22:K22) = 7,"",IF(AND(NOT(ISBLANK(E22)),COUNTBLANK(E22:K22) = 6),"3 Delete",IF(ISBLANK(E22),"2 Add",IF(SHA1Range(E22:K22) = "eac6cd0b45d1155466433f1cb446e5eb6beccae9","0 Original","1 Modify"))))</f>
        <v>0 Original</v>
      </c>
      <c r="D22" s="5" t="s">
        <v>2297</v>
      </c>
      <c r="E22" s="3">
        <v>390</v>
      </c>
      <c r="F22" t="s">
        <v>967</v>
      </c>
      <c r="G22" t="s">
        <v>774</v>
      </c>
      <c r="H22" s="9">
        <v>5.99</v>
      </c>
      <c r="I22" s="3">
        <v>1</v>
      </c>
      <c r="J22" s="5" t="s">
        <v>68</v>
      </c>
      <c r="K22" s="15">
        <v>41643.735358796293</v>
      </c>
      <c r="L22" s="20">
        <f t="shared" si="0"/>
        <v>41643</v>
      </c>
      <c r="M22" t="str">
        <f t="shared" si="1"/>
        <v>01-2014</v>
      </c>
      <c r="N22">
        <f t="shared" si="2"/>
        <v>5.99</v>
      </c>
    </row>
    <row r="23" spans="3:14" x14ac:dyDescent="0.25">
      <c r="C23" t="str">
        <f>IF(COUNTBLANK(E23:K23) = 7,"",IF(AND(NOT(ISBLANK(E23)),COUNTBLANK(E23:K23) = 6),"3 Delete",IF(ISBLANK(E23),"2 Add",IF(SHA1Range(E23:K23) = "8dd9cdbf26349bd9e31171a376f45468d4a8822a","0 Original","1 Modify"))))</f>
        <v>0 Original</v>
      </c>
      <c r="D23" s="5" t="s">
        <v>2298</v>
      </c>
      <c r="E23" s="3">
        <v>391</v>
      </c>
      <c r="F23" t="s">
        <v>967</v>
      </c>
      <c r="G23" t="s">
        <v>582</v>
      </c>
      <c r="H23" s="9">
        <v>9.99</v>
      </c>
      <c r="I23" s="3">
        <v>1</v>
      </c>
      <c r="J23" s="5" t="s">
        <v>68</v>
      </c>
      <c r="K23" s="15">
        <v>41643.735358796293</v>
      </c>
      <c r="L23" s="20">
        <f t="shared" si="0"/>
        <v>41643</v>
      </c>
      <c r="M23" t="str">
        <f t="shared" si="1"/>
        <v>01-2014</v>
      </c>
      <c r="N23">
        <f t="shared" si="2"/>
        <v>9.99</v>
      </c>
    </row>
    <row r="24" spans="3:14" x14ac:dyDescent="0.25">
      <c r="C24" t="str">
        <f>IF(COUNTBLANK(E24:K24) = 7,"",IF(AND(NOT(ISBLANK(E24)),COUNTBLANK(E24:K24) = 6),"3 Delete",IF(ISBLANK(E24),"2 Add",IF(SHA1Range(E24:K24) = "6f75f0287638e01ab9773a7609e952805adfcf81","0 Original","1 Modify"))))</f>
        <v>0 Original</v>
      </c>
      <c r="D24" s="5" t="s">
        <v>2299</v>
      </c>
      <c r="E24" s="3">
        <v>392</v>
      </c>
      <c r="F24" t="s">
        <v>967</v>
      </c>
      <c r="G24" t="s">
        <v>400</v>
      </c>
      <c r="H24" s="9">
        <v>4.99</v>
      </c>
      <c r="I24" s="3">
        <v>1</v>
      </c>
      <c r="J24" s="5" t="s">
        <v>68</v>
      </c>
      <c r="K24" s="15">
        <v>41643.735358796293</v>
      </c>
      <c r="L24" s="20">
        <f t="shared" si="0"/>
        <v>41643</v>
      </c>
      <c r="M24" t="str">
        <f t="shared" si="1"/>
        <v>01-2014</v>
      </c>
      <c r="N24">
        <f t="shared" si="2"/>
        <v>4.99</v>
      </c>
    </row>
    <row r="25" spans="3:14" x14ac:dyDescent="0.25">
      <c r="C25" t="str">
        <f>IF(COUNTBLANK(E25:K25) = 7,"",IF(AND(NOT(ISBLANK(E25)),COUNTBLANK(E25:K25) = 6),"3 Delete",IF(ISBLANK(E25),"2 Add",IF(SHA1Range(E25:K25) = "aba4a2b362012e15e28087732b33df2b4a4857c0","0 Original","1 Modify"))))</f>
        <v>0 Original</v>
      </c>
      <c r="D25" s="5" t="s">
        <v>2300</v>
      </c>
      <c r="E25" s="3">
        <v>1873</v>
      </c>
      <c r="F25" t="s">
        <v>968</v>
      </c>
      <c r="G25" t="s">
        <v>585</v>
      </c>
      <c r="H25" s="9">
        <v>9.99</v>
      </c>
      <c r="I25" s="3">
        <v>1</v>
      </c>
      <c r="J25" s="5" t="s">
        <v>68</v>
      </c>
      <c r="K25" s="15">
        <v>41643.756898148145</v>
      </c>
      <c r="L25" s="20">
        <f t="shared" si="0"/>
        <v>41643</v>
      </c>
      <c r="M25" t="str">
        <f t="shared" si="1"/>
        <v>01-2014</v>
      </c>
      <c r="N25">
        <f t="shared" si="2"/>
        <v>9.99</v>
      </c>
    </row>
    <row r="26" spans="3:14" x14ac:dyDescent="0.25">
      <c r="C26" t="str">
        <f>IF(COUNTBLANK(E26:K26) = 7,"",IF(AND(NOT(ISBLANK(E26)),COUNTBLANK(E26:K26) = 6),"3 Delete",IF(ISBLANK(E26),"2 Add",IF(SHA1Range(E26:K26) = "3eb953a645b6e5a78d5593c44feb031de63e0169","0 Original","1 Modify"))))</f>
        <v>0 Original</v>
      </c>
      <c r="D26" s="5" t="s">
        <v>2301</v>
      </c>
      <c r="E26" s="3">
        <v>1874</v>
      </c>
      <c r="F26" t="s">
        <v>968</v>
      </c>
      <c r="G26" t="s">
        <v>445</v>
      </c>
      <c r="H26" s="9">
        <v>7.99</v>
      </c>
      <c r="I26" s="3">
        <v>1</v>
      </c>
      <c r="J26" s="5" t="s">
        <v>68</v>
      </c>
      <c r="K26" s="15">
        <v>41643.756898148145</v>
      </c>
      <c r="L26" s="20">
        <f t="shared" si="0"/>
        <v>41643</v>
      </c>
      <c r="M26" t="str">
        <f t="shared" si="1"/>
        <v>01-2014</v>
      </c>
      <c r="N26">
        <f t="shared" si="2"/>
        <v>7.99</v>
      </c>
    </row>
    <row r="27" spans="3:14" x14ac:dyDescent="0.25">
      <c r="C27" t="str">
        <f>IF(COUNTBLANK(E27:K27) = 7,"",IF(AND(NOT(ISBLANK(E27)),COUNTBLANK(E27:K27) = 6),"3 Delete",IF(ISBLANK(E27),"2 Add",IF(SHA1Range(E27:K27) = "330bc04c4241c9d7947b46de74efc3d3ca45ce01","0 Original","1 Modify"))))</f>
        <v>0 Original</v>
      </c>
      <c r="D27" s="5" t="s">
        <v>2302</v>
      </c>
      <c r="E27" s="3">
        <v>1875</v>
      </c>
      <c r="F27" t="s">
        <v>968</v>
      </c>
      <c r="G27" t="s">
        <v>869</v>
      </c>
      <c r="H27" s="9">
        <v>4.99</v>
      </c>
      <c r="I27" s="3">
        <v>2</v>
      </c>
      <c r="J27" s="5" t="s">
        <v>68</v>
      </c>
      <c r="K27" s="15">
        <v>41643.756898148145</v>
      </c>
      <c r="L27" s="20">
        <f t="shared" si="0"/>
        <v>41643</v>
      </c>
      <c r="M27" t="str">
        <f t="shared" si="1"/>
        <v>01-2014</v>
      </c>
      <c r="N27">
        <f t="shared" si="2"/>
        <v>9.98</v>
      </c>
    </row>
    <row r="28" spans="3:14" x14ac:dyDescent="0.25">
      <c r="C28" t="str">
        <f>IF(COUNTBLANK(E28:K28) = 7,"",IF(AND(NOT(ISBLANK(E28)),COUNTBLANK(E28:K28) = 6),"3 Delete",IF(ISBLANK(E28),"2 Add",IF(SHA1Range(E28:K28) = "6995b3fa52936d1dac0cf0b9fb712a2c08a37fed","0 Original","1 Modify"))))</f>
        <v>0 Original</v>
      </c>
      <c r="D28" s="5" t="s">
        <v>2303</v>
      </c>
      <c r="E28" s="3">
        <v>2492</v>
      </c>
      <c r="F28" t="s">
        <v>969</v>
      </c>
      <c r="G28" t="s">
        <v>514</v>
      </c>
      <c r="H28" s="9">
        <v>6.99</v>
      </c>
      <c r="I28" s="3">
        <v>2</v>
      </c>
      <c r="J28" s="5" t="s">
        <v>68</v>
      </c>
      <c r="K28" s="15">
        <v>41643.964282407411</v>
      </c>
      <c r="L28" s="20">
        <f t="shared" si="0"/>
        <v>41643</v>
      </c>
      <c r="M28" t="str">
        <f t="shared" si="1"/>
        <v>01-2014</v>
      </c>
      <c r="N28">
        <f t="shared" si="2"/>
        <v>13.98</v>
      </c>
    </row>
    <row r="29" spans="3:14" x14ac:dyDescent="0.25">
      <c r="C29" t="str">
        <f>IF(COUNTBLANK(E29:K29) = 7,"",IF(AND(NOT(ISBLANK(E29)),COUNTBLANK(E29:K29) = 6),"3 Delete",IF(ISBLANK(E29),"2 Add",IF(SHA1Range(E29:K29) = "afe276876ae5c7bb6cb454b0ce53895d9e3238b2","0 Original","1 Modify"))))</f>
        <v>0 Original</v>
      </c>
      <c r="D29" s="5" t="s">
        <v>2304</v>
      </c>
      <c r="E29" s="3">
        <v>1052</v>
      </c>
      <c r="F29" t="s">
        <v>970</v>
      </c>
      <c r="G29" t="s">
        <v>897</v>
      </c>
      <c r="H29" s="9">
        <v>6.99</v>
      </c>
      <c r="I29" s="3">
        <v>1</v>
      </c>
      <c r="J29" s="5" t="s">
        <v>68</v>
      </c>
      <c r="K29" s="15">
        <v>41644.398541666669</v>
      </c>
      <c r="L29" s="20">
        <f t="shared" si="0"/>
        <v>41644</v>
      </c>
      <c r="M29" t="str">
        <f t="shared" si="1"/>
        <v>01-2014</v>
      </c>
      <c r="N29">
        <f t="shared" si="2"/>
        <v>6.99</v>
      </c>
    </row>
    <row r="30" spans="3:14" x14ac:dyDescent="0.25">
      <c r="C30" t="str">
        <f>IF(COUNTBLANK(E30:K30) = 7,"",IF(AND(NOT(ISBLANK(E30)),COUNTBLANK(E30:K30) = 6),"3 Delete",IF(ISBLANK(E30),"2 Add",IF(SHA1Range(E30:K30) = "ae29e742b259b8fbe8d996b6cd9a4c2a7e647e9b","0 Original","1 Modify"))))</f>
        <v>0 Original</v>
      </c>
      <c r="D30" s="5" t="s">
        <v>2305</v>
      </c>
      <c r="E30" s="3">
        <v>3308</v>
      </c>
      <c r="F30" t="s">
        <v>971</v>
      </c>
      <c r="G30" t="s">
        <v>579</v>
      </c>
      <c r="H30" s="9">
        <v>9.99</v>
      </c>
      <c r="I30" s="3">
        <v>1</v>
      </c>
      <c r="J30" s="5" t="s">
        <v>68</v>
      </c>
      <c r="K30" s="15">
        <v>41644.592685185184</v>
      </c>
      <c r="L30" s="20">
        <f t="shared" si="0"/>
        <v>41644</v>
      </c>
      <c r="M30" t="str">
        <f t="shared" si="1"/>
        <v>01-2014</v>
      </c>
      <c r="N30">
        <f t="shared" si="2"/>
        <v>9.99</v>
      </c>
    </row>
    <row r="31" spans="3:14" x14ac:dyDescent="0.25">
      <c r="C31" t="str">
        <f>IF(COUNTBLANK(E31:K31) = 7,"",IF(AND(NOT(ISBLANK(E31)),COUNTBLANK(E31:K31) = 6),"3 Delete",IF(ISBLANK(E31),"2 Add",IF(SHA1Range(E31:K31) = "15e102587cfded276e0fbc41c0caa3227448ed79","0 Original","1 Modify"))))</f>
        <v>0 Original</v>
      </c>
      <c r="D31" s="5" t="s">
        <v>2306</v>
      </c>
      <c r="E31" s="3">
        <v>3309</v>
      </c>
      <c r="F31" t="s">
        <v>971</v>
      </c>
      <c r="G31" t="s">
        <v>749</v>
      </c>
      <c r="H31" s="9">
        <v>5.99</v>
      </c>
      <c r="I31" s="3">
        <v>2</v>
      </c>
      <c r="J31" s="5" t="s">
        <v>68</v>
      </c>
      <c r="K31" s="15">
        <v>41644.592685185184</v>
      </c>
      <c r="L31" s="20">
        <f t="shared" si="0"/>
        <v>41644</v>
      </c>
      <c r="M31" t="str">
        <f t="shared" si="1"/>
        <v>01-2014</v>
      </c>
      <c r="N31">
        <f t="shared" si="2"/>
        <v>11.98</v>
      </c>
    </row>
    <row r="32" spans="3:14" x14ac:dyDescent="0.25">
      <c r="C32" t="str">
        <f>IF(COUNTBLANK(E32:K32) = 7,"",IF(AND(NOT(ISBLANK(E32)),COUNTBLANK(E32:K32) = 6),"3 Delete",IF(ISBLANK(E32),"2 Add",IF(SHA1Range(E32:K32) = "d00117a103e7ead3d857a111d6bc1436081b7ae8","0 Original","1 Modify"))))</f>
        <v>0 Original</v>
      </c>
      <c r="D32" s="5" t="s">
        <v>2307</v>
      </c>
      <c r="E32" s="3">
        <v>3310</v>
      </c>
      <c r="F32" t="s">
        <v>971</v>
      </c>
      <c r="G32" t="s">
        <v>749</v>
      </c>
      <c r="H32" s="9">
        <v>5.99</v>
      </c>
      <c r="I32" s="3">
        <v>1</v>
      </c>
      <c r="J32" s="5" t="s">
        <v>68</v>
      </c>
      <c r="K32" s="15">
        <v>41644.592685185184</v>
      </c>
      <c r="L32" s="20">
        <f t="shared" si="0"/>
        <v>41644</v>
      </c>
      <c r="M32" t="str">
        <f t="shared" si="1"/>
        <v>01-2014</v>
      </c>
      <c r="N32">
        <f t="shared" si="2"/>
        <v>5.99</v>
      </c>
    </row>
    <row r="33" spans="3:14" x14ac:dyDescent="0.25">
      <c r="C33" t="str">
        <f>IF(COUNTBLANK(E33:K33) = 7,"",IF(AND(NOT(ISBLANK(E33)),COUNTBLANK(E33:K33) = 6),"3 Delete",IF(ISBLANK(E33),"2 Add",IF(SHA1Range(E33:K33) = "c3c55009fa591a141a2d6d04765ab1edb339c62f","0 Original","1 Modify"))))</f>
        <v>0 Original</v>
      </c>
      <c r="D33" s="5" t="s">
        <v>2308</v>
      </c>
      <c r="E33" s="3">
        <v>3311</v>
      </c>
      <c r="F33" t="s">
        <v>971</v>
      </c>
      <c r="G33" t="s">
        <v>373</v>
      </c>
      <c r="H33" s="9">
        <v>7.99</v>
      </c>
      <c r="I33" s="3">
        <v>1</v>
      </c>
      <c r="J33" s="5" t="s">
        <v>68</v>
      </c>
      <c r="K33" s="15">
        <v>41644.592685185184</v>
      </c>
      <c r="L33" s="20">
        <f t="shared" si="0"/>
        <v>41644</v>
      </c>
      <c r="M33" t="str">
        <f t="shared" si="1"/>
        <v>01-2014</v>
      </c>
      <c r="N33">
        <f t="shared" si="2"/>
        <v>7.99</v>
      </c>
    </row>
    <row r="34" spans="3:14" x14ac:dyDescent="0.25">
      <c r="C34" t="str">
        <f>IF(COUNTBLANK(E34:K34) = 7,"",IF(AND(NOT(ISBLANK(E34)),COUNTBLANK(E34:K34) = 6),"3 Delete",IF(ISBLANK(E34),"2 Add",IF(SHA1Range(E34:K34) = "e86c1e08a24f6e7bb0c9f6d088f0887312d2105d","0 Original","1 Modify"))))</f>
        <v>0 Original</v>
      </c>
      <c r="D34" s="5" t="s">
        <v>2309</v>
      </c>
      <c r="E34" s="3">
        <v>3312</v>
      </c>
      <c r="F34" t="s">
        <v>971</v>
      </c>
      <c r="G34" t="s">
        <v>373</v>
      </c>
      <c r="H34" s="9">
        <v>7.99</v>
      </c>
      <c r="I34" s="3">
        <v>1</v>
      </c>
      <c r="J34" s="5" t="s">
        <v>68</v>
      </c>
      <c r="K34" s="15">
        <v>41644.592685185184</v>
      </c>
      <c r="L34" s="20">
        <f t="shared" si="0"/>
        <v>41644</v>
      </c>
      <c r="M34" t="str">
        <f t="shared" si="1"/>
        <v>01-2014</v>
      </c>
      <c r="N34">
        <f t="shared" si="2"/>
        <v>7.99</v>
      </c>
    </row>
    <row r="35" spans="3:14" x14ac:dyDescent="0.25">
      <c r="C35" t="str">
        <f>IF(COUNTBLANK(E35:K35) = 7,"",IF(AND(NOT(ISBLANK(E35)),COUNTBLANK(E35:K35) = 6),"3 Delete",IF(ISBLANK(E35),"2 Add",IF(SHA1Range(E35:K35) = "cdda57b9cd4ca1e877ed858e111d7ed06eb0d422","0 Original","1 Modify"))))</f>
        <v>0 Original</v>
      </c>
      <c r="D35" s="5" t="s">
        <v>2310</v>
      </c>
      <c r="E35" s="3">
        <v>2417</v>
      </c>
      <c r="F35" t="s">
        <v>972</v>
      </c>
      <c r="G35" t="s">
        <v>707</v>
      </c>
      <c r="H35" s="9">
        <v>7.99</v>
      </c>
      <c r="I35" s="3">
        <v>1</v>
      </c>
      <c r="J35" s="5" t="s">
        <v>68</v>
      </c>
      <c r="K35" s="15">
        <v>41644.667743055557</v>
      </c>
      <c r="L35" s="20">
        <f t="shared" si="0"/>
        <v>41644</v>
      </c>
      <c r="M35" t="str">
        <f t="shared" si="1"/>
        <v>01-2014</v>
      </c>
      <c r="N35">
        <f t="shared" si="2"/>
        <v>7.99</v>
      </c>
    </row>
    <row r="36" spans="3:14" x14ac:dyDescent="0.25">
      <c r="C36" t="str">
        <f>IF(COUNTBLANK(E36:K36) = 7,"",IF(AND(NOT(ISBLANK(E36)),COUNTBLANK(E36:K36) = 6),"3 Delete",IF(ISBLANK(E36),"2 Add",IF(SHA1Range(E36:K36) = "263391128a3e759c29a05f19d0383afda5ce18f1","0 Original","1 Modify"))))</f>
        <v>0 Original</v>
      </c>
      <c r="D36" s="5" t="s">
        <v>2311</v>
      </c>
      <c r="E36" s="3">
        <v>2598</v>
      </c>
      <c r="F36" t="s">
        <v>973</v>
      </c>
      <c r="G36" t="s">
        <v>687</v>
      </c>
      <c r="H36" s="9">
        <v>9.99</v>
      </c>
      <c r="I36" s="3">
        <v>2</v>
      </c>
      <c r="J36" s="5" t="s">
        <v>68</v>
      </c>
      <c r="K36" s="15">
        <v>41646.624340277776</v>
      </c>
      <c r="L36" s="20">
        <f t="shared" si="0"/>
        <v>41646</v>
      </c>
      <c r="M36" t="str">
        <f t="shared" si="1"/>
        <v>01-2014</v>
      </c>
      <c r="N36">
        <f t="shared" si="2"/>
        <v>19.98</v>
      </c>
    </row>
    <row r="37" spans="3:14" x14ac:dyDescent="0.25">
      <c r="C37" t="str">
        <f>IF(COUNTBLANK(E37:K37) = 7,"",IF(AND(NOT(ISBLANK(E37)),COUNTBLANK(E37:K37) = 6),"3 Delete",IF(ISBLANK(E37),"2 Add",IF(SHA1Range(E37:K37) = "77a71578a27386bd618c344a6504a3f46cafaf70","0 Original","1 Modify"))))</f>
        <v>0 Original</v>
      </c>
      <c r="D37" s="5" t="s">
        <v>2312</v>
      </c>
      <c r="E37" s="3">
        <v>2599</v>
      </c>
      <c r="F37" t="s">
        <v>973</v>
      </c>
      <c r="G37" t="s">
        <v>707</v>
      </c>
      <c r="H37" s="9">
        <v>7.99</v>
      </c>
      <c r="I37" s="3">
        <v>1</v>
      </c>
      <c r="J37" s="5" t="s">
        <v>68</v>
      </c>
      <c r="K37" s="15">
        <v>41646.624340277776</v>
      </c>
      <c r="L37" s="20">
        <f t="shared" si="0"/>
        <v>41646</v>
      </c>
      <c r="M37" t="str">
        <f t="shared" si="1"/>
        <v>01-2014</v>
      </c>
      <c r="N37">
        <f t="shared" si="2"/>
        <v>7.99</v>
      </c>
    </row>
    <row r="38" spans="3:14" x14ac:dyDescent="0.25">
      <c r="C38" t="str">
        <f>IF(COUNTBLANK(E38:K38) = 7,"",IF(AND(NOT(ISBLANK(E38)),COUNTBLANK(E38:K38) = 6),"3 Delete",IF(ISBLANK(E38),"2 Add",IF(SHA1Range(E38:K38) = "9e22af52d9b6789a30ff512f30d417e3ca3094ff","0 Original","1 Modify"))))</f>
        <v>0 Original</v>
      </c>
      <c r="D38" s="5" t="s">
        <v>2313</v>
      </c>
      <c r="E38" s="3">
        <v>2600</v>
      </c>
      <c r="F38" t="s">
        <v>973</v>
      </c>
      <c r="G38" t="s">
        <v>687</v>
      </c>
      <c r="H38" s="9">
        <v>9.99</v>
      </c>
      <c r="I38" s="3">
        <v>2</v>
      </c>
      <c r="J38" s="5" t="s">
        <v>68</v>
      </c>
      <c r="K38" s="15">
        <v>41646.624340277776</v>
      </c>
      <c r="L38" s="20">
        <f t="shared" si="0"/>
        <v>41646</v>
      </c>
      <c r="M38" t="str">
        <f t="shared" si="1"/>
        <v>01-2014</v>
      </c>
      <c r="N38">
        <f t="shared" si="2"/>
        <v>19.98</v>
      </c>
    </row>
    <row r="39" spans="3:14" x14ac:dyDescent="0.25">
      <c r="C39" t="str">
        <f>IF(COUNTBLANK(E39:K39) = 7,"",IF(AND(NOT(ISBLANK(E39)),COUNTBLANK(E39:K39) = 6),"3 Delete",IF(ISBLANK(E39),"2 Add",IF(SHA1Range(E39:K39) = "e905dcb8f01b1cad79c67964f338a0a0fc8146e3","0 Original","1 Modify"))))</f>
        <v>0 Original</v>
      </c>
      <c r="D39" s="5" t="s">
        <v>2314</v>
      </c>
      <c r="E39" s="3">
        <v>2601</v>
      </c>
      <c r="F39" t="s">
        <v>973</v>
      </c>
      <c r="G39" t="s">
        <v>687</v>
      </c>
      <c r="H39" s="9">
        <v>9.99</v>
      </c>
      <c r="I39" s="3">
        <v>1</v>
      </c>
      <c r="J39" s="5" t="s">
        <v>68</v>
      </c>
      <c r="K39" s="15">
        <v>41646.624340277776</v>
      </c>
      <c r="L39" s="20">
        <f t="shared" si="0"/>
        <v>41646</v>
      </c>
      <c r="M39" t="str">
        <f t="shared" si="1"/>
        <v>01-2014</v>
      </c>
      <c r="N39">
        <f t="shared" si="2"/>
        <v>9.99</v>
      </c>
    </row>
    <row r="40" spans="3:14" x14ac:dyDescent="0.25">
      <c r="C40" t="str">
        <f>IF(COUNTBLANK(E40:K40) = 7,"",IF(AND(NOT(ISBLANK(E40)),COUNTBLANK(E40:K40) = 6),"3 Delete",IF(ISBLANK(E40),"2 Add",IF(SHA1Range(E40:K40) = "6ed22ff6d7817a9660d9d313fb0b7806558c1872","0 Original","1 Modify"))))</f>
        <v>0 Original</v>
      </c>
      <c r="D40" s="5" t="s">
        <v>2315</v>
      </c>
      <c r="E40" s="3">
        <v>2602</v>
      </c>
      <c r="F40" t="s">
        <v>973</v>
      </c>
      <c r="G40" t="s">
        <v>514</v>
      </c>
      <c r="H40" s="9">
        <v>6.99</v>
      </c>
      <c r="I40" s="3">
        <v>1</v>
      </c>
      <c r="J40" s="5" t="s">
        <v>68</v>
      </c>
      <c r="K40" s="15">
        <v>41646.624340277776</v>
      </c>
      <c r="L40" s="20">
        <f t="shared" si="0"/>
        <v>41646</v>
      </c>
      <c r="M40" t="str">
        <f t="shared" si="1"/>
        <v>01-2014</v>
      </c>
      <c r="N40">
        <f t="shared" si="2"/>
        <v>6.99</v>
      </c>
    </row>
    <row r="41" spans="3:14" x14ac:dyDescent="0.25">
      <c r="C41" t="str">
        <f>IF(COUNTBLANK(E41:K41) = 7,"",IF(AND(NOT(ISBLANK(E41)),COUNTBLANK(E41:K41) = 6),"3 Delete",IF(ISBLANK(E41),"2 Add",IF(SHA1Range(E41:K41) = "368139c03e8f5d43b462b0933f38395b053fc774","0 Original","1 Modify"))))</f>
        <v>0 Original</v>
      </c>
      <c r="D41" s="5" t="s">
        <v>2316</v>
      </c>
      <c r="E41" s="3">
        <v>2603</v>
      </c>
      <c r="F41" t="s">
        <v>973</v>
      </c>
      <c r="G41" t="s">
        <v>642</v>
      </c>
      <c r="H41" s="9">
        <v>9.99</v>
      </c>
      <c r="I41" s="3">
        <v>1</v>
      </c>
      <c r="J41" s="5" t="s">
        <v>68</v>
      </c>
      <c r="K41" s="15">
        <v>41646.624340277776</v>
      </c>
      <c r="L41" s="20">
        <f t="shared" si="0"/>
        <v>41646</v>
      </c>
      <c r="M41" t="str">
        <f t="shared" si="1"/>
        <v>01-2014</v>
      </c>
      <c r="N41">
        <f t="shared" si="2"/>
        <v>9.99</v>
      </c>
    </row>
    <row r="42" spans="3:14" x14ac:dyDescent="0.25">
      <c r="C42" t="str">
        <f>IF(COUNTBLANK(E42:K42) = 7,"",IF(AND(NOT(ISBLANK(E42)),COUNTBLANK(E42:K42) = 6),"3 Delete",IF(ISBLANK(E42),"2 Add",IF(SHA1Range(E42:K42) = "7577c1c9ff888bc1d1a5203ecb60755047f7a772","0 Original","1 Modify"))))</f>
        <v>0 Original</v>
      </c>
      <c r="D42" s="5" t="s">
        <v>2317</v>
      </c>
      <c r="E42" s="3">
        <v>1295</v>
      </c>
      <c r="F42" t="s">
        <v>974</v>
      </c>
      <c r="G42" t="s">
        <v>693</v>
      </c>
      <c r="H42" s="9">
        <v>7.99</v>
      </c>
      <c r="I42" s="3">
        <v>1</v>
      </c>
      <c r="J42" s="5" t="s">
        <v>68</v>
      </c>
      <c r="K42" s="15">
        <v>41647.154131944444</v>
      </c>
      <c r="L42" s="20">
        <f t="shared" si="0"/>
        <v>41647</v>
      </c>
      <c r="M42" t="str">
        <f t="shared" si="1"/>
        <v>01-2014</v>
      </c>
      <c r="N42">
        <f t="shared" si="2"/>
        <v>7.99</v>
      </c>
    </row>
    <row r="43" spans="3:14" x14ac:dyDescent="0.25">
      <c r="C43" t="str">
        <f>IF(COUNTBLANK(E43:K43) = 7,"",IF(AND(NOT(ISBLANK(E43)),COUNTBLANK(E43:K43) = 6),"3 Delete",IF(ISBLANK(E43),"2 Add",IF(SHA1Range(E43:K43) = "b6d9075b9af840a876df36407429662c59843594","0 Original","1 Modify"))))</f>
        <v>0 Original</v>
      </c>
      <c r="D43" s="5" t="s">
        <v>2318</v>
      </c>
      <c r="E43" s="3">
        <v>1296</v>
      </c>
      <c r="F43" t="s">
        <v>974</v>
      </c>
      <c r="G43" t="s">
        <v>935</v>
      </c>
      <c r="H43" s="9">
        <v>6.99</v>
      </c>
      <c r="I43" s="3">
        <v>1</v>
      </c>
      <c r="J43" s="5" t="s">
        <v>68</v>
      </c>
      <c r="K43" s="15">
        <v>41647.154131944444</v>
      </c>
      <c r="L43" s="20">
        <f t="shared" si="0"/>
        <v>41647</v>
      </c>
      <c r="M43" t="str">
        <f t="shared" si="1"/>
        <v>01-2014</v>
      </c>
      <c r="N43">
        <f t="shared" si="2"/>
        <v>6.99</v>
      </c>
    </row>
    <row r="44" spans="3:14" x14ac:dyDescent="0.25">
      <c r="C44" t="str">
        <f>IF(COUNTBLANK(E44:K44) = 7,"",IF(AND(NOT(ISBLANK(E44)),COUNTBLANK(E44:K44) = 6),"3 Delete",IF(ISBLANK(E44),"2 Add",IF(SHA1Range(E44:K44) = "5ac1271da4d47e4a473194d6fa2a12deb40a8767","0 Original","1 Modify"))))</f>
        <v>0 Original</v>
      </c>
      <c r="D44" s="5" t="s">
        <v>2319</v>
      </c>
      <c r="E44" s="3">
        <v>1297</v>
      </c>
      <c r="F44" t="s">
        <v>974</v>
      </c>
      <c r="G44" t="s">
        <v>926</v>
      </c>
      <c r="H44" s="9">
        <v>9.99</v>
      </c>
      <c r="I44" s="3">
        <v>1</v>
      </c>
      <c r="J44" s="5" t="s">
        <v>68</v>
      </c>
      <c r="K44" s="15">
        <v>41647.154131944444</v>
      </c>
      <c r="L44" s="20">
        <f t="shared" si="0"/>
        <v>41647</v>
      </c>
      <c r="M44" t="str">
        <f t="shared" si="1"/>
        <v>01-2014</v>
      </c>
      <c r="N44">
        <f t="shared" si="2"/>
        <v>9.99</v>
      </c>
    </row>
    <row r="45" spans="3:14" x14ac:dyDescent="0.25">
      <c r="C45" t="str">
        <f>IF(COUNTBLANK(E45:K45) = 7,"",IF(AND(NOT(ISBLANK(E45)),COUNTBLANK(E45:K45) = 6),"3 Delete",IF(ISBLANK(E45),"2 Add",IF(SHA1Range(E45:K45) = "244bc489b767e5a60aca4c45ad64f1a02b5a961f","0 Original","1 Modify"))))</f>
        <v>0 Original</v>
      </c>
      <c r="D45" s="5" t="s">
        <v>2320</v>
      </c>
      <c r="E45" s="3">
        <v>1298</v>
      </c>
      <c r="F45" t="s">
        <v>974</v>
      </c>
      <c r="G45" t="s">
        <v>528</v>
      </c>
      <c r="H45" s="9">
        <v>5.99</v>
      </c>
      <c r="I45" s="3">
        <v>1</v>
      </c>
      <c r="J45" s="5" t="s">
        <v>68</v>
      </c>
      <c r="K45" s="15">
        <v>41647.154131944444</v>
      </c>
      <c r="L45" s="20">
        <f t="shared" si="0"/>
        <v>41647</v>
      </c>
      <c r="M45" t="str">
        <f t="shared" si="1"/>
        <v>01-2014</v>
      </c>
      <c r="N45">
        <f t="shared" si="2"/>
        <v>5.99</v>
      </c>
    </row>
    <row r="46" spans="3:14" x14ac:dyDescent="0.25">
      <c r="C46" t="str">
        <f>IF(COUNTBLANK(E46:K46) = 7,"",IF(AND(NOT(ISBLANK(E46)),COUNTBLANK(E46:K46) = 6),"3 Delete",IF(ISBLANK(E46),"2 Add",IF(SHA1Range(E46:K46) = "39ae6fdd7a2111497302a484c30e49f5497514b8","0 Original","1 Modify"))))</f>
        <v>0 Original</v>
      </c>
      <c r="D46" s="5" t="s">
        <v>2321</v>
      </c>
      <c r="E46" s="3">
        <v>1299</v>
      </c>
      <c r="F46" t="s">
        <v>974</v>
      </c>
      <c r="G46" t="s">
        <v>735</v>
      </c>
      <c r="H46" s="9">
        <v>4.99</v>
      </c>
      <c r="I46" s="3">
        <v>2</v>
      </c>
      <c r="J46" s="5" t="s">
        <v>68</v>
      </c>
      <c r="K46" s="15">
        <v>41647.154131944444</v>
      </c>
      <c r="L46" s="20">
        <f t="shared" si="0"/>
        <v>41647</v>
      </c>
      <c r="M46" t="str">
        <f t="shared" si="1"/>
        <v>01-2014</v>
      </c>
      <c r="N46">
        <f t="shared" si="2"/>
        <v>9.98</v>
      </c>
    </row>
    <row r="47" spans="3:14" x14ac:dyDescent="0.25">
      <c r="C47" t="str">
        <f>IF(COUNTBLANK(E47:K47) = 7,"",IF(AND(NOT(ISBLANK(E47)),COUNTBLANK(E47:K47) = 6),"3 Delete",IF(ISBLANK(E47),"2 Add",IF(SHA1Range(E47:K47) = "76f65c61013844c776946569ae9b6693dee3d5bc","0 Original","1 Modify"))))</f>
        <v>0 Original</v>
      </c>
      <c r="D47" s="5" t="s">
        <v>2322</v>
      </c>
      <c r="E47" s="3">
        <v>2887</v>
      </c>
      <c r="F47" t="s">
        <v>975</v>
      </c>
      <c r="G47" t="s">
        <v>400</v>
      </c>
      <c r="H47" s="9">
        <v>4.99</v>
      </c>
      <c r="I47" s="3">
        <v>1</v>
      </c>
      <c r="J47" s="5" t="s">
        <v>68</v>
      </c>
      <c r="K47" s="15">
        <v>41647.63040509259</v>
      </c>
      <c r="L47" s="20">
        <f t="shared" si="0"/>
        <v>41647</v>
      </c>
      <c r="M47" t="str">
        <f t="shared" si="1"/>
        <v>01-2014</v>
      </c>
      <c r="N47">
        <f t="shared" si="2"/>
        <v>4.99</v>
      </c>
    </row>
    <row r="48" spans="3:14" x14ac:dyDescent="0.25">
      <c r="C48" t="str">
        <f>IF(COUNTBLANK(E48:K48) = 7,"",IF(AND(NOT(ISBLANK(E48)),COUNTBLANK(E48:K48) = 6),"3 Delete",IF(ISBLANK(E48),"2 Add",IF(SHA1Range(E48:K48) = "f74b93dda93f6db3f548bf6bb0d9bbea5cf0aa33","0 Original","1 Modify"))))</f>
        <v>0 Original</v>
      </c>
      <c r="D48" s="5" t="s">
        <v>2323</v>
      </c>
      <c r="E48" s="3">
        <v>2888</v>
      </c>
      <c r="F48" t="s">
        <v>975</v>
      </c>
      <c r="G48" t="s">
        <v>552</v>
      </c>
      <c r="H48" s="9">
        <v>6.99</v>
      </c>
      <c r="I48" s="3">
        <v>1</v>
      </c>
      <c r="J48" s="5" t="s">
        <v>68</v>
      </c>
      <c r="K48" s="15">
        <v>41647.63040509259</v>
      </c>
      <c r="L48" s="20">
        <f t="shared" si="0"/>
        <v>41647</v>
      </c>
      <c r="M48" t="str">
        <f t="shared" si="1"/>
        <v>01-2014</v>
      </c>
      <c r="N48">
        <f t="shared" si="2"/>
        <v>6.99</v>
      </c>
    </row>
    <row r="49" spans="3:14" x14ac:dyDescent="0.25">
      <c r="C49" t="str">
        <f>IF(COUNTBLANK(E49:K49) = 7,"",IF(AND(NOT(ISBLANK(E49)),COUNTBLANK(E49:K49) = 6),"3 Delete",IF(ISBLANK(E49),"2 Add",IF(SHA1Range(E49:K49) = "2297c464d24eba72b08c63d844f4f92694e3b435","0 Original","1 Modify"))))</f>
        <v>0 Original</v>
      </c>
      <c r="D49" s="5" t="s">
        <v>2324</v>
      </c>
      <c r="E49" s="3">
        <v>2889</v>
      </c>
      <c r="F49" t="s">
        <v>975</v>
      </c>
      <c r="G49" t="s">
        <v>707</v>
      </c>
      <c r="H49" s="9">
        <v>7.99</v>
      </c>
      <c r="I49" s="3">
        <v>2</v>
      </c>
      <c r="J49" s="5" t="s">
        <v>68</v>
      </c>
      <c r="K49" s="15">
        <v>41647.63040509259</v>
      </c>
      <c r="L49" s="20">
        <f t="shared" si="0"/>
        <v>41647</v>
      </c>
      <c r="M49" t="str">
        <f t="shared" si="1"/>
        <v>01-2014</v>
      </c>
      <c r="N49">
        <f t="shared" si="2"/>
        <v>15.98</v>
      </c>
    </row>
    <row r="50" spans="3:14" x14ac:dyDescent="0.25">
      <c r="C50" t="str">
        <f>IF(COUNTBLANK(E50:K50) = 7,"",IF(AND(NOT(ISBLANK(E50)),COUNTBLANK(E50:K50) = 6),"3 Delete",IF(ISBLANK(E50),"2 Add",IF(SHA1Range(E50:K50) = "e16b1f9630eb598bdd719838d3438dba3a5452bc","0 Original","1 Modify"))))</f>
        <v>0 Original</v>
      </c>
      <c r="D50" s="5" t="s">
        <v>2325</v>
      </c>
      <c r="E50" s="3">
        <v>2890</v>
      </c>
      <c r="F50" t="s">
        <v>975</v>
      </c>
      <c r="G50" t="s">
        <v>579</v>
      </c>
      <c r="H50" s="9">
        <v>9.99</v>
      </c>
      <c r="I50" s="3">
        <v>1</v>
      </c>
      <c r="J50" s="5" t="s">
        <v>68</v>
      </c>
      <c r="K50" s="15">
        <v>41647.63040509259</v>
      </c>
      <c r="L50" s="20">
        <f t="shared" si="0"/>
        <v>41647</v>
      </c>
      <c r="M50" t="str">
        <f t="shared" si="1"/>
        <v>01-2014</v>
      </c>
      <c r="N50">
        <f t="shared" si="2"/>
        <v>9.99</v>
      </c>
    </row>
    <row r="51" spans="3:14" x14ac:dyDescent="0.25">
      <c r="C51" t="str">
        <f>IF(COUNTBLANK(E51:K51) = 7,"",IF(AND(NOT(ISBLANK(E51)),COUNTBLANK(E51:K51) = 6),"3 Delete",IF(ISBLANK(E51),"2 Add",IF(SHA1Range(E51:K51) = "0e6242d2e670ce14f8bc96783faa8f593d2095e8","0 Original","1 Modify"))))</f>
        <v>0 Original</v>
      </c>
      <c r="D51" s="5" t="s">
        <v>2326</v>
      </c>
      <c r="E51" s="3">
        <v>1124</v>
      </c>
      <c r="F51" t="s">
        <v>976</v>
      </c>
      <c r="G51" t="s">
        <v>739</v>
      </c>
      <c r="H51" s="9">
        <v>8.99</v>
      </c>
      <c r="I51" s="3">
        <v>2</v>
      </c>
      <c r="J51" s="5" t="s">
        <v>68</v>
      </c>
      <c r="K51" s="15">
        <v>41648.273969907408</v>
      </c>
      <c r="L51" s="20">
        <f t="shared" si="0"/>
        <v>41648</v>
      </c>
      <c r="M51" t="str">
        <f t="shared" si="1"/>
        <v>01-2014</v>
      </c>
      <c r="N51">
        <f t="shared" si="2"/>
        <v>17.98</v>
      </c>
    </row>
    <row r="52" spans="3:14" x14ac:dyDescent="0.25">
      <c r="C52" t="str">
        <f>IF(COUNTBLANK(E52:K52) = 7,"",IF(AND(NOT(ISBLANK(E52)),COUNTBLANK(E52:K52) = 6),"3 Delete",IF(ISBLANK(E52),"2 Add",IF(SHA1Range(E52:K52) = "b96b2a8db480505da9e9bd9388bad36304a64f42","0 Original","1 Modify"))))</f>
        <v>0 Original</v>
      </c>
      <c r="D52" s="5" t="s">
        <v>2327</v>
      </c>
      <c r="E52" s="3">
        <v>1125</v>
      </c>
      <c r="F52" t="s">
        <v>976</v>
      </c>
      <c r="G52" t="s">
        <v>684</v>
      </c>
      <c r="H52" s="9">
        <v>8.99</v>
      </c>
      <c r="I52" s="3">
        <v>1</v>
      </c>
      <c r="J52" s="5" t="s">
        <v>68</v>
      </c>
      <c r="K52" s="15">
        <v>41648.273969907408</v>
      </c>
      <c r="L52" s="20">
        <f t="shared" si="0"/>
        <v>41648</v>
      </c>
      <c r="M52" t="str">
        <f t="shared" si="1"/>
        <v>01-2014</v>
      </c>
      <c r="N52">
        <f t="shared" si="2"/>
        <v>8.99</v>
      </c>
    </row>
    <row r="53" spans="3:14" x14ac:dyDescent="0.25">
      <c r="C53" t="str">
        <f>IF(COUNTBLANK(E53:K53) = 7,"",IF(AND(NOT(ISBLANK(E53)),COUNTBLANK(E53:K53) = 6),"3 Delete",IF(ISBLANK(E53),"2 Add",IF(SHA1Range(E53:K53) = "dc14ea30775c2d1a2c59838c276e438587ddab20","0 Original","1 Modify"))))</f>
        <v>0 Original</v>
      </c>
      <c r="D53" s="5" t="s">
        <v>2328</v>
      </c>
      <c r="E53" s="3">
        <v>1252</v>
      </c>
      <c r="F53" t="s">
        <v>977</v>
      </c>
      <c r="G53" t="s">
        <v>684</v>
      </c>
      <c r="H53" s="9">
        <v>8.99</v>
      </c>
      <c r="I53" s="3">
        <v>1</v>
      </c>
      <c r="J53" s="5" t="s">
        <v>68</v>
      </c>
      <c r="K53" s="15">
        <v>41649.837476851855</v>
      </c>
      <c r="L53" s="20">
        <f t="shared" si="0"/>
        <v>41649</v>
      </c>
      <c r="M53" t="str">
        <f t="shared" si="1"/>
        <v>01-2014</v>
      </c>
      <c r="N53">
        <f t="shared" si="2"/>
        <v>8.99</v>
      </c>
    </row>
    <row r="54" spans="3:14" x14ac:dyDescent="0.25">
      <c r="C54" t="str">
        <f>IF(COUNTBLANK(E54:K54) = 7,"",IF(AND(NOT(ISBLANK(E54)),COUNTBLANK(E54:K54) = 6),"3 Delete",IF(ISBLANK(E54),"2 Add",IF(SHA1Range(E54:K54) = "b243a3c7932b0f051443c78cf9816a68229e2c3a","0 Original","1 Modify"))))</f>
        <v>0 Original</v>
      </c>
      <c r="D54" s="5" t="s">
        <v>2329</v>
      </c>
      <c r="E54" s="3">
        <v>1253</v>
      </c>
      <c r="F54" t="s">
        <v>977</v>
      </c>
      <c r="G54" t="s">
        <v>373</v>
      </c>
      <c r="H54" s="9">
        <v>7.99</v>
      </c>
      <c r="I54" s="3">
        <v>1</v>
      </c>
      <c r="J54" s="5" t="s">
        <v>68</v>
      </c>
      <c r="K54" s="15">
        <v>41649.837476851855</v>
      </c>
      <c r="L54" s="20">
        <f t="shared" si="0"/>
        <v>41649</v>
      </c>
      <c r="M54" t="str">
        <f t="shared" si="1"/>
        <v>01-2014</v>
      </c>
      <c r="N54">
        <f t="shared" si="2"/>
        <v>7.99</v>
      </c>
    </row>
    <row r="55" spans="3:14" x14ac:dyDescent="0.25">
      <c r="C55" t="str">
        <f>IF(COUNTBLANK(E55:K55) = 7,"",IF(AND(NOT(ISBLANK(E55)),COUNTBLANK(E55:K55) = 6),"3 Delete",IF(ISBLANK(E55),"2 Add",IF(SHA1Range(E55:K55) = "8c2856a03349885de104a6b755e8df11277a569d","0 Original","1 Modify"))))</f>
        <v>0 Original</v>
      </c>
      <c r="D55" s="5" t="s">
        <v>2330</v>
      </c>
      <c r="E55" s="3">
        <v>1254</v>
      </c>
      <c r="F55" t="s">
        <v>977</v>
      </c>
      <c r="G55" t="s">
        <v>654</v>
      </c>
      <c r="H55" s="9">
        <v>5.99</v>
      </c>
      <c r="I55" s="3">
        <v>1</v>
      </c>
      <c r="J55" s="5" t="s">
        <v>68</v>
      </c>
      <c r="K55" s="15">
        <v>41649.837476851855</v>
      </c>
      <c r="L55" s="20">
        <f t="shared" si="0"/>
        <v>41649</v>
      </c>
      <c r="M55" t="str">
        <f t="shared" si="1"/>
        <v>01-2014</v>
      </c>
      <c r="N55">
        <f t="shared" si="2"/>
        <v>5.99</v>
      </c>
    </row>
    <row r="56" spans="3:14" x14ac:dyDescent="0.25">
      <c r="C56" t="str">
        <f>IF(COUNTBLANK(E56:K56) = 7,"",IF(AND(NOT(ISBLANK(E56)),COUNTBLANK(E56:K56) = 6),"3 Delete",IF(ISBLANK(E56),"2 Add",IF(SHA1Range(E56:K56) = "3c29a25021036fbee4b6ee64c850e99240d1a9c1","0 Original","1 Modify"))))</f>
        <v>0 Original</v>
      </c>
      <c r="D56" s="5" t="s">
        <v>2331</v>
      </c>
      <c r="E56" s="3">
        <v>1255</v>
      </c>
      <c r="F56" t="s">
        <v>977</v>
      </c>
      <c r="G56" t="s">
        <v>704</v>
      </c>
      <c r="H56" s="9">
        <v>4.99</v>
      </c>
      <c r="I56" s="3">
        <v>1</v>
      </c>
      <c r="J56" s="5" t="s">
        <v>68</v>
      </c>
      <c r="K56" s="15">
        <v>41649.837476851855</v>
      </c>
      <c r="L56" s="20">
        <f t="shared" si="0"/>
        <v>41649</v>
      </c>
      <c r="M56" t="str">
        <f t="shared" si="1"/>
        <v>01-2014</v>
      </c>
      <c r="N56">
        <f t="shared" si="2"/>
        <v>4.99</v>
      </c>
    </row>
    <row r="57" spans="3:14" x14ac:dyDescent="0.25">
      <c r="C57" t="str">
        <f>IF(COUNTBLANK(E57:K57) = 7,"",IF(AND(NOT(ISBLANK(E57)),COUNTBLANK(E57:K57) = 6),"3 Delete",IF(ISBLANK(E57),"2 Add",IF(SHA1Range(E57:K57) = "53c329b3aa1837818ce5322bb3ec7079d8300cc9","0 Original","1 Modify"))))</f>
        <v>0 Original</v>
      </c>
      <c r="D57" s="5" t="s">
        <v>2332</v>
      </c>
      <c r="E57" s="3">
        <v>1256</v>
      </c>
      <c r="F57" t="s">
        <v>977</v>
      </c>
      <c r="G57" t="s">
        <v>869</v>
      </c>
      <c r="H57" s="9">
        <v>4.99</v>
      </c>
      <c r="I57" s="3">
        <v>1</v>
      </c>
      <c r="J57" s="5" t="s">
        <v>68</v>
      </c>
      <c r="K57" s="15">
        <v>41649.837476851855</v>
      </c>
      <c r="L57" s="20">
        <f t="shared" si="0"/>
        <v>41649</v>
      </c>
      <c r="M57" t="str">
        <f t="shared" si="1"/>
        <v>01-2014</v>
      </c>
      <c r="N57">
        <f t="shared" si="2"/>
        <v>4.99</v>
      </c>
    </row>
    <row r="58" spans="3:14" x14ac:dyDescent="0.25">
      <c r="C58" t="str">
        <f>IF(COUNTBLANK(E58:K58) = 7,"",IF(AND(NOT(ISBLANK(E58)),COUNTBLANK(E58:K58) = 6),"3 Delete",IF(ISBLANK(E58),"2 Add",IF(SHA1Range(E58:K58) = "79d4560590d54acd84c0e133fc50718ba8de0650","0 Original","1 Modify"))))</f>
        <v>0 Original</v>
      </c>
      <c r="D58" s="5" t="s">
        <v>2333</v>
      </c>
      <c r="E58" s="3">
        <v>2113</v>
      </c>
      <c r="F58" t="s">
        <v>978</v>
      </c>
      <c r="G58" t="s">
        <v>891</v>
      </c>
      <c r="H58" s="9">
        <v>8.99</v>
      </c>
      <c r="I58" s="3">
        <v>1</v>
      </c>
      <c r="J58" s="5" t="s">
        <v>68</v>
      </c>
      <c r="K58" s="15">
        <v>41650.696828703702</v>
      </c>
      <c r="L58" s="20">
        <f t="shared" si="0"/>
        <v>41650</v>
      </c>
      <c r="M58" t="str">
        <f t="shared" si="1"/>
        <v>01-2014</v>
      </c>
      <c r="N58">
        <f t="shared" si="2"/>
        <v>8.99</v>
      </c>
    </row>
    <row r="59" spans="3:14" x14ac:dyDescent="0.25">
      <c r="C59" t="str">
        <f>IF(COUNTBLANK(E59:K59) = 7,"",IF(AND(NOT(ISBLANK(E59)),COUNTBLANK(E59:K59) = 6),"3 Delete",IF(ISBLANK(E59),"2 Add",IF(SHA1Range(E59:K59) = "e89d21a4d9fdf2d876347816d6c6d8b148c8aeb5","0 Original","1 Modify"))))</f>
        <v>0 Original</v>
      </c>
      <c r="D59" s="5" t="s">
        <v>2334</v>
      </c>
      <c r="E59" s="3">
        <v>2114</v>
      </c>
      <c r="F59" t="s">
        <v>978</v>
      </c>
      <c r="G59" t="s">
        <v>749</v>
      </c>
      <c r="H59" s="9">
        <v>5.99</v>
      </c>
      <c r="I59" s="3">
        <v>2</v>
      </c>
      <c r="J59" s="5" t="s">
        <v>68</v>
      </c>
      <c r="K59" s="15">
        <v>41650.696828703702</v>
      </c>
      <c r="L59" s="20">
        <f t="shared" si="0"/>
        <v>41650</v>
      </c>
      <c r="M59" t="str">
        <f t="shared" si="1"/>
        <v>01-2014</v>
      </c>
      <c r="N59">
        <f t="shared" si="2"/>
        <v>11.98</v>
      </c>
    </row>
    <row r="60" spans="3:14" x14ac:dyDescent="0.25">
      <c r="C60" t="str">
        <f>IF(COUNTBLANK(E60:K60) = 7,"",IF(AND(NOT(ISBLANK(E60)),COUNTBLANK(E60:K60) = 6),"3 Delete",IF(ISBLANK(E60),"2 Add",IF(SHA1Range(E60:K60) = "179c7696439baeefeab926e0fd01d5c3639e0765","0 Original","1 Modify"))))</f>
        <v>0 Original</v>
      </c>
      <c r="D60" s="5" t="s">
        <v>2335</v>
      </c>
      <c r="E60" s="3">
        <v>2115</v>
      </c>
      <c r="F60" t="s">
        <v>978</v>
      </c>
      <c r="G60" t="s">
        <v>891</v>
      </c>
      <c r="H60" s="9">
        <v>8.99</v>
      </c>
      <c r="I60" s="3">
        <v>1</v>
      </c>
      <c r="J60" s="5" t="s">
        <v>68</v>
      </c>
      <c r="K60" s="15">
        <v>41650.696828703702</v>
      </c>
      <c r="L60" s="20">
        <f t="shared" si="0"/>
        <v>41650</v>
      </c>
      <c r="M60" t="str">
        <f t="shared" si="1"/>
        <v>01-2014</v>
      </c>
      <c r="N60">
        <f t="shared" si="2"/>
        <v>8.99</v>
      </c>
    </row>
    <row r="61" spans="3:14" x14ac:dyDescent="0.25">
      <c r="C61" t="str">
        <f>IF(COUNTBLANK(E61:K61) = 7,"",IF(AND(NOT(ISBLANK(E61)),COUNTBLANK(E61:K61) = 6),"3 Delete",IF(ISBLANK(E61),"2 Add",IF(SHA1Range(E61:K61) = "094bbdb09f25e54a453063205c35c9775a2d5230","0 Original","1 Modify"))))</f>
        <v>0 Original</v>
      </c>
      <c r="D61" s="5" t="s">
        <v>2336</v>
      </c>
      <c r="E61" s="3">
        <v>2116</v>
      </c>
      <c r="F61" t="s">
        <v>978</v>
      </c>
      <c r="G61" t="s">
        <v>684</v>
      </c>
      <c r="H61" s="9">
        <v>8.99</v>
      </c>
      <c r="I61" s="3">
        <v>1</v>
      </c>
      <c r="J61" s="5" t="s">
        <v>68</v>
      </c>
      <c r="K61" s="15">
        <v>41650.696828703702</v>
      </c>
      <c r="L61" s="20">
        <f t="shared" si="0"/>
        <v>41650</v>
      </c>
      <c r="M61" t="str">
        <f t="shared" si="1"/>
        <v>01-2014</v>
      </c>
      <c r="N61">
        <f t="shared" si="2"/>
        <v>8.99</v>
      </c>
    </row>
    <row r="62" spans="3:14" x14ac:dyDescent="0.25">
      <c r="C62" t="str">
        <f>IF(COUNTBLANK(E62:K62) = 7,"",IF(AND(NOT(ISBLANK(E62)),COUNTBLANK(E62:K62) = 6),"3 Delete",IF(ISBLANK(E62),"2 Add",IF(SHA1Range(E62:K62) = "1cd034d134a424fcb46325b18403568d577bab97","0 Original","1 Modify"))))</f>
        <v>0 Original</v>
      </c>
      <c r="D62" s="5" t="s">
        <v>2337</v>
      </c>
      <c r="E62" s="3">
        <v>2117</v>
      </c>
      <c r="F62" t="s">
        <v>978</v>
      </c>
      <c r="G62" t="s">
        <v>610</v>
      </c>
      <c r="H62" s="9">
        <v>9.99</v>
      </c>
      <c r="I62" s="3">
        <v>1</v>
      </c>
      <c r="J62" s="5" t="s">
        <v>68</v>
      </c>
      <c r="K62" s="15">
        <v>41650.696828703702</v>
      </c>
      <c r="L62" s="20">
        <f t="shared" si="0"/>
        <v>41650</v>
      </c>
      <c r="M62" t="str">
        <f t="shared" si="1"/>
        <v>01-2014</v>
      </c>
      <c r="N62">
        <f t="shared" si="2"/>
        <v>9.99</v>
      </c>
    </row>
    <row r="63" spans="3:14" x14ac:dyDescent="0.25">
      <c r="C63" t="str">
        <f>IF(COUNTBLANK(E63:K63) = 7,"",IF(AND(NOT(ISBLANK(E63)),COUNTBLANK(E63:K63) = 6),"3 Delete",IF(ISBLANK(E63),"2 Add",IF(SHA1Range(E63:K63) = "63c34feb2b1b9bae98a124bc7ee201c19d8bf0fe","0 Original","1 Modify"))))</f>
        <v>0 Original</v>
      </c>
      <c r="D63" s="5" t="s">
        <v>2338</v>
      </c>
      <c r="E63" s="3">
        <v>1692</v>
      </c>
      <c r="F63" t="s">
        <v>979</v>
      </c>
      <c r="G63" t="s">
        <v>563</v>
      </c>
      <c r="H63" s="9">
        <v>6.99</v>
      </c>
      <c r="I63" s="3">
        <v>2</v>
      </c>
      <c r="J63" s="5" t="s">
        <v>68</v>
      </c>
      <c r="K63" s="15">
        <v>41650.752453703702</v>
      </c>
      <c r="L63" s="20">
        <f t="shared" si="0"/>
        <v>41650</v>
      </c>
      <c r="M63" t="str">
        <f t="shared" si="1"/>
        <v>01-2014</v>
      </c>
      <c r="N63">
        <f t="shared" si="2"/>
        <v>13.98</v>
      </c>
    </row>
    <row r="64" spans="3:14" x14ac:dyDescent="0.25">
      <c r="C64" t="str">
        <f>IF(COUNTBLANK(E64:K64) = 7,"",IF(AND(NOT(ISBLANK(E64)),COUNTBLANK(E64:K64) = 6),"3 Delete",IF(ISBLANK(E64),"2 Add",IF(SHA1Range(E64:K64) = "363006248825d6b5f6e7af7d3b655432ed2aad0d","0 Original","1 Modify"))))</f>
        <v>0 Original</v>
      </c>
      <c r="D64" s="5" t="s">
        <v>2339</v>
      </c>
      <c r="E64" s="3">
        <v>1388</v>
      </c>
      <c r="F64" t="s">
        <v>980</v>
      </c>
      <c r="G64" t="s">
        <v>560</v>
      </c>
      <c r="H64" s="9">
        <v>8.99</v>
      </c>
      <c r="I64" s="3">
        <v>1</v>
      </c>
      <c r="J64" s="5" t="s">
        <v>68</v>
      </c>
      <c r="K64" s="15">
        <v>41650.756828703707</v>
      </c>
      <c r="L64" s="20">
        <f t="shared" si="0"/>
        <v>41650</v>
      </c>
      <c r="M64" t="str">
        <f t="shared" si="1"/>
        <v>01-2014</v>
      </c>
      <c r="N64">
        <f t="shared" si="2"/>
        <v>8.99</v>
      </c>
    </row>
    <row r="65" spans="3:14" x14ac:dyDescent="0.25">
      <c r="C65" t="str">
        <f>IF(COUNTBLANK(E65:K65) = 7,"",IF(AND(NOT(ISBLANK(E65)),COUNTBLANK(E65:K65) = 6),"3 Delete",IF(ISBLANK(E65),"2 Add",IF(SHA1Range(E65:K65) = "9f1520d0ce6b398788faeb66b5fdbc19dcfd229f","0 Original","1 Modify"))))</f>
        <v>0 Original</v>
      </c>
      <c r="D65" s="5" t="s">
        <v>2340</v>
      </c>
      <c r="E65" s="3">
        <v>296</v>
      </c>
      <c r="F65" t="s">
        <v>981</v>
      </c>
      <c r="G65" t="s">
        <v>507</v>
      </c>
      <c r="H65" s="9">
        <v>6.99</v>
      </c>
      <c r="I65" s="3">
        <v>2</v>
      </c>
      <c r="J65" s="5" t="s">
        <v>68</v>
      </c>
      <c r="K65" s="15">
        <v>41651.022847222222</v>
      </c>
      <c r="L65" s="20">
        <f t="shared" si="0"/>
        <v>41651</v>
      </c>
      <c r="M65" t="str">
        <f t="shared" si="1"/>
        <v>01-2014</v>
      </c>
      <c r="N65">
        <f t="shared" si="2"/>
        <v>13.98</v>
      </c>
    </row>
    <row r="66" spans="3:14" x14ac:dyDescent="0.25">
      <c r="C66" t="str">
        <f>IF(COUNTBLANK(E66:K66) = 7,"",IF(AND(NOT(ISBLANK(E66)),COUNTBLANK(E66:K66) = 6),"3 Delete",IF(ISBLANK(E66),"2 Add",IF(SHA1Range(E66:K66) = "c8d001455cf86b06e701d73a5d9f9c4f7e5faeac","0 Original","1 Modify"))))</f>
        <v>0 Original</v>
      </c>
      <c r="D66" s="5" t="s">
        <v>2341</v>
      </c>
      <c r="E66" s="3">
        <v>297</v>
      </c>
      <c r="F66" t="s">
        <v>981</v>
      </c>
      <c r="G66" t="s">
        <v>607</v>
      </c>
      <c r="H66" s="9">
        <v>9.99</v>
      </c>
      <c r="I66" s="3">
        <v>1</v>
      </c>
      <c r="J66" s="5" t="s">
        <v>68</v>
      </c>
      <c r="K66" s="15">
        <v>41651.022847222222</v>
      </c>
      <c r="L66" s="20">
        <f t="shared" si="0"/>
        <v>41651</v>
      </c>
      <c r="M66" t="str">
        <f t="shared" si="1"/>
        <v>01-2014</v>
      </c>
      <c r="N66">
        <f t="shared" si="2"/>
        <v>9.99</v>
      </c>
    </row>
    <row r="67" spans="3:14" x14ac:dyDescent="0.25">
      <c r="C67" t="str">
        <f>IF(COUNTBLANK(E67:K67) = 7,"",IF(AND(NOT(ISBLANK(E67)),COUNTBLANK(E67:K67) = 6),"3 Delete",IF(ISBLANK(E67),"2 Add",IF(SHA1Range(E67:K67) = "761dc9bff1008e40c9516abb935b6ac91b86c0ef","0 Original","1 Modify"))))</f>
        <v>0 Original</v>
      </c>
      <c r="D67" s="5" t="s">
        <v>2342</v>
      </c>
      <c r="E67" s="3">
        <v>298</v>
      </c>
      <c r="F67" t="s">
        <v>981</v>
      </c>
      <c r="G67" t="s">
        <v>631</v>
      </c>
      <c r="H67" s="9">
        <v>5.99</v>
      </c>
      <c r="I67" s="3">
        <v>2</v>
      </c>
      <c r="J67" s="5" t="s">
        <v>68</v>
      </c>
      <c r="K67" s="15">
        <v>41651.022847222222</v>
      </c>
      <c r="L67" s="20">
        <f t="shared" ref="L67:L130" si="3">DATEVALUE(LEFT(F67,10))</f>
        <v>41651</v>
      </c>
      <c r="M67" t="str">
        <f t="shared" ref="M67:M130" si="4">TEXT(L67,"mm-yyyy")</f>
        <v>01-2014</v>
      </c>
      <c r="N67">
        <f t="shared" ref="N67:N130" si="5">H67*I67</f>
        <v>11.98</v>
      </c>
    </row>
    <row r="68" spans="3:14" x14ac:dyDescent="0.25">
      <c r="C68" t="str">
        <f>IF(COUNTBLANK(E68:K68) = 7,"",IF(AND(NOT(ISBLANK(E68)),COUNTBLANK(E68:K68) = 6),"3 Delete",IF(ISBLANK(E68),"2 Add",IF(SHA1Range(E68:K68) = "4675efdaf4edbf3974900e1f532e9d3f9d77c1fc","0 Original","1 Modify"))))</f>
        <v>0 Original</v>
      </c>
      <c r="D68" s="5" t="s">
        <v>2343</v>
      </c>
      <c r="E68" s="3">
        <v>2877</v>
      </c>
      <c r="F68" t="s">
        <v>982</v>
      </c>
      <c r="G68" t="s">
        <v>948</v>
      </c>
      <c r="H68" s="9">
        <v>4.99</v>
      </c>
      <c r="I68" s="3">
        <v>1</v>
      </c>
      <c r="J68" s="5" t="s">
        <v>68</v>
      </c>
      <c r="K68" s="15">
        <v>41651.236875000002</v>
      </c>
      <c r="L68" s="20">
        <f t="shared" si="3"/>
        <v>41651</v>
      </c>
      <c r="M68" t="str">
        <f t="shared" si="4"/>
        <v>01-2014</v>
      </c>
      <c r="N68">
        <f t="shared" si="5"/>
        <v>4.99</v>
      </c>
    </row>
    <row r="69" spans="3:14" x14ac:dyDescent="0.25">
      <c r="C69" t="str">
        <f>IF(COUNTBLANK(E69:K69) = 7,"",IF(AND(NOT(ISBLANK(E69)),COUNTBLANK(E69:K69) = 6),"3 Delete",IF(ISBLANK(E69),"2 Add",IF(SHA1Range(E69:K69) = "c6fcd63068766a0ed98bad06bdec8840e675becf","0 Original","1 Modify"))))</f>
        <v>0 Original</v>
      </c>
      <c r="D69" s="5" t="s">
        <v>2344</v>
      </c>
      <c r="E69" s="3">
        <v>2878</v>
      </c>
      <c r="F69" t="s">
        <v>982</v>
      </c>
      <c r="G69" t="s">
        <v>579</v>
      </c>
      <c r="H69" s="9">
        <v>9.99</v>
      </c>
      <c r="I69" s="3">
        <v>2</v>
      </c>
      <c r="J69" s="5" t="s">
        <v>68</v>
      </c>
      <c r="K69" s="15">
        <v>41651.236875000002</v>
      </c>
      <c r="L69" s="20">
        <f t="shared" si="3"/>
        <v>41651</v>
      </c>
      <c r="M69" t="str">
        <f t="shared" si="4"/>
        <v>01-2014</v>
      </c>
      <c r="N69">
        <f t="shared" si="5"/>
        <v>19.98</v>
      </c>
    </row>
    <row r="70" spans="3:14" x14ac:dyDescent="0.25">
      <c r="C70" t="str">
        <f>IF(COUNTBLANK(E70:K70) = 7,"",IF(AND(NOT(ISBLANK(E70)),COUNTBLANK(E70:K70) = 6),"3 Delete",IF(ISBLANK(E70),"2 Add",IF(SHA1Range(E70:K70) = "848d4d958289ee6d0f554fef0da7bc352728bc50","0 Original","1 Modify"))))</f>
        <v>0 Original</v>
      </c>
      <c r="D70" s="5" t="s">
        <v>2345</v>
      </c>
      <c r="E70" s="3">
        <v>2879</v>
      </c>
      <c r="F70" t="s">
        <v>982</v>
      </c>
      <c r="G70" t="s">
        <v>552</v>
      </c>
      <c r="H70" s="9">
        <v>6.99</v>
      </c>
      <c r="I70" s="3">
        <v>1</v>
      </c>
      <c r="J70" s="5" t="s">
        <v>68</v>
      </c>
      <c r="K70" s="15">
        <v>41651.236875000002</v>
      </c>
      <c r="L70" s="20">
        <f t="shared" si="3"/>
        <v>41651</v>
      </c>
      <c r="M70" t="str">
        <f t="shared" si="4"/>
        <v>01-2014</v>
      </c>
      <c r="N70">
        <f t="shared" si="5"/>
        <v>6.99</v>
      </c>
    </row>
    <row r="71" spans="3:14" x14ac:dyDescent="0.25">
      <c r="C71" t="str">
        <f>IF(COUNTBLANK(E71:K71) = 7,"",IF(AND(NOT(ISBLANK(E71)),COUNTBLANK(E71:K71) = 6),"3 Delete",IF(ISBLANK(E71),"2 Add",IF(SHA1Range(E71:K71) = "fa62ad04b19ecfcfd390a9d0e21d57e069f6285b","0 Original","1 Modify"))))</f>
        <v>0 Original</v>
      </c>
      <c r="D71" s="5" t="s">
        <v>2346</v>
      </c>
      <c r="E71" s="3">
        <v>3386</v>
      </c>
      <c r="F71" t="s">
        <v>983</v>
      </c>
      <c r="G71" t="s">
        <v>642</v>
      </c>
      <c r="H71" s="9">
        <v>9.99</v>
      </c>
      <c r="I71" s="3">
        <v>1</v>
      </c>
      <c r="J71" s="5" t="s">
        <v>68</v>
      </c>
      <c r="K71" s="15">
        <v>41652.287499999999</v>
      </c>
      <c r="L71" s="20">
        <f t="shared" si="3"/>
        <v>41652</v>
      </c>
      <c r="M71" t="str">
        <f t="shared" si="4"/>
        <v>01-2014</v>
      </c>
      <c r="N71">
        <f t="shared" si="5"/>
        <v>9.99</v>
      </c>
    </row>
    <row r="72" spans="3:14" x14ac:dyDescent="0.25">
      <c r="C72" t="str">
        <f>IF(COUNTBLANK(E72:K72) = 7,"",IF(AND(NOT(ISBLANK(E72)),COUNTBLANK(E72:K72) = 6),"3 Delete",IF(ISBLANK(E72),"2 Add",IF(SHA1Range(E72:K72) = "4b75e107297e407ab0d9b01a50797424260c0cc5","0 Original","1 Modify"))))</f>
        <v>0 Original</v>
      </c>
      <c r="D72" s="5" t="s">
        <v>2347</v>
      </c>
      <c r="E72" s="3">
        <v>3387</v>
      </c>
      <c r="F72" t="s">
        <v>983</v>
      </c>
      <c r="G72" t="s">
        <v>642</v>
      </c>
      <c r="H72" s="9">
        <v>9.99</v>
      </c>
      <c r="I72" s="3">
        <v>1</v>
      </c>
      <c r="J72" s="5" t="s">
        <v>68</v>
      </c>
      <c r="K72" s="15">
        <v>41652.287499999999</v>
      </c>
      <c r="L72" s="20">
        <f t="shared" si="3"/>
        <v>41652</v>
      </c>
      <c r="M72" t="str">
        <f t="shared" si="4"/>
        <v>01-2014</v>
      </c>
      <c r="N72">
        <f t="shared" si="5"/>
        <v>9.99</v>
      </c>
    </row>
    <row r="73" spans="3:14" x14ac:dyDescent="0.25">
      <c r="C73" t="str">
        <f>IF(COUNTBLANK(E73:K73) = 7,"",IF(AND(NOT(ISBLANK(E73)),COUNTBLANK(E73:K73) = 6),"3 Delete",IF(ISBLANK(E73),"2 Add",IF(SHA1Range(E73:K73) = "076f5d675e694a08963437b9b2971748dc5af40b","0 Original","1 Modify"))))</f>
        <v>0 Original</v>
      </c>
      <c r="D73" s="5" t="s">
        <v>2348</v>
      </c>
      <c r="E73" s="3">
        <v>3388</v>
      </c>
      <c r="F73" t="s">
        <v>983</v>
      </c>
      <c r="G73" t="s">
        <v>373</v>
      </c>
      <c r="H73" s="9">
        <v>7.99</v>
      </c>
      <c r="I73" s="3">
        <v>2</v>
      </c>
      <c r="J73" s="5" t="s">
        <v>68</v>
      </c>
      <c r="K73" s="15">
        <v>41652.287499999999</v>
      </c>
      <c r="L73" s="20">
        <f t="shared" si="3"/>
        <v>41652</v>
      </c>
      <c r="M73" t="str">
        <f t="shared" si="4"/>
        <v>01-2014</v>
      </c>
      <c r="N73">
        <f t="shared" si="5"/>
        <v>15.98</v>
      </c>
    </row>
    <row r="74" spans="3:14" x14ac:dyDescent="0.25">
      <c r="C74" t="str">
        <f>IF(COUNTBLANK(E74:K74) = 7,"",IF(AND(NOT(ISBLANK(E74)),COUNTBLANK(E74:K74) = 6),"3 Delete",IF(ISBLANK(E74),"2 Add",IF(SHA1Range(E74:K74) = "7df459fb604a4f17ffb9bccaba8224136f427f89","0 Original","1 Modify"))))</f>
        <v>0 Original</v>
      </c>
      <c r="D74" s="5" t="s">
        <v>2349</v>
      </c>
      <c r="E74" s="3">
        <v>3389</v>
      </c>
      <c r="F74" t="s">
        <v>983</v>
      </c>
      <c r="G74" t="s">
        <v>400</v>
      </c>
      <c r="H74" s="9">
        <v>4.99</v>
      </c>
      <c r="I74" s="3">
        <v>1</v>
      </c>
      <c r="J74" s="5" t="s">
        <v>68</v>
      </c>
      <c r="K74" s="15">
        <v>41652.287499999999</v>
      </c>
      <c r="L74" s="20">
        <f t="shared" si="3"/>
        <v>41652</v>
      </c>
      <c r="M74" t="str">
        <f t="shared" si="4"/>
        <v>01-2014</v>
      </c>
      <c r="N74">
        <f t="shared" si="5"/>
        <v>4.99</v>
      </c>
    </row>
    <row r="75" spans="3:14" x14ac:dyDescent="0.25">
      <c r="C75" t="str">
        <f>IF(COUNTBLANK(E75:K75) = 7,"",IF(AND(NOT(ISBLANK(E75)),COUNTBLANK(E75:K75) = 6),"3 Delete",IF(ISBLANK(E75),"2 Add",IF(SHA1Range(E75:K75) = "673f85374d6e6364be6160210e7f470c11d709ff","0 Original","1 Modify"))))</f>
        <v>0 Original</v>
      </c>
      <c r="D75" s="5" t="s">
        <v>2350</v>
      </c>
      <c r="E75" s="3">
        <v>2934</v>
      </c>
      <c r="F75" t="s">
        <v>984</v>
      </c>
      <c r="G75" t="s">
        <v>749</v>
      </c>
      <c r="H75" s="9">
        <v>5.99</v>
      </c>
      <c r="I75" s="3">
        <v>1</v>
      </c>
      <c r="J75" s="5" t="s">
        <v>68</v>
      </c>
      <c r="K75" s="15">
        <v>41652.355092592596</v>
      </c>
      <c r="L75" s="20">
        <f t="shared" si="3"/>
        <v>41652</v>
      </c>
      <c r="M75" t="str">
        <f t="shared" si="4"/>
        <v>01-2014</v>
      </c>
      <c r="N75">
        <f t="shared" si="5"/>
        <v>5.99</v>
      </c>
    </row>
    <row r="76" spans="3:14" x14ac:dyDescent="0.25">
      <c r="C76" t="str">
        <f>IF(COUNTBLANK(E76:K76) = 7,"",IF(AND(NOT(ISBLANK(E76)),COUNTBLANK(E76:K76) = 6),"3 Delete",IF(ISBLANK(E76),"2 Add",IF(SHA1Range(E76:K76) = "9534c680cde425214189ac1b9f02b4b642c3fe78","0 Original","1 Modify"))))</f>
        <v>0 Original</v>
      </c>
      <c r="D76" s="5" t="s">
        <v>2351</v>
      </c>
      <c r="E76" s="3">
        <v>2935</v>
      </c>
      <c r="F76" t="s">
        <v>984</v>
      </c>
      <c r="G76" t="s">
        <v>514</v>
      </c>
      <c r="H76" s="9">
        <v>6.99</v>
      </c>
      <c r="I76" s="3">
        <v>2</v>
      </c>
      <c r="J76" s="5" t="s">
        <v>68</v>
      </c>
      <c r="K76" s="15">
        <v>41652.355092592596</v>
      </c>
      <c r="L76" s="20">
        <f t="shared" si="3"/>
        <v>41652</v>
      </c>
      <c r="M76" t="str">
        <f t="shared" si="4"/>
        <v>01-2014</v>
      </c>
      <c r="N76">
        <f t="shared" si="5"/>
        <v>13.98</v>
      </c>
    </row>
    <row r="77" spans="3:14" x14ac:dyDescent="0.25">
      <c r="C77" t="str">
        <f>IF(COUNTBLANK(E77:K77) = 7,"",IF(AND(NOT(ISBLANK(E77)),COUNTBLANK(E77:K77) = 6),"3 Delete",IF(ISBLANK(E77),"2 Add",IF(SHA1Range(E77:K77) = "53d953f18779a481bbb3dab9322378ec9e575178","0 Original","1 Modify"))))</f>
        <v>0 Original</v>
      </c>
      <c r="D77" s="5" t="s">
        <v>2352</v>
      </c>
      <c r="E77" s="3">
        <v>2936</v>
      </c>
      <c r="F77" t="s">
        <v>984</v>
      </c>
      <c r="G77" t="s">
        <v>579</v>
      </c>
      <c r="H77" s="9">
        <v>9.99</v>
      </c>
      <c r="I77" s="3">
        <v>3</v>
      </c>
      <c r="J77" s="5" t="s">
        <v>68</v>
      </c>
      <c r="K77" s="15">
        <v>41652.355092592596</v>
      </c>
      <c r="L77" s="20">
        <f t="shared" si="3"/>
        <v>41652</v>
      </c>
      <c r="M77" t="str">
        <f t="shared" si="4"/>
        <v>01-2014</v>
      </c>
      <c r="N77">
        <f t="shared" si="5"/>
        <v>29.97</v>
      </c>
    </row>
    <row r="78" spans="3:14" x14ac:dyDescent="0.25">
      <c r="C78" t="str">
        <f>IF(COUNTBLANK(E78:K78) = 7,"",IF(AND(NOT(ISBLANK(E78)),COUNTBLANK(E78:K78) = 6),"3 Delete",IF(ISBLANK(E78),"2 Add",IF(SHA1Range(E78:K78) = "1e07959e0b22a945e2274b6298540ba751abbc68","0 Original","1 Modify"))))</f>
        <v>0 Original</v>
      </c>
      <c r="D78" s="5" t="s">
        <v>2353</v>
      </c>
      <c r="E78" s="3">
        <v>2937</v>
      </c>
      <c r="F78" t="s">
        <v>984</v>
      </c>
      <c r="G78" t="s">
        <v>400</v>
      </c>
      <c r="H78" s="9">
        <v>4.99</v>
      </c>
      <c r="I78" s="3">
        <v>2</v>
      </c>
      <c r="J78" s="5" t="s">
        <v>68</v>
      </c>
      <c r="K78" s="15">
        <v>41652.355092592596</v>
      </c>
      <c r="L78" s="20">
        <f t="shared" si="3"/>
        <v>41652</v>
      </c>
      <c r="M78" t="str">
        <f t="shared" si="4"/>
        <v>01-2014</v>
      </c>
      <c r="N78">
        <f t="shared" si="5"/>
        <v>9.98</v>
      </c>
    </row>
    <row r="79" spans="3:14" x14ac:dyDescent="0.25">
      <c r="C79" t="str">
        <f>IF(COUNTBLANK(E79:K79) = 7,"",IF(AND(NOT(ISBLANK(E79)),COUNTBLANK(E79:K79) = 6),"3 Delete",IF(ISBLANK(E79),"2 Add",IF(SHA1Range(E79:K79) = "20408424f8ae9b650ab1fa1d3b219489e73c9352","0 Original","1 Modify"))))</f>
        <v>0 Original</v>
      </c>
      <c r="D79" s="5" t="s">
        <v>2354</v>
      </c>
      <c r="E79" s="3">
        <v>1200</v>
      </c>
      <c r="F79" t="s">
        <v>985</v>
      </c>
      <c r="G79" t="s">
        <v>396</v>
      </c>
      <c r="H79" s="9">
        <v>8.99</v>
      </c>
      <c r="I79" s="3">
        <v>2</v>
      </c>
      <c r="J79" s="5" t="s">
        <v>68</v>
      </c>
      <c r="K79" s="15">
        <v>41653.031539351854</v>
      </c>
      <c r="L79" s="20">
        <f t="shared" si="3"/>
        <v>41653</v>
      </c>
      <c r="M79" t="str">
        <f t="shared" si="4"/>
        <v>01-2014</v>
      </c>
      <c r="N79">
        <f t="shared" si="5"/>
        <v>17.98</v>
      </c>
    </row>
    <row r="80" spans="3:14" x14ac:dyDescent="0.25">
      <c r="C80" t="str">
        <f>IF(COUNTBLANK(E80:K80) = 7,"",IF(AND(NOT(ISBLANK(E80)),COUNTBLANK(E80:K80) = 6),"3 Delete",IF(ISBLANK(E80),"2 Add",IF(SHA1Range(E80:K80) = "02f1950d0ca8cecd9c54359e103e787770c2e833","0 Original","1 Modify"))))</f>
        <v>0 Original</v>
      </c>
      <c r="D80" s="5" t="s">
        <v>2355</v>
      </c>
      <c r="E80" s="3">
        <v>1201</v>
      </c>
      <c r="F80" t="s">
        <v>985</v>
      </c>
      <c r="G80" t="s">
        <v>680</v>
      </c>
      <c r="H80" s="9">
        <v>8.99</v>
      </c>
      <c r="I80" s="3">
        <v>1</v>
      </c>
      <c r="J80" s="5" t="s">
        <v>68</v>
      </c>
      <c r="K80" s="15">
        <v>41653.031539351854</v>
      </c>
      <c r="L80" s="20">
        <f t="shared" si="3"/>
        <v>41653</v>
      </c>
      <c r="M80" t="str">
        <f t="shared" si="4"/>
        <v>01-2014</v>
      </c>
      <c r="N80">
        <f t="shared" si="5"/>
        <v>8.99</v>
      </c>
    </row>
    <row r="81" spans="3:14" x14ac:dyDescent="0.25">
      <c r="C81" t="str">
        <f>IF(COUNTBLANK(E81:K81) = 7,"",IF(AND(NOT(ISBLANK(E81)),COUNTBLANK(E81:K81) = 6),"3 Delete",IF(ISBLANK(E81),"2 Add",IF(SHA1Range(E81:K81) = "52d4c6f835364a48d889c03c7e540c5097257023","0 Original","1 Modify"))))</f>
        <v>0 Original</v>
      </c>
      <c r="D81" s="5" t="s">
        <v>2356</v>
      </c>
      <c r="E81" s="3">
        <v>1202</v>
      </c>
      <c r="F81" t="s">
        <v>985</v>
      </c>
      <c r="G81" t="s">
        <v>585</v>
      </c>
      <c r="H81" s="9">
        <v>9.99</v>
      </c>
      <c r="I81" s="3">
        <v>1</v>
      </c>
      <c r="J81" s="5" t="s">
        <v>68</v>
      </c>
      <c r="K81" s="15">
        <v>41653.031539351854</v>
      </c>
      <c r="L81" s="20">
        <f t="shared" si="3"/>
        <v>41653</v>
      </c>
      <c r="M81" t="str">
        <f t="shared" si="4"/>
        <v>01-2014</v>
      </c>
      <c r="N81">
        <f t="shared" si="5"/>
        <v>9.99</v>
      </c>
    </row>
    <row r="82" spans="3:14" x14ac:dyDescent="0.25">
      <c r="C82" t="str">
        <f>IF(COUNTBLANK(E82:K82) = 7,"",IF(AND(NOT(ISBLANK(E82)),COUNTBLANK(E82:K82) = 6),"3 Delete",IF(ISBLANK(E82),"2 Add",IF(SHA1Range(E82:K82) = "fafe37f9af1db4b50c73570cf42d0ad6268dc35f","0 Original","1 Modify"))))</f>
        <v>0 Original</v>
      </c>
      <c r="D82" s="5" t="s">
        <v>2357</v>
      </c>
      <c r="E82" s="3">
        <v>2135</v>
      </c>
      <c r="F82" t="s">
        <v>986</v>
      </c>
      <c r="G82" t="s">
        <v>771</v>
      </c>
      <c r="H82" s="9">
        <v>9.99</v>
      </c>
      <c r="I82" s="3">
        <v>2</v>
      </c>
      <c r="J82" s="5" t="s">
        <v>68</v>
      </c>
      <c r="K82" s="15">
        <v>41653.80878472222</v>
      </c>
      <c r="L82" s="20">
        <f t="shared" si="3"/>
        <v>41653</v>
      </c>
      <c r="M82" t="str">
        <f t="shared" si="4"/>
        <v>01-2014</v>
      </c>
      <c r="N82">
        <f t="shared" si="5"/>
        <v>19.98</v>
      </c>
    </row>
    <row r="83" spans="3:14" x14ac:dyDescent="0.25">
      <c r="C83" t="str">
        <f>IF(COUNTBLANK(E83:K83) = 7,"",IF(AND(NOT(ISBLANK(E83)),COUNTBLANK(E83:K83) = 6),"3 Delete",IF(ISBLANK(E83),"2 Add",IF(SHA1Range(E83:K83) = "81a9dd34085160b7d1ede629f4cde5e3f74769e5","0 Original","1 Modify"))))</f>
        <v>0 Original</v>
      </c>
      <c r="D83" s="5" t="s">
        <v>2358</v>
      </c>
      <c r="E83" s="3">
        <v>2136</v>
      </c>
      <c r="F83" t="s">
        <v>986</v>
      </c>
      <c r="G83" t="s">
        <v>735</v>
      </c>
      <c r="H83" s="9">
        <v>4.99</v>
      </c>
      <c r="I83" s="3">
        <v>1</v>
      </c>
      <c r="J83" s="5" t="s">
        <v>68</v>
      </c>
      <c r="K83" s="15">
        <v>41653.80878472222</v>
      </c>
      <c r="L83" s="20">
        <f t="shared" si="3"/>
        <v>41653</v>
      </c>
      <c r="M83" t="str">
        <f t="shared" si="4"/>
        <v>01-2014</v>
      </c>
      <c r="N83">
        <f t="shared" si="5"/>
        <v>4.99</v>
      </c>
    </row>
    <row r="84" spans="3:14" x14ac:dyDescent="0.25">
      <c r="C84" t="str">
        <f>IF(COUNTBLANK(E84:K84) = 7,"",IF(AND(NOT(ISBLANK(E84)),COUNTBLANK(E84:K84) = 6),"3 Delete",IF(ISBLANK(E84),"2 Add",IF(SHA1Range(E84:K84) = "c4ff1daf1fc144c35ea705b527d524bbc255205d","0 Original","1 Modify"))))</f>
        <v>0 Original</v>
      </c>
      <c r="D84" s="5" t="s">
        <v>2359</v>
      </c>
      <c r="E84" s="3">
        <v>2137</v>
      </c>
      <c r="F84" t="s">
        <v>986</v>
      </c>
      <c r="G84" t="s">
        <v>704</v>
      </c>
      <c r="H84" s="9">
        <v>4.99</v>
      </c>
      <c r="I84" s="3">
        <v>2</v>
      </c>
      <c r="J84" s="5" t="s">
        <v>68</v>
      </c>
      <c r="K84" s="15">
        <v>41653.80878472222</v>
      </c>
      <c r="L84" s="20">
        <f t="shared" si="3"/>
        <v>41653</v>
      </c>
      <c r="M84" t="str">
        <f t="shared" si="4"/>
        <v>01-2014</v>
      </c>
      <c r="N84">
        <f t="shared" si="5"/>
        <v>9.98</v>
      </c>
    </row>
    <row r="85" spans="3:14" x14ac:dyDescent="0.25">
      <c r="C85" t="str">
        <f>IF(COUNTBLANK(E85:K85) = 7,"",IF(AND(NOT(ISBLANK(E85)),COUNTBLANK(E85:K85) = 6),"3 Delete",IF(ISBLANK(E85),"2 Add",IF(SHA1Range(E85:K85) = "8e9b29670bd500a5fd382fa75fc01e586c1337b1","0 Original","1 Modify"))))</f>
        <v>0 Original</v>
      </c>
      <c r="D85" s="5" t="s">
        <v>2360</v>
      </c>
      <c r="E85" s="3">
        <v>2138</v>
      </c>
      <c r="F85" t="s">
        <v>986</v>
      </c>
      <c r="G85" t="s">
        <v>869</v>
      </c>
      <c r="H85" s="9">
        <v>4.99</v>
      </c>
      <c r="I85" s="3">
        <v>1</v>
      </c>
      <c r="J85" s="5" t="s">
        <v>68</v>
      </c>
      <c r="K85" s="15">
        <v>41653.80878472222</v>
      </c>
      <c r="L85" s="20">
        <f t="shared" si="3"/>
        <v>41653</v>
      </c>
      <c r="M85" t="str">
        <f t="shared" si="4"/>
        <v>01-2014</v>
      </c>
      <c r="N85">
        <f t="shared" si="5"/>
        <v>4.99</v>
      </c>
    </row>
    <row r="86" spans="3:14" x14ac:dyDescent="0.25">
      <c r="C86" t="str">
        <f>IF(COUNTBLANK(E86:K86) = 7,"",IF(AND(NOT(ISBLANK(E86)),COUNTBLANK(E86:K86) = 6),"3 Delete",IF(ISBLANK(E86),"2 Add",IF(SHA1Range(E86:K86) = "c4917e30e0e3e13b89dcd8be85f3d90a1df3a47d","0 Original","1 Modify"))))</f>
        <v>0 Original</v>
      </c>
      <c r="D86" s="5" t="s">
        <v>2361</v>
      </c>
      <c r="E86" s="3">
        <v>2139</v>
      </c>
      <c r="F86" t="s">
        <v>986</v>
      </c>
      <c r="G86" t="s">
        <v>563</v>
      </c>
      <c r="H86" s="9">
        <v>6.99</v>
      </c>
      <c r="I86" s="3">
        <v>1</v>
      </c>
      <c r="J86" s="5" t="s">
        <v>68</v>
      </c>
      <c r="K86" s="15">
        <v>41653.80878472222</v>
      </c>
      <c r="L86" s="20">
        <f t="shared" si="3"/>
        <v>41653</v>
      </c>
      <c r="M86" t="str">
        <f t="shared" si="4"/>
        <v>01-2014</v>
      </c>
      <c r="N86">
        <f t="shared" si="5"/>
        <v>6.99</v>
      </c>
    </row>
    <row r="87" spans="3:14" x14ac:dyDescent="0.25">
      <c r="C87" t="str">
        <f>IF(COUNTBLANK(E87:K87) = 7,"",IF(AND(NOT(ISBLANK(E87)),COUNTBLANK(E87:K87) = 6),"3 Delete",IF(ISBLANK(E87),"2 Add",IF(SHA1Range(E87:K87) = "a406f5e3198249cea754a17205ae767a3845c579","0 Original","1 Modify"))))</f>
        <v>0 Original</v>
      </c>
      <c r="D87" s="5" t="s">
        <v>2362</v>
      </c>
      <c r="E87" s="3">
        <v>943</v>
      </c>
      <c r="F87" t="s">
        <v>987</v>
      </c>
      <c r="G87" t="s">
        <v>869</v>
      </c>
      <c r="H87" s="9">
        <v>4.99</v>
      </c>
      <c r="I87" s="3">
        <v>1</v>
      </c>
      <c r="J87" s="5" t="s">
        <v>68</v>
      </c>
      <c r="K87" s="15">
        <v>41653.876655092594</v>
      </c>
      <c r="L87" s="20">
        <f t="shared" si="3"/>
        <v>41653</v>
      </c>
      <c r="M87" t="str">
        <f t="shared" si="4"/>
        <v>01-2014</v>
      </c>
      <c r="N87">
        <f t="shared" si="5"/>
        <v>4.99</v>
      </c>
    </row>
    <row r="88" spans="3:14" x14ac:dyDescent="0.25">
      <c r="C88" t="str">
        <f>IF(COUNTBLANK(E88:K88) = 7,"",IF(AND(NOT(ISBLANK(E88)),COUNTBLANK(E88:K88) = 6),"3 Delete",IF(ISBLANK(E88),"2 Add",IF(SHA1Range(E88:K88) = "e6615a53ed4695d5d12f5a96e101a827c4435442","0 Original","1 Modify"))))</f>
        <v>0 Original</v>
      </c>
      <c r="D88" s="5" t="s">
        <v>2363</v>
      </c>
      <c r="E88" s="3">
        <v>2288</v>
      </c>
      <c r="F88" t="s">
        <v>988</v>
      </c>
      <c r="G88" t="s">
        <v>697</v>
      </c>
      <c r="H88" s="9">
        <v>5.99</v>
      </c>
      <c r="I88" s="3">
        <v>1</v>
      </c>
      <c r="J88" s="5" t="s">
        <v>68</v>
      </c>
      <c r="K88" s="15">
        <v>41654.298807870371</v>
      </c>
      <c r="L88" s="20">
        <f t="shared" si="3"/>
        <v>41654</v>
      </c>
      <c r="M88" t="str">
        <f t="shared" si="4"/>
        <v>01-2014</v>
      </c>
      <c r="N88">
        <f t="shared" si="5"/>
        <v>5.99</v>
      </c>
    </row>
    <row r="89" spans="3:14" x14ac:dyDescent="0.25">
      <c r="C89" t="str">
        <f>IF(COUNTBLANK(E89:K89) = 7,"",IF(AND(NOT(ISBLANK(E89)),COUNTBLANK(E89:K89) = 6),"3 Delete",IF(ISBLANK(E89),"2 Add",IF(SHA1Range(E89:K89) = "9e107cfd673573593d8fd5aea29cf65265530c78","0 Original","1 Modify"))))</f>
        <v>0 Original</v>
      </c>
      <c r="D89" s="5" t="s">
        <v>2364</v>
      </c>
      <c r="E89" s="3">
        <v>2289</v>
      </c>
      <c r="F89" t="s">
        <v>988</v>
      </c>
      <c r="G89" t="s">
        <v>684</v>
      </c>
      <c r="H89" s="9">
        <v>8.99</v>
      </c>
      <c r="I89" s="3">
        <v>2</v>
      </c>
      <c r="J89" s="5" t="s">
        <v>68</v>
      </c>
      <c r="K89" s="15">
        <v>41654.298807870371</v>
      </c>
      <c r="L89" s="20">
        <f t="shared" si="3"/>
        <v>41654</v>
      </c>
      <c r="M89" t="str">
        <f t="shared" si="4"/>
        <v>01-2014</v>
      </c>
      <c r="N89">
        <f t="shared" si="5"/>
        <v>17.98</v>
      </c>
    </row>
    <row r="90" spans="3:14" x14ac:dyDescent="0.25">
      <c r="C90" t="str">
        <f>IF(COUNTBLANK(E90:K90) = 7,"",IF(AND(NOT(ISBLANK(E90)),COUNTBLANK(E90:K90) = 6),"3 Delete",IF(ISBLANK(E90),"2 Add",IF(SHA1Range(E90:K90) = "0c014fe4e9ea370e95d68edec24b971167d9b9be","0 Original","1 Modify"))))</f>
        <v>0 Original</v>
      </c>
      <c r="D90" s="5" t="s">
        <v>2365</v>
      </c>
      <c r="E90" s="3">
        <v>2290</v>
      </c>
      <c r="F90" t="s">
        <v>988</v>
      </c>
      <c r="G90" t="s">
        <v>897</v>
      </c>
      <c r="H90" s="9">
        <v>6.99</v>
      </c>
      <c r="I90" s="3">
        <v>1</v>
      </c>
      <c r="J90" s="5" t="s">
        <v>68</v>
      </c>
      <c r="K90" s="15">
        <v>41654.298807870371</v>
      </c>
      <c r="L90" s="20">
        <f t="shared" si="3"/>
        <v>41654</v>
      </c>
      <c r="M90" t="str">
        <f t="shared" si="4"/>
        <v>01-2014</v>
      </c>
      <c r="N90">
        <f t="shared" si="5"/>
        <v>6.99</v>
      </c>
    </row>
    <row r="91" spans="3:14" x14ac:dyDescent="0.25">
      <c r="C91" t="str">
        <f>IF(COUNTBLANK(E91:K91) = 7,"",IF(AND(NOT(ISBLANK(E91)),COUNTBLANK(E91:K91) = 6),"3 Delete",IF(ISBLANK(E91),"2 Add",IF(SHA1Range(E91:K91) = "cd08edc47c4b83ededb5c6cd9de44b02c85565ef","0 Original","1 Modify"))))</f>
        <v>0 Original</v>
      </c>
      <c r="D91" s="5" t="s">
        <v>2366</v>
      </c>
      <c r="E91" s="3">
        <v>2291</v>
      </c>
      <c r="F91" t="s">
        <v>988</v>
      </c>
      <c r="G91" t="s">
        <v>588</v>
      </c>
      <c r="H91" s="9">
        <v>4.99</v>
      </c>
      <c r="I91" s="3">
        <v>2</v>
      </c>
      <c r="J91" s="5" t="s">
        <v>68</v>
      </c>
      <c r="K91" s="15">
        <v>41654.298807870371</v>
      </c>
      <c r="L91" s="20">
        <f t="shared" si="3"/>
        <v>41654</v>
      </c>
      <c r="M91" t="str">
        <f t="shared" si="4"/>
        <v>01-2014</v>
      </c>
      <c r="N91">
        <f t="shared" si="5"/>
        <v>9.98</v>
      </c>
    </row>
    <row r="92" spans="3:14" x14ac:dyDescent="0.25">
      <c r="C92" t="str">
        <f>IF(COUNTBLANK(E92:K92) = 7,"",IF(AND(NOT(ISBLANK(E92)),COUNTBLANK(E92:K92) = 6),"3 Delete",IF(ISBLANK(E92),"2 Add",IF(SHA1Range(E92:K92) = "0e0fd26f50f7240d17bf85189f1b3d7895c77c0b","0 Original","1 Modify"))))</f>
        <v>0 Original</v>
      </c>
      <c r="D92" s="5" t="s">
        <v>2367</v>
      </c>
      <c r="E92" s="3">
        <v>803</v>
      </c>
      <c r="F92" t="s">
        <v>989</v>
      </c>
      <c r="G92" t="s">
        <v>507</v>
      </c>
      <c r="H92" s="9">
        <v>6.99</v>
      </c>
      <c r="I92" s="3">
        <v>1</v>
      </c>
      <c r="J92" s="5" t="s">
        <v>68</v>
      </c>
      <c r="K92" s="15">
        <v>41654.465555555558</v>
      </c>
      <c r="L92" s="20">
        <f t="shared" si="3"/>
        <v>41654</v>
      </c>
      <c r="M92" t="str">
        <f t="shared" si="4"/>
        <v>01-2014</v>
      </c>
      <c r="N92">
        <f t="shared" si="5"/>
        <v>6.99</v>
      </c>
    </row>
    <row r="93" spans="3:14" x14ac:dyDescent="0.25">
      <c r="C93" t="str">
        <f>IF(COUNTBLANK(E93:K93) = 7,"",IF(AND(NOT(ISBLANK(E93)),COUNTBLANK(E93:K93) = 6),"3 Delete",IF(ISBLANK(E93),"2 Add",IF(SHA1Range(E93:K93) = "94422b2ea3f63bc43a915e1475a78f21b40acd3a","0 Original","1 Modify"))))</f>
        <v>0 Original</v>
      </c>
      <c r="D93" s="5" t="s">
        <v>2368</v>
      </c>
      <c r="E93" s="3">
        <v>804</v>
      </c>
      <c r="F93" t="s">
        <v>989</v>
      </c>
      <c r="G93" t="s">
        <v>445</v>
      </c>
      <c r="H93" s="9">
        <v>7.99</v>
      </c>
      <c r="I93" s="3">
        <v>1</v>
      </c>
      <c r="J93" s="5" t="s">
        <v>68</v>
      </c>
      <c r="K93" s="15">
        <v>41654.465555555558</v>
      </c>
      <c r="L93" s="20">
        <f t="shared" si="3"/>
        <v>41654</v>
      </c>
      <c r="M93" t="str">
        <f t="shared" si="4"/>
        <v>01-2014</v>
      </c>
      <c r="N93">
        <f t="shared" si="5"/>
        <v>7.99</v>
      </c>
    </row>
    <row r="94" spans="3:14" x14ac:dyDescent="0.25">
      <c r="C94" t="str">
        <f>IF(COUNTBLANK(E94:K94) = 7,"",IF(AND(NOT(ISBLANK(E94)),COUNTBLANK(E94:K94) = 6),"3 Delete",IF(ISBLANK(E94),"2 Add",IF(SHA1Range(E94:K94) = "cd33850f606e222222eac688bc4b7d49ef803b16","0 Original","1 Modify"))))</f>
        <v>0 Original</v>
      </c>
      <c r="D94" s="5" t="s">
        <v>2369</v>
      </c>
      <c r="E94" s="3">
        <v>2988</v>
      </c>
      <c r="F94" t="s">
        <v>990</v>
      </c>
      <c r="G94" t="s">
        <v>552</v>
      </c>
      <c r="H94" s="9">
        <v>6.99</v>
      </c>
      <c r="I94" s="3">
        <v>2</v>
      </c>
      <c r="J94" s="5" t="s">
        <v>68</v>
      </c>
      <c r="K94" s="15">
        <v>41654.686909722222</v>
      </c>
      <c r="L94" s="20">
        <f t="shared" si="3"/>
        <v>41654</v>
      </c>
      <c r="M94" t="str">
        <f t="shared" si="4"/>
        <v>01-2014</v>
      </c>
      <c r="N94">
        <f t="shared" si="5"/>
        <v>13.98</v>
      </c>
    </row>
    <row r="95" spans="3:14" x14ac:dyDescent="0.25">
      <c r="C95" t="str">
        <f>IF(COUNTBLANK(E95:K95) = 7,"",IF(AND(NOT(ISBLANK(E95)),COUNTBLANK(E95:K95) = 6),"3 Delete",IF(ISBLANK(E95),"2 Add",IF(SHA1Range(E95:K95) = "de8ead92650999ffeffa53f71acd45dc79a48861","0 Original","1 Modify"))))</f>
        <v>0 Original</v>
      </c>
      <c r="D95" s="5" t="s">
        <v>2370</v>
      </c>
      <c r="E95" s="3">
        <v>2989</v>
      </c>
      <c r="F95" t="s">
        <v>990</v>
      </c>
      <c r="G95" t="s">
        <v>579</v>
      </c>
      <c r="H95" s="9">
        <v>9.99</v>
      </c>
      <c r="I95" s="3">
        <v>1</v>
      </c>
      <c r="J95" s="5" t="s">
        <v>68</v>
      </c>
      <c r="K95" s="15">
        <v>41654.686909722222</v>
      </c>
      <c r="L95" s="20">
        <f t="shared" si="3"/>
        <v>41654</v>
      </c>
      <c r="M95" t="str">
        <f t="shared" si="4"/>
        <v>01-2014</v>
      </c>
      <c r="N95">
        <f t="shared" si="5"/>
        <v>9.99</v>
      </c>
    </row>
    <row r="96" spans="3:14" x14ac:dyDescent="0.25">
      <c r="C96" t="str">
        <f>IF(COUNTBLANK(E96:K96) = 7,"",IF(AND(NOT(ISBLANK(E96)),COUNTBLANK(E96:K96) = 6),"3 Delete",IF(ISBLANK(E96),"2 Add",IF(SHA1Range(E96:K96) = "d13291fc496b341150107910d37ce136da884516","0 Original","1 Modify"))))</f>
        <v>0 Original</v>
      </c>
      <c r="D96" s="5" t="s">
        <v>2371</v>
      </c>
      <c r="E96" s="3">
        <v>2990</v>
      </c>
      <c r="F96" t="s">
        <v>990</v>
      </c>
      <c r="G96" t="s">
        <v>514</v>
      </c>
      <c r="H96" s="9">
        <v>6.99</v>
      </c>
      <c r="I96" s="3">
        <v>1</v>
      </c>
      <c r="J96" s="5" t="s">
        <v>68</v>
      </c>
      <c r="K96" s="15">
        <v>41654.686909722222</v>
      </c>
      <c r="L96" s="20">
        <f t="shared" si="3"/>
        <v>41654</v>
      </c>
      <c r="M96" t="str">
        <f t="shared" si="4"/>
        <v>01-2014</v>
      </c>
      <c r="N96">
        <f t="shared" si="5"/>
        <v>6.99</v>
      </c>
    </row>
    <row r="97" spans="3:14" x14ac:dyDescent="0.25">
      <c r="C97" t="str">
        <f>IF(COUNTBLANK(E97:K97) = 7,"",IF(AND(NOT(ISBLANK(E97)),COUNTBLANK(E97:K97) = 6),"3 Delete",IF(ISBLANK(E97),"2 Add",IF(SHA1Range(E97:K97) = "ad326173db54112116fa6dcac850b43bbcf2b47a","0 Original","1 Modify"))))</f>
        <v>0 Original</v>
      </c>
      <c r="D97" s="5" t="s">
        <v>2372</v>
      </c>
      <c r="E97" s="3">
        <v>2991</v>
      </c>
      <c r="F97" t="s">
        <v>990</v>
      </c>
      <c r="G97" t="s">
        <v>749</v>
      </c>
      <c r="H97" s="9">
        <v>5.99</v>
      </c>
      <c r="I97" s="3">
        <v>1</v>
      </c>
      <c r="J97" s="5" t="s">
        <v>68</v>
      </c>
      <c r="K97" s="15">
        <v>41654.686909722222</v>
      </c>
      <c r="L97" s="20">
        <f t="shared" si="3"/>
        <v>41654</v>
      </c>
      <c r="M97" t="str">
        <f t="shared" si="4"/>
        <v>01-2014</v>
      </c>
      <c r="N97">
        <f t="shared" si="5"/>
        <v>5.99</v>
      </c>
    </row>
    <row r="98" spans="3:14" x14ac:dyDescent="0.25">
      <c r="C98" t="str">
        <f>IF(COUNTBLANK(E98:K98) = 7,"",IF(AND(NOT(ISBLANK(E98)),COUNTBLANK(E98:K98) = 6),"3 Delete",IF(ISBLANK(E98),"2 Add",IF(SHA1Range(E98:K98) = "80e8a46a903072da1a5e2545d7e37882f1f658cd","0 Original","1 Modify"))))</f>
        <v>0 Original</v>
      </c>
      <c r="D98" s="5" t="s">
        <v>2373</v>
      </c>
      <c r="E98" s="3">
        <v>1366</v>
      </c>
      <c r="F98" t="s">
        <v>991</v>
      </c>
      <c r="G98" t="s">
        <v>771</v>
      </c>
      <c r="H98" s="9">
        <v>9.99</v>
      </c>
      <c r="I98" s="3">
        <v>1</v>
      </c>
      <c r="J98" s="5" t="s">
        <v>68</v>
      </c>
      <c r="K98" s="15">
        <v>41655.268680555557</v>
      </c>
      <c r="L98" s="20">
        <f t="shared" si="3"/>
        <v>41655</v>
      </c>
      <c r="M98" t="str">
        <f t="shared" si="4"/>
        <v>01-2014</v>
      </c>
      <c r="N98">
        <f t="shared" si="5"/>
        <v>9.99</v>
      </c>
    </row>
    <row r="99" spans="3:14" x14ac:dyDescent="0.25">
      <c r="C99" t="str">
        <f>IF(COUNTBLANK(E99:K99) = 7,"",IF(AND(NOT(ISBLANK(E99)),COUNTBLANK(E99:K99) = 6),"3 Delete",IF(ISBLANK(E99),"2 Add",IF(SHA1Range(E99:K99) = "7a337c2ca1845d409d1af7918955b64756650224","0 Original","1 Modify"))))</f>
        <v>0 Original</v>
      </c>
      <c r="D99" s="5" t="s">
        <v>2374</v>
      </c>
      <c r="E99" s="3">
        <v>1367</v>
      </c>
      <c r="F99" t="s">
        <v>991</v>
      </c>
      <c r="G99" t="s">
        <v>396</v>
      </c>
      <c r="H99" s="9">
        <v>8.99</v>
      </c>
      <c r="I99" s="3">
        <v>1</v>
      </c>
      <c r="J99" s="5" t="s">
        <v>68</v>
      </c>
      <c r="K99" s="15">
        <v>41655.268680555557</v>
      </c>
      <c r="L99" s="20">
        <f t="shared" si="3"/>
        <v>41655</v>
      </c>
      <c r="M99" t="str">
        <f t="shared" si="4"/>
        <v>01-2014</v>
      </c>
      <c r="N99">
        <f t="shared" si="5"/>
        <v>8.99</v>
      </c>
    </row>
    <row r="100" spans="3:14" x14ac:dyDescent="0.25">
      <c r="C100" t="str">
        <f>IF(COUNTBLANK(E100:K100) = 7,"",IF(AND(NOT(ISBLANK(E100)),COUNTBLANK(E100:K100) = 6),"3 Delete",IF(ISBLANK(E100),"2 Add",IF(SHA1Range(E100:K100) = "09f58365707bc44da0f0184538a5084dd8225341","0 Original","1 Modify"))))</f>
        <v>0 Original</v>
      </c>
      <c r="D100" s="5" t="s">
        <v>2375</v>
      </c>
      <c r="E100" s="3">
        <v>2125</v>
      </c>
      <c r="F100" t="s">
        <v>992</v>
      </c>
      <c r="G100" t="s">
        <v>749</v>
      </c>
      <c r="H100" s="9">
        <v>5.99</v>
      </c>
      <c r="I100" s="3">
        <v>1</v>
      </c>
      <c r="J100" s="5" t="s">
        <v>68</v>
      </c>
      <c r="K100" s="15">
        <v>41655.3359375</v>
      </c>
      <c r="L100" s="20">
        <f t="shared" si="3"/>
        <v>41655</v>
      </c>
      <c r="M100" t="str">
        <f t="shared" si="4"/>
        <v>01-2014</v>
      </c>
      <c r="N100">
        <f t="shared" si="5"/>
        <v>5.99</v>
      </c>
    </row>
    <row r="101" spans="3:14" x14ac:dyDescent="0.25">
      <c r="C101" t="str">
        <f>IF(COUNTBLANK(E101:K101) = 7,"",IF(AND(NOT(ISBLANK(E101)),COUNTBLANK(E101:K101) = 6),"3 Delete",IF(ISBLANK(E101),"2 Add",IF(SHA1Range(E101:K101) = "8a012bc813464421d135527dc2e35ee932d97cd6","0 Original","1 Modify"))))</f>
        <v>0 Original</v>
      </c>
      <c r="D101" s="5" t="s">
        <v>2376</v>
      </c>
      <c r="E101" s="3">
        <v>2126</v>
      </c>
      <c r="F101" t="s">
        <v>992</v>
      </c>
      <c r="G101" t="s">
        <v>588</v>
      </c>
      <c r="H101" s="9">
        <v>4.99</v>
      </c>
      <c r="I101" s="3">
        <v>1</v>
      </c>
      <c r="J101" s="5" t="s">
        <v>68</v>
      </c>
      <c r="K101" s="15">
        <v>41655.3359375</v>
      </c>
      <c r="L101" s="20">
        <f t="shared" si="3"/>
        <v>41655</v>
      </c>
      <c r="M101" t="str">
        <f t="shared" si="4"/>
        <v>01-2014</v>
      </c>
      <c r="N101">
        <f t="shared" si="5"/>
        <v>4.99</v>
      </c>
    </row>
    <row r="102" spans="3:14" x14ac:dyDescent="0.25">
      <c r="C102" t="str">
        <f>IF(COUNTBLANK(E102:K102) = 7,"",IF(AND(NOT(ISBLANK(E102)),COUNTBLANK(E102:K102) = 6),"3 Delete",IF(ISBLANK(E102),"2 Add",IF(SHA1Range(E102:K102) = "f25d0d45220663f957fc0d97753021c276db42f4","0 Original","1 Modify"))))</f>
        <v>0 Original</v>
      </c>
      <c r="D102" s="5" t="s">
        <v>2377</v>
      </c>
      <c r="E102" s="3">
        <v>2127</v>
      </c>
      <c r="F102" t="s">
        <v>992</v>
      </c>
      <c r="G102" t="s">
        <v>792</v>
      </c>
      <c r="H102" s="9">
        <v>9.99</v>
      </c>
      <c r="I102" s="3">
        <v>2</v>
      </c>
      <c r="J102" s="5" t="s">
        <v>68</v>
      </c>
      <c r="K102" s="15">
        <v>41655.3359375</v>
      </c>
      <c r="L102" s="20">
        <f t="shared" si="3"/>
        <v>41655</v>
      </c>
      <c r="M102" t="str">
        <f t="shared" si="4"/>
        <v>01-2014</v>
      </c>
      <c r="N102">
        <f t="shared" si="5"/>
        <v>19.98</v>
      </c>
    </row>
    <row r="103" spans="3:14" x14ac:dyDescent="0.25">
      <c r="C103" t="str">
        <f>IF(COUNTBLANK(E103:K103) = 7,"",IF(AND(NOT(ISBLANK(E103)),COUNTBLANK(E103:K103) = 6),"3 Delete",IF(ISBLANK(E103),"2 Add",IF(SHA1Range(E103:K103) = "be83fe3282c3c6d4ca49280348df163d09ea8743","0 Original","1 Modify"))))</f>
        <v>0 Original</v>
      </c>
      <c r="D103" s="5" t="s">
        <v>2378</v>
      </c>
      <c r="E103" s="3">
        <v>2128</v>
      </c>
      <c r="F103" t="s">
        <v>992</v>
      </c>
      <c r="G103" t="s">
        <v>684</v>
      </c>
      <c r="H103" s="9">
        <v>8.99</v>
      </c>
      <c r="I103" s="3">
        <v>1</v>
      </c>
      <c r="J103" s="5" t="s">
        <v>68</v>
      </c>
      <c r="K103" s="15">
        <v>41655.3359375</v>
      </c>
      <c r="L103" s="20">
        <f t="shared" si="3"/>
        <v>41655</v>
      </c>
      <c r="M103" t="str">
        <f t="shared" si="4"/>
        <v>01-2014</v>
      </c>
      <c r="N103">
        <f t="shared" si="5"/>
        <v>8.99</v>
      </c>
    </row>
    <row r="104" spans="3:14" x14ac:dyDescent="0.25">
      <c r="C104" t="str">
        <f>IF(COUNTBLANK(E104:K104) = 7,"",IF(AND(NOT(ISBLANK(E104)),COUNTBLANK(E104:K104) = 6),"3 Delete",IF(ISBLANK(E104),"2 Add",IF(SHA1Range(E104:K104) = "ad01707585ee39b8e55a49656db3c38e3a98b39d","0 Original","1 Modify"))))</f>
        <v>0 Original</v>
      </c>
      <c r="D104" s="5" t="s">
        <v>2379</v>
      </c>
      <c r="E104" s="3">
        <v>2129</v>
      </c>
      <c r="F104" t="s">
        <v>992</v>
      </c>
      <c r="G104" t="s">
        <v>926</v>
      </c>
      <c r="H104" s="9">
        <v>9.99</v>
      </c>
      <c r="I104" s="3">
        <v>1</v>
      </c>
      <c r="J104" s="5" t="s">
        <v>68</v>
      </c>
      <c r="K104" s="15">
        <v>41655.3359375</v>
      </c>
      <c r="L104" s="20">
        <f t="shared" si="3"/>
        <v>41655</v>
      </c>
      <c r="M104" t="str">
        <f t="shared" si="4"/>
        <v>01-2014</v>
      </c>
      <c r="N104">
        <f t="shared" si="5"/>
        <v>9.99</v>
      </c>
    </row>
    <row r="105" spans="3:14" x14ac:dyDescent="0.25">
      <c r="C105" t="str">
        <f>IF(COUNTBLANK(E105:K105) = 7,"",IF(AND(NOT(ISBLANK(E105)),COUNTBLANK(E105:K105) = 6),"3 Delete",IF(ISBLANK(E105),"2 Add",IF(SHA1Range(E105:K105) = "ac0584090517f88b23b0610fb689e823cb38750d","0 Original","1 Modify"))))</f>
        <v>0 Original</v>
      </c>
      <c r="D105" s="5" t="s">
        <v>2380</v>
      </c>
      <c r="E105" s="3">
        <v>3807</v>
      </c>
      <c r="F105" t="s">
        <v>993</v>
      </c>
      <c r="G105" t="s">
        <v>514</v>
      </c>
      <c r="H105" s="9">
        <v>6.99</v>
      </c>
      <c r="I105" s="3">
        <v>1</v>
      </c>
      <c r="J105" s="5" t="s">
        <v>68</v>
      </c>
      <c r="K105" s="15">
        <v>41655.412083333336</v>
      </c>
      <c r="L105" s="20">
        <f t="shared" si="3"/>
        <v>41655</v>
      </c>
      <c r="M105" t="str">
        <f t="shared" si="4"/>
        <v>01-2014</v>
      </c>
      <c r="N105">
        <f t="shared" si="5"/>
        <v>6.99</v>
      </c>
    </row>
    <row r="106" spans="3:14" x14ac:dyDescent="0.25">
      <c r="C106" t="str">
        <f>IF(COUNTBLANK(E106:K106) = 7,"",IF(AND(NOT(ISBLANK(E106)),COUNTBLANK(E106:K106) = 6),"3 Delete",IF(ISBLANK(E106),"2 Add",IF(SHA1Range(E106:K106) = "20f2c83da20b1fcf8953835ddeb52925382d6f5a","0 Original","1 Modify"))))</f>
        <v>0 Original</v>
      </c>
      <c r="D106" s="5" t="s">
        <v>2381</v>
      </c>
      <c r="E106" s="3">
        <v>3808</v>
      </c>
      <c r="F106" t="s">
        <v>993</v>
      </c>
      <c r="G106" t="s">
        <v>707</v>
      </c>
      <c r="H106" s="9">
        <v>7.99</v>
      </c>
      <c r="I106" s="3">
        <v>1</v>
      </c>
      <c r="J106" s="5" t="s">
        <v>68</v>
      </c>
      <c r="K106" s="15">
        <v>41655.412083333336</v>
      </c>
      <c r="L106" s="20">
        <f t="shared" si="3"/>
        <v>41655</v>
      </c>
      <c r="M106" t="str">
        <f t="shared" si="4"/>
        <v>01-2014</v>
      </c>
      <c r="N106">
        <f t="shared" si="5"/>
        <v>7.99</v>
      </c>
    </row>
    <row r="107" spans="3:14" x14ac:dyDescent="0.25">
      <c r="C107" t="str">
        <f>IF(COUNTBLANK(E107:K107) = 7,"",IF(AND(NOT(ISBLANK(E107)),COUNTBLANK(E107:K107) = 6),"3 Delete",IF(ISBLANK(E107),"2 Add",IF(SHA1Range(E107:K107) = "f1293d9fe5f3885efe2d807835b983bfdaa14040","0 Original","1 Modify"))))</f>
        <v>0 Original</v>
      </c>
      <c r="D107" s="5" t="s">
        <v>2382</v>
      </c>
      <c r="E107" s="3">
        <v>3809</v>
      </c>
      <c r="F107" t="s">
        <v>993</v>
      </c>
      <c r="G107" t="s">
        <v>642</v>
      </c>
      <c r="H107" s="9">
        <v>9.99</v>
      </c>
      <c r="I107" s="3">
        <v>1</v>
      </c>
      <c r="J107" s="5" t="s">
        <v>68</v>
      </c>
      <c r="K107" s="15">
        <v>41655.412083333336</v>
      </c>
      <c r="L107" s="20">
        <f t="shared" si="3"/>
        <v>41655</v>
      </c>
      <c r="M107" t="str">
        <f t="shared" si="4"/>
        <v>01-2014</v>
      </c>
      <c r="N107">
        <f t="shared" si="5"/>
        <v>9.99</v>
      </c>
    </row>
    <row r="108" spans="3:14" x14ac:dyDescent="0.25">
      <c r="C108" t="str">
        <f>IF(COUNTBLANK(E108:K108) = 7,"",IF(AND(NOT(ISBLANK(E108)),COUNTBLANK(E108:K108) = 6),"3 Delete",IF(ISBLANK(E108),"2 Add",IF(SHA1Range(E108:K108) = "4db47fbc48e481a39bfb3a1c47ae8279d26b2dc4","0 Original","1 Modify"))))</f>
        <v>0 Original</v>
      </c>
      <c r="D108" s="5" t="s">
        <v>2383</v>
      </c>
      <c r="E108" s="3">
        <v>2307</v>
      </c>
      <c r="F108" t="s">
        <v>994</v>
      </c>
      <c r="G108" t="s">
        <v>942</v>
      </c>
      <c r="H108" s="9">
        <v>6.99</v>
      </c>
      <c r="I108" s="3">
        <v>1</v>
      </c>
      <c r="J108" s="5" t="s">
        <v>68</v>
      </c>
      <c r="K108" s="15">
        <v>41656.362766203703</v>
      </c>
      <c r="L108" s="20">
        <f t="shared" si="3"/>
        <v>41656</v>
      </c>
      <c r="M108" t="str">
        <f t="shared" si="4"/>
        <v>01-2014</v>
      </c>
      <c r="N108">
        <f t="shared" si="5"/>
        <v>6.99</v>
      </c>
    </row>
    <row r="109" spans="3:14" x14ac:dyDescent="0.25">
      <c r="C109" t="str">
        <f>IF(COUNTBLANK(E109:K109) = 7,"",IF(AND(NOT(ISBLANK(E109)),COUNTBLANK(E109:K109) = 6),"3 Delete",IF(ISBLANK(E109),"2 Add",IF(SHA1Range(E109:K109) = "3faef92b81220321e77baf525f4ef7ca3c1b57a7","0 Original","1 Modify"))))</f>
        <v>0 Original</v>
      </c>
      <c r="D109" s="5" t="s">
        <v>2384</v>
      </c>
      <c r="E109" s="3">
        <v>2308</v>
      </c>
      <c r="F109" t="s">
        <v>994</v>
      </c>
      <c r="G109" t="s">
        <v>396</v>
      </c>
      <c r="H109" s="9">
        <v>8.99</v>
      </c>
      <c r="I109" s="3">
        <v>1</v>
      </c>
      <c r="J109" s="5" t="s">
        <v>68</v>
      </c>
      <c r="K109" s="15">
        <v>41656.362766203703</v>
      </c>
      <c r="L109" s="20">
        <f t="shared" si="3"/>
        <v>41656</v>
      </c>
      <c r="M109" t="str">
        <f t="shared" si="4"/>
        <v>01-2014</v>
      </c>
      <c r="N109">
        <f t="shared" si="5"/>
        <v>8.99</v>
      </c>
    </row>
    <row r="110" spans="3:14" x14ac:dyDescent="0.25">
      <c r="C110" t="str">
        <f>IF(COUNTBLANK(E110:K110) = 7,"",IF(AND(NOT(ISBLANK(E110)),COUNTBLANK(E110:K110) = 6),"3 Delete",IF(ISBLANK(E110),"2 Add",IF(SHA1Range(E110:K110) = "c112f6626299a5fd983e0dbbc97593460f20a922","0 Original","1 Modify"))))</f>
        <v>0 Original</v>
      </c>
      <c r="D110" s="5" t="s">
        <v>2385</v>
      </c>
      <c r="E110" s="3">
        <v>2309</v>
      </c>
      <c r="F110" t="s">
        <v>994</v>
      </c>
      <c r="G110" t="s">
        <v>600</v>
      </c>
      <c r="H110" s="9">
        <v>5.99</v>
      </c>
      <c r="I110" s="3">
        <v>1</v>
      </c>
      <c r="J110" s="5" t="s">
        <v>68</v>
      </c>
      <c r="K110" s="15">
        <v>41656.362766203703</v>
      </c>
      <c r="L110" s="20">
        <f t="shared" si="3"/>
        <v>41656</v>
      </c>
      <c r="M110" t="str">
        <f t="shared" si="4"/>
        <v>01-2014</v>
      </c>
      <c r="N110">
        <f t="shared" si="5"/>
        <v>5.99</v>
      </c>
    </row>
    <row r="111" spans="3:14" x14ac:dyDescent="0.25">
      <c r="C111" t="str">
        <f>IF(COUNTBLANK(E111:K111) = 7,"",IF(AND(NOT(ISBLANK(E111)),COUNTBLANK(E111:K111) = 6),"3 Delete",IF(ISBLANK(E111),"2 Add",IF(SHA1Range(E111:K111) = "604ffed740ca8bde953fc289a90071fa711da053","0 Original","1 Modify"))))</f>
        <v>0 Original</v>
      </c>
      <c r="D111" s="5" t="s">
        <v>2386</v>
      </c>
      <c r="E111" s="3">
        <v>1107</v>
      </c>
      <c r="F111" t="s">
        <v>995</v>
      </c>
      <c r="G111" t="s">
        <v>935</v>
      </c>
      <c r="H111" s="9">
        <v>6.99</v>
      </c>
      <c r="I111" s="3">
        <v>1</v>
      </c>
      <c r="J111" s="5" t="s">
        <v>68</v>
      </c>
      <c r="K111" s="15">
        <v>41656.433159722219</v>
      </c>
      <c r="L111" s="20">
        <f t="shared" si="3"/>
        <v>41656</v>
      </c>
      <c r="M111" t="str">
        <f t="shared" si="4"/>
        <v>01-2014</v>
      </c>
      <c r="N111">
        <f t="shared" si="5"/>
        <v>6.99</v>
      </c>
    </row>
    <row r="112" spans="3:14" x14ac:dyDescent="0.25">
      <c r="C112" t="str">
        <f>IF(COUNTBLANK(E112:K112) = 7,"",IF(AND(NOT(ISBLANK(E112)),COUNTBLANK(E112:K112) = 6),"3 Delete",IF(ISBLANK(E112),"2 Add",IF(SHA1Range(E112:K112) = "3c246e52086c2870f5cdcf6f551df6e61ea967dc","0 Original","1 Modify"))))</f>
        <v>0 Original</v>
      </c>
      <c r="D112" s="5" t="s">
        <v>2387</v>
      </c>
      <c r="E112" s="3">
        <v>1108</v>
      </c>
      <c r="F112" t="s">
        <v>995</v>
      </c>
      <c r="G112" t="s">
        <v>739</v>
      </c>
      <c r="H112" s="9">
        <v>8.99</v>
      </c>
      <c r="I112" s="3">
        <v>1</v>
      </c>
      <c r="J112" s="5" t="s">
        <v>68</v>
      </c>
      <c r="K112" s="15">
        <v>41656.433159722219</v>
      </c>
      <c r="L112" s="20">
        <f t="shared" si="3"/>
        <v>41656</v>
      </c>
      <c r="M112" t="str">
        <f t="shared" si="4"/>
        <v>01-2014</v>
      </c>
      <c r="N112">
        <f t="shared" si="5"/>
        <v>8.99</v>
      </c>
    </row>
    <row r="113" spans="3:14" x14ac:dyDescent="0.25">
      <c r="C113" t="str">
        <f>IF(COUNTBLANK(E113:K113) = 7,"",IF(AND(NOT(ISBLANK(E113)),COUNTBLANK(E113:K113) = 6),"3 Delete",IF(ISBLANK(E113),"2 Add",IF(SHA1Range(E113:K113) = "69ee344003eab942fa2355bdd57ea4da6c741dcb","0 Original","1 Modify"))))</f>
        <v>0 Original</v>
      </c>
      <c r="D113" s="5" t="s">
        <v>2388</v>
      </c>
      <c r="E113" s="3">
        <v>1109</v>
      </c>
      <c r="F113" t="s">
        <v>995</v>
      </c>
      <c r="G113" t="s">
        <v>912</v>
      </c>
      <c r="H113" s="9">
        <v>6.99</v>
      </c>
      <c r="I113" s="3">
        <v>1</v>
      </c>
      <c r="J113" s="5" t="s">
        <v>68</v>
      </c>
      <c r="K113" s="15">
        <v>41656.433159722219</v>
      </c>
      <c r="L113" s="20">
        <f t="shared" si="3"/>
        <v>41656</v>
      </c>
      <c r="M113" t="str">
        <f t="shared" si="4"/>
        <v>01-2014</v>
      </c>
      <c r="N113">
        <f t="shared" si="5"/>
        <v>6.99</v>
      </c>
    </row>
    <row r="114" spans="3:14" x14ac:dyDescent="0.25">
      <c r="C114" t="str">
        <f>IF(COUNTBLANK(E114:K114) = 7,"",IF(AND(NOT(ISBLANK(E114)),COUNTBLANK(E114:K114) = 6),"3 Delete",IF(ISBLANK(E114),"2 Add",IF(SHA1Range(E114:K114) = "72869d3b4e8893765648da67413f7423bf4fd100","0 Original","1 Modify"))))</f>
        <v>0 Original</v>
      </c>
      <c r="D114" s="5" t="s">
        <v>2389</v>
      </c>
      <c r="E114" s="3">
        <v>697</v>
      </c>
      <c r="F114" t="s">
        <v>996</v>
      </c>
      <c r="G114" t="s">
        <v>420</v>
      </c>
      <c r="H114" s="9">
        <v>5.99</v>
      </c>
      <c r="I114" s="3">
        <v>1</v>
      </c>
      <c r="J114" s="5" t="s">
        <v>68</v>
      </c>
      <c r="K114" s="15">
        <v>41657.370578703703</v>
      </c>
      <c r="L114" s="20">
        <f t="shared" si="3"/>
        <v>41657</v>
      </c>
      <c r="M114" t="str">
        <f t="shared" si="4"/>
        <v>01-2014</v>
      </c>
      <c r="N114">
        <f t="shared" si="5"/>
        <v>5.99</v>
      </c>
    </row>
    <row r="115" spans="3:14" x14ac:dyDescent="0.25">
      <c r="C115" t="str">
        <f>IF(COUNTBLANK(E115:K115) = 7,"",IF(AND(NOT(ISBLANK(E115)),COUNTBLANK(E115:K115) = 6),"3 Delete",IF(ISBLANK(E115),"2 Add",IF(SHA1Range(E115:K115) = "581a2e0bc86bcafe3de549685677bb09f0dd394e","0 Original","1 Modify"))))</f>
        <v>0 Original</v>
      </c>
      <c r="D115" s="5" t="s">
        <v>2390</v>
      </c>
      <c r="E115" s="3">
        <v>698</v>
      </c>
      <c r="F115" t="s">
        <v>996</v>
      </c>
      <c r="G115" t="s">
        <v>761</v>
      </c>
      <c r="H115" s="9">
        <v>8.99</v>
      </c>
      <c r="I115" s="3">
        <v>1</v>
      </c>
      <c r="J115" s="5" t="s">
        <v>68</v>
      </c>
      <c r="K115" s="15">
        <v>41657.370578703703</v>
      </c>
      <c r="L115" s="20">
        <f t="shared" si="3"/>
        <v>41657</v>
      </c>
      <c r="M115" t="str">
        <f t="shared" si="4"/>
        <v>01-2014</v>
      </c>
      <c r="N115">
        <f t="shared" si="5"/>
        <v>8.99</v>
      </c>
    </row>
    <row r="116" spans="3:14" x14ac:dyDescent="0.25">
      <c r="C116" t="str">
        <f>IF(COUNTBLANK(E116:K116) = 7,"",IF(AND(NOT(ISBLANK(E116)),COUNTBLANK(E116:K116) = 6),"3 Delete",IF(ISBLANK(E116),"2 Add",IF(SHA1Range(E116:K116) = "ce854b1e6aa5214c249420c43c4ffe5064e3594d","0 Original","1 Modify"))))</f>
        <v>0 Original</v>
      </c>
      <c r="D116" s="5" t="s">
        <v>2391</v>
      </c>
      <c r="E116" s="3">
        <v>699</v>
      </c>
      <c r="F116" t="s">
        <v>996</v>
      </c>
      <c r="G116" t="s">
        <v>528</v>
      </c>
      <c r="H116" s="9">
        <v>5.99</v>
      </c>
      <c r="I116" s="3">
        <v>1</v>
      </c>
      <c r="J116" s="5" t="s">
        <v>68</v>
      </c>
      <c r="K116" s="15">
        <v>41657.370578703703</v>
      </c>
      <c r="L116" s="20">
        <f t="shared" si="3"/>
        <v>41657</v>
      </c>
      <c r="M116" t="str">
        <f t="shared" si="4"/>
        <v>01-2014</v>
      </c>
      <c r="N116">
        <f t="shared" si="5"/>
        <v>5.99</v>
      </c>
    </row>
    <row r="117" spans="3:14" x14ac:dyDescent="0.25">
      <c r="C117" t="str">
        <f>IF(COUNTBLANK(E117:K117) = 7,"",IF(AND(NOT(ISBLANK(E117)),COUNTBLANK(E117:K117) = 6),"3 Delete",IF(ISBLANK(E117),"2 Add",IF(SHA1Range(E117:K117) = "41d4777ba3d60f6503d56a5e0797e2df2e264612","0 Original","1 Modify"))))</f>
        <v>0 Original</v>
      </c>
      <c r="D117" s="5" t="s">
        <v>2392</v>
      </c>
      <c r="E117" s="3">
        <v>700</v>
      </c>
      <c r="F117" t="s">
        <v>996</v>
      </c>
      <c r="G117" t="s">
        <v>396</v>
      </c>
      <c r="H117" s="9">
        <v>8.99</v>
      </c>
      <c r="I117" s="3">
        <v>1</v>
      </c>
      <c r="J117" s="5" t="s">
        <v>68</v>
      </c>
      <c r="K117" s="15">
        <v>41657.370578703703</v>
      </c>
      <c r="L117" s="20">
        <f t="shared" si="3"/>
        <v>41657</v>
      </c>
      <c r="M117" t="str">
        <f t="shared" si="4"/>
        <v>01-2014</v>
      </c>
      <c r="N117">
        <f t="shared" si="5"/>
        <v>8.99</v>
      </c>
    </row>
    <row r="118" spans="3:14" x14ac:dyDescent="0.25">
      <c r="C118" t="str">
        <f>IF(COUNTBLANK(E118:K118) = 7,"",IF(AND(NOT(ISBLANK(E118)),COUNTBLANK(E118:K118) = 6),"3 Delete",IF(ISBLANK(E118),"2 Add",IF(SHA1Range(E118:K118) = "5a66f45f59bef29cf7d6708ed922747721bee3ae","0 Original","1 Modify"))))</f>
        <v>0 Original</v>
      </c>
      <c r="D118" s="5" t="s">
        <v>2393</v>
      </c>
      <c r="E118" s="3">
        <v>701</v>
      </c>
      <c r="F118" t="s">
        <v>996</v>
      </c>
      <c r="G118" t="s">
        <v>915</v>
      </c>
      <c r="H118" s="9">
        <v>9.99</v>
      </c>
      <c r="I118" s="3">
        <v>1</v>
      </c>
      <c r="J118" s="5" t="s">
        <v>68</v>
      </c>
      <c r="K118" s="15">
        <v>41657.370578703703</v>
      </c>
      <c r="L118" s="20">
        <f t="shared" si="3"/>
        <v>41657</v>
      </c>
      <c r="M118" t="str">
        <f t="shared" si="4"/>
        <v>01-2014</v>
      </c>
      <c r="N118">
        <f t="shared" si="5"/>
        <v>9.99</v>
      </c>
    </row>
    <row r="119" spans="3:14" x14ac:dyDescent="0.25">
      <c r="C119" t="str">
        <f>IF(COUNTBLANK(E119:K119) = 7,"",IF(AND(NOT(ISBLANK(E119)),COUNTBLANK(E119:K119) = 6),"3 Delete",IF(ISBLANK(E119),"2 Add",IF(SHA1Range(E119:K119) = "de2e9c03bdf17787d4d973c9f73396f4619d4463","0 Original","1 Modify"))))</f>
        <v>0 Original</v>
      </c>
      <c r="D119" s="5" t="s">
        <v>2394</v>
      </c>
      <c r="E119" s="3">
        <v>702</v>
      </c>
      <c r="F119" t="s">
        <v>996</v>
      </c>
      <c r="G119" t="s">
        <v>887</v>
      </c>
      <c r="H119" s="9">
        <v>8.99</v>
      </c>
      <c r="I119" s="3">
        <v>2</v>
      </c>
      <c r="J119" s="5" t="s">
        <v>68</v>
      </c>
      <c r="K119" s="15">
        <v>41657.370578703703</v>
      </c>
      <c r="L119" s="20">
        <f t="shared" si="3"/>
        <v>41657</v>
      </c>
      <c r="M119" t="str">
        <f t="shared" si="4"/>
        <v>01-2014</v>
      </c>
      <c r="N119">
        <f t="shared" si="5"/>
        <v>17.98</v>
      </c>
    </row>
    <row r="120" spans="3:14" x14ac:dyDescent="0.25">
      <c r="C120" t="str">
        <f>IF(COUNTBLANK(E120:K120) = 7,"",IF(AND(NOT(ISBLANK(E120)),COUNTBLANK(E120:K120) = 6),"3 Delete",IF(ISBLANK(E120),"2 Add",IF(SHA1Range(E120:K120) = "a442e3f8c180591e6975023897f7911a562a3f64","0 Original","1 Modify"))))</f>
        <v>0 Original</v>
      </c>
      <c r="D120" s="5" t="s">
        <v>2395</v>
      </c>
      <c r="E120" s="3">
        <v>24</v>
      </c>
      <c r="F120" t="s">
        <v>997</v>
      </c>
      <c r="G120" t="s">
        <v>939</v>
      </c>
      <c r="H120" s="9">
        <v>5.99</v>
      </c>
      <c r="I120" s="3">
        <v>1</v>
      </c>
      <c r="J120" s="5" t="s">
        <v>68</v>
      </c>
      <c r="K120" s="15">
        <v>41657.483032407406</v>
      </c>
      <c r="L120" s="20">
        <f t="shared" si="3"/>
        <v>41657</v>
      </c>
      <c r="M120" t="str">
        <f t="shared" si="4"/>
        <v>01-2014</v>
      </c>
      <c r="N120">
        <f t="shared" si="5"/>
        <v>5.99</v>
      </c>
    </row>
    <row r="121" spans="3:14" x14ac:dyDescent="0.25">
      <c r="C121" t="str">
        <f>IF(COUNTBLANK(E121:K121) = 7,"",IF(AND(NOT(ISBLANK(E121)),COUNTBLANK(E121:K121) = 6),"3 Delete",IF(ISBLANK(E121),"2 Add",IF(SHA1Range(E121:K121) = "e3c9ddc4cfe7eda23730184aebb09e1035e15c72","0 Original","1 Modify"))))</f>
        <v>0 Original</v>
      </c>
      <c r="D121" s="5" t="s">
        <v>2396</v>
      </c>
      <c r="E121" s="3">
        <v>25</v>
      </c>
      <c r="F121" t="s">
        <v>997</v>
      </c>
      <c r="G121" t="s">
        <v>817</v>
      </c>
      <c r="H121" s="9">
        <v>5.99</v>
      </c>
      <c r="I121" s="3">
        <v>1</v>
      </c>
      <c r="J121" s="5" t="s">
        <v>68</v>
      </c>
      <c r="K121" s="15">
        <v>41657.483032407406</v>
      </c>
      <c r="L121" s="20">
        <f t="shared" si="3"/>
        <v>41657</v>
      </c>
      <c r="M121" t="str">
        <f t="shared" si="4"/>
        <v>01-2014</v>
      </c>
      <c r="N121">
        <f t="shared" si="5"/>
        <v>5.99</v>
      </c>
    </row>
    <row r="122" spans="3:14" x14ac:dyDescent="0.25">
      <c r="C122" t="str">
        <f>IF(COUNTBLANK(E122:K122) = 7,"",IF(AND(NOT(ISBLANK(E122)),COUNTBLANK(E122:K122) = 6),"3 Delete",IF(ISBLANK(E122),"2 Add",IF(SHA1Range(E122:K122) = "c05b716cf01d72125a7556437becddf48d56905e","0 Original","1 Modify"))))</f>
        <v>0 Original</v>
      </c>
      <c r="D122" s="5" t="s">
        <v>2397</v>
      </c>
      <c r="E122" s="3">
        <v>449</v>
      </c>
      <c r="F122" t="s">
        <v>998</v>
      </c>
      <c r="G122" t="s">
        <v>588</v>
      </c>
      <c r="H122" s="9">
        <v>4.99</v>
      </c>
      <c r="I122" s="3">
        <v>1</v>
      </c>
      <c r="J122" s="5" t="s">
        <v>68</v>
      </c>
      <c r="K122" s="15">
        <v>41658.335636574076</v>
      </c>
      <c r="L122" s="20">
        <f t="shared" si="3"/>
        <v>41658</v>
      </c>
      <c r="M122" t="str">
        <f t="shared" si="4"/>
        <v>01-2014</v>
      </c>
      <c r="N122">
        <f t="shared" si="5"/>
        <v>4.99</v>
      </c>
    </row>
    <row r="123" spans="3:14" x14ac:dyDescent="0.25">
      <c r="C123" t="str">
        <f>IF(COUNTBLANK(E123:K123) = 7,"",IF(AND(NOT(ISBLANK(E123)),COUNTBLANK(E123:K123) = 6),"3 Delete",IF(ISBLANK(E123),"2 Add",IF(SHA1Range(E123:K123) = "98ea83bc2c5915ddda2bc12e25e74335c3365233","0 Original","1 Modify"))))</f>
        <v>0 Original</v>
      </c>
      <c r="D123" s="5" t="s">
        <v>2398</v>
      </c>
      <c r="E123" s="3">
        <v>450</v>
      </c>
      <c r="F123" t="s">
        <v>998</v>
      </c>
      <c r="G123" t="s">
        <v>788</v>
      </c>
      <c r="H123" s="9">
        <v>5.99</v>
      </c>
      <c r="I123" s="3">
        <v>2</v>
      </c>
      <c r="J123" s="5" t="s">
        <v>68</v>
      </c>
      <c r="K123" s="15">
        <v>41658.335636574076</v>
      </c>
      <c r="L123" s="20">
        <f t="shared" si="3"/>
        <v>41658</v>
      </c>
      <c r="M123" t="str">
        <f t="shared" si="4"/>
        <v>01-2014</v>
      </c>
      <c r="N123">
        <f t="shared" si="5"/>
        <v>11.98</v>
      </c>
    </row>
    <row r="124" spans="3:14" x14ac:dyDescent="0.25">
      <c r="C124" t="str">
        <f>IF(COUNTBLANK(E124:K124) = 7,"",IF(AND(NOT(ISBLANK(E124)),COUNTBLANK(E124:K124) = 6),"3 Delete",IF(ISBLANK(E124),"2 Add",IF(SHA1Range(E124:K124) = "a8b0e48c7d1e95585fce2b9880fb843c50924be1","0 Original","1 Modify"))))</f>
        <v>0 Original</v>
      </c>
      <c r="D124" s="5" t="s">
        <v>2399</v>
      </c>
      <c r="E124" s="3">
        <v>451</v>
      </c>
      <c r="F124" t="s">
        <v>998</v>
      </c>
      <c r="G124" t="s">
        <v>604</v>
      </c>
      <c r="H124" s="9">
        <v>9.99</v>
      </c>
      <c r="I124" s="3">
        <v>1</v>
      </c>
      <c r="J124" s="5" t="s">
        <v>68</v>
      </c>
      <c r="K124" s="15">
        <v>41658.335636574076</v>
      </c>
      <c r="L124" s="20">
        <f t="shared" si="3"/>
        <v>41658</v>
      </c>
      <c r="M124" t="str">
        <f t="shared" si="4"/>
        <v>01-2014</v>
      </c>
      <c r="N124">
        <f t="shared" si="5"/>
        <v>9.99</v>
      </c>
    </row>
    <row r="125" spans="3:14" x14ac:dyDescent="0.25">
      <c r="C125" t="str">
        <f>IF(COUNTBLANK(E125:K125) = 7,"",IF(AND(NOT(ISBLANK(E125)),COUNTBLANK(E125:K125) = 6),"3 Delete",IF(ISBLANK(E125),"2 Add",IF(SHA1Range(E125:K125) = "913931793b710cca550618ba5d5b51d9c2fee5ce","0 Original","1 Modify"))))</f>
        <v>0 Original</v>
      </c>
      <c r="D125" s="5" t="s">
        <v>2400</v>
      </c>
      <c r="E125" s="3">
        <v>452</v>
      </c>
      <c r="F125" t="s">
        <v>998</v>
      </c>
      <c r="G125" t="s">
        <v>429</v>
      </c>
      <c r="H125" s="9">
        <v>6.99</v>
      </c>
      <c r="I125" s="3">
        <v>1</v>
      </c>
      <c r="J125" s="5" t="s">
        <v>68</v>
      </c>
      <c r="K125" s="15">
        <v>41658.335636574076</v>
      </c>
      <c r="L125" s="20">
        <f t="shared" si="3"/>
        <v>41658</v>
      </c>
      <c r="M125" t="str">
        <f t="shared" si="4"/>
        <v>01-2014</v>
      </c>
      <c r="N125">
        <f t="shared" si="5"/>
        <v>6.99</v>
      </c>
    </row>
    <row r="126" spans="3:14" x14ac:dyDescent="0.25">
      <c r="C126" t="str">
        <f>IF(COUNTBLANK(E126:K126) = 7,"",IF(AND(NOT(ISBLANK(E126)),COUNTBLANK(E126:K126) = 6),"3 Delete",IF(ISBLANK(E126),"2 Add",IF(SHA1Range(E126:K126) = "9cf3517d3757a199e2ad1a00381c65850bff2c4b","0 Original","1 Modify"))))</f>
        <v>0 Original</v>
      </c>
      <c r="D126" s="5" t="s">
        <v>2401</v>
      </c>
      <c r="E126" s="3">
        <v>2202</v>
      </c>
      <c r="F126" t="s">
        <v>999</v>
      </c>
      <c r="G126" t="s">
        <v>445</v>
      </c>
      <c r="H126" s="9">
        <v>7.99</v>
      </c>
      <c r="I126" s="3">
        <v>2</v>
      </c>
      <c r="J126" s="5" t="s">
        <v>68</v>
      </c>
      <c r="K126" s="15">
        <v>41658.588738425926</v>
      </c>
      <c r="L126" s="20">
        <f t="shared" si="3"/>
        <v>41658</v>
      </c>
      <c r="M126" t="str">
        <f t="shared" si="4"/>
        <v>01-2014</v>
      </c>
      <c r="N126">
        <f t="shared" si="5"/>
        <v>15.98</v>
      </c>
    </row>
    <row r="127" spans="3:14" x14ac:dyDescent="0.25">
      <c r="C127" t="str">
        <f>IF(COUNTBLANK(E127:K127) = 7,"",IF(AND(NOT(ISBLANK(E127)),COUNTBLANK(E127:K127) = 6),"3 Delete",IF(ISBLANK(E127),"2 Add",IF(SHA1Range(E127:K127) = "dd1fe2d088094b7448168c1106d7cbada05e7c47","0 Original","1 Modify"))))</f>
        <v>0 Original</v>
      </c>
      <c r="D127" s="5" t="s">
        <v>2402</v>
      </c>
      <c r="E127" s="3">
        <v>2203</v>
      </c>
      <c r="F127" t="s">
        <v>999</v>
      </c>
      <c r="G127" t="s">
        <v>507</v>
      </c>
      <c r="H127" s="9">
        <v>6.99</v>
      </c>
      <c r="I127" s="3">
        <v>1</v>
      </c>
      <c r="J127" s="5" t="s">
        <v>68</v>
      </c>
      <c r="K127" s="15">
        <v>41658.588738425926</v>
      </c>
      <c r="L127" s="20">
        <f t="shared" si="3"/>
        <v>41658</v>
      </c>
      <c r="M127" t="str">
        <f t="shared" si="4"/>
        <v>01-2014</v>
      </c>
      <c r="N127">
        <f t="shared" si="5"/>
        <v>6.99</v>
      </c>
    </row>
    <row r="128" spans="3:14" x14ac:dyDescent="0.25">
      <c r="C128" t="str">
        <f>IF(COUNTBLANK(E128:K128) = 7,"",IF(AND(NOT(ISBLANK(E128)),COUNTBLANK(E128:K128) = 6),"3 Delete",IF(ISBLANK(E128),"2 Add",IF(SHA1Range(E128:K128) = "78e9342329dd92e4d4114eb2906adf09c545184a","0 Original","1 Modify"))))</f>
        <v>0 Original</v>
      </c>
      <c r="D128" s="5" t="s">
        <v>2403</v>
      </c>
      <c r="E128" s="3">
        <v>2204</v>
      </c>
      <c r="F128" t="s">
        <v>999</v>
      </c>
      <c r="G128" t="s">
        <v>610</v>
      </c>
      <c r="H128" s="9">
        <v>9.99</v>
      </c>
      <c r="I128" s="3">
        <v>1</v>
      </c>
      <c r="J128" s="5" t="s">
        <v>68</v>
      </c>
      <c r="K128" s="15">
        <v>41658.588738425926</v>
      </c>
      <c r="L128" s="20">
        <f t="shared" si="3"/>
        <v>41658</v>
      </c>
      <c r="M128" t="str">
        <f t="shared" si="4"/>
        <v>01-2014</v>
      </c>
      <c r="N128">
        <f t="shared" si="5"/>
        <v>9.99</v>
      </c>
    </row>
    <row r="129" spans="3:14" x14ac:dyDescent="0.25">
      <c r="C129" t="str">
        <f>IF(COUNTBLANK(E129:K129) = 7,"",IF(AND(NOT(ISBLANK(E129)),COUNTBLANK(E129:K129) = 6),"3 Delete",IF(ISBLANK(E129),"2 Add",IF(SHA1Range(E129:K129) = "517d4b1ba436db73cebdc6542283c981582ded79","0 Original","1 Modify"))))</f>
        <v>0 Original</v>
      </c>
      <c r="D129" s="5" t="s">
        <v>2404</v>
      </c>
      <c r="E129" s="3">
        <v>3914</v>
      </c>
      <c r="F129" t="s">
        <v>1000</v>
      </c>
      <c r="G129" t="s">
        <v>514</v>
      </c>
      <c r="H129" s="9">
        <v>6.99</v>
      </c>
      <c r="I129" s="3">
        <v>1</v>
      </c>
      <c r="J129" s="5" t="s">
        <v>68</v>
      </c>
      <c r="K129" s="15">
        <v>41658.72755787037</v>
      </c>
      <c r="L129" s="20">
        <f t="shared" si="3"/>
        <v>41658</v>
      </c>
      <c r="M129" t="str">
        <f t="shared" si="4"/>
        <v>01-2014</v>
      </c>
      <c r="N129">
        <f t="shared" si="5"/>
        <v>6.99</v>
      </c>
    </row>
    <row r="130" spans="3:14" x14ac:dyDescent="0.25">
      <c r="C130" t="str">
        <f>IF(COUNTBLANK(E130:K130) = 7,"",IF(AND(NOT(ISBLANK(E130)),COUNTBLANK(E130:K130) = 6),"3 Delete",IF(ISBLANK(E130),"2 Add",IF(SHA1Range(E130:K130) = "618a0f7191140463c3cc92278eada5e224219d89","0 Original","1 Modify"))))</f>
        <v>0 Original</v>
      </c>
      <c r="D130" s="5" t="s">
        <v>2405</v>
      </c>
      <c r="E130" s="3">
        <v>3915</v>
      </c>
      <c r="F130" t="s">
        <v>1000</v>
      </c>
      <c r="G130" t="s">
        <v>749</v>
      </c>
      <c r="H130" s="9">
        <v>5.99</v>
      </c>
      <c r="I130" s="3">
        <v>2</v>
      </c>
      <c r="J130" s="5" t="s">
        <v>68</v>
      </c>
      <c r="K130" s="15">
        <v>41658.72755787037</v>
      </c>
      <c r="L130" s="20">
        <f t="shared" si="3"/>
        <v>41658</v>
      </c>
      <c r="M130" t="str">
        <f t="shared" si="4"/>
        <v>01-2014</v>
      </c>
      <c r="N130">
        <f t="shared" si="5"/>
        <v>11.98</v>
      </c>
    </row>
    <row r="131" spans="3:14" x14ac:dyDescent="0.25">
      <c r="C131" t="str">
        <f>IF(COUNTBLANK(E131:K131) = 7,"",IF(AND(NOT(ISBLANK(E131)),COUNTBLANK(E131:K131) = 6),"3 Delete",IF(ISBLANK(E131),"2 Add",IF(SHA1Range(E131:K131) = "fa592529865d066ec77c81d3f72dc526bd77e0ed","0 Original","1 Modify"))))</f>
        <v>0 Original</v>
      </c>
      <c r="D131" s="5" t="s">
        <v>2406</v>
      </c>
      <c r="E131" s="3">
        <v>3916</v>
      </c>
      <c r="F131" t="s">
        <v>1000</v>
      </c>
      <c r="G131" t="s">
        <v>514</v>
      </c>
      <c r="H131" s="9">
        <v>6.99</v>
      </c>
      <c r="I131" s="3">
        <v>2</v>
      </c>
      <c r="J131" s="5" t="s">
        <v>68</v>
      </c>
      <c r="K131" s="15">
        <v>41658.72755787037</v>
      </c>
      <c r="L131" s="20">
        <f t="shared" ref="L131:L194" si="6">DATEVALUE(LEFT(F131,10))</f>
        <v>41658</v>
      </c>
      <c r="M131" t="str">
        <f t="shared" ref="M131:M194" si="7">TEXT(L131,"mm-yyyy")</f>
        <v>01-2014</v>
      </c>
      <c r="N131">
        <f t="shared" ref="N131:N194" si="8">H131*I131</f>
        <v>13.98</v>
      </c>
    </row>
    <row r="132" spans="3:14" x14ac:dyDescent="0.25">
      <c r="C132" t="str">
        <f>IF(COUNTBLANK(E132:K132) = 7,"",IF(AND(NOT(ISBLANK(E132)),COUNTBLANK(E132:K132) = 6),"3 Delete",IF(ISBLANK(E132),"2 Add",IF(SHA1Range(E132:K132) = "75b1e2ba032bcc71efa73aae939540ea22d9a83c","0 Original","1 Modify"))))</f>
        <v>0 Original</v>
      </c>
      <c r="D132" s="5" t="s">
        <v>2407</v>
      </c>
      <c r="E132" s="3">
        <v>3917</v>
      </c>
      <c r="F132" t="s">
        <v>1000</v>
      </c>
      <c r="G132" t="s">
        <v>400</v>
      </c>
      <c r="H132" s="9">
        <v>4.99</v>
      </c>
      <c r="I132" s="3">
        <v>1</v>
      </c>
      <c r="J132" s="5" t="s">
        <v>68</v>
      </c>
      <c r="K132" s="15">
        <v>41658.72755787037</v>
      </c>
      <c r="L132" s="20">
        <f t="shared" si="6"/>
        <v>41658</v>
      </c>
      <c r="M132" t="str">
        <f t="shared" si="7"/>
        <v>01-2014</v>
      </c>
      <c r="N132">
        <f t="shared" si="8"/>
        <v>4.99</v>
      </c>
    </row>
    <row r="133" spans="3:14" x14ac:dyDescent="0.25">
      <c r="C133" t="str">
        <f>IF(COUNTBLANK(E133:K133) = 7,"",IF(AND(NOT(ISBLANK(E133)),COUNTBLANK(E133:K133) = 6),"3 Delete",IF(ISBLANK(E133),"2 Add",IF(SHA1Range(E133:K133) = "b96afc06305367b6fe8ecab1aae292e3c9bbaa86","0 Original","1 Modify"))))</f>
        <v>0 Original</v>
      </c>
      <c r="D133" s="5" t="s">
        <v>2408</v>
      </c>
      <c r="E133" s="3">
        <v>3918</v>
      </c>
      <c r="F133" t="s">
        <v>1000</v>
      </c>
      <c r="G133" t="s">
        <v>687</v>
      </c>
      <c r="H133" s="9">
        <v>9.99</v>
      </c>
      <c r="I133" s="3">
        <v>1</v>
      </c>
      <c r="J133" s="5" t="s">
        <v>68</v>
      </c>
      <c r="K133" s="15">
        <v>41658.72755787037</v>
      </c>
      <c r="L133" s="20">
        <f t="shared" si="6"/>
        <v>41658</v>
      </c>
      <c r="M133" t="str">
        <f t="shared" si="7"/>
        <v>01-2014</v>
      </c>
      <c r="N133">
        <f t="shared" si="8"/>
        <v>9.99</v>
      </c>
    </row>
    <row r="134" spans="3:14" x14ac:dyDescent="0.25">
      <c r="C134" t="str">
        <f>IF(COUNTBLANK(E134:K134) = 7,"",IF(AND(NOT(ISBLANK(E134)),COUNTBLANK(E134:K134) = 6),"3 Delete",IF(ISBLANK(E134),"2 Add",IF(SHA1Range(E134:K134) = "592416b9d3b5e92488928e96565326f6dab9589d","0 Original","1 Modify"))))</f>
        <v>0 Original</v>
      </c>
      <c r="D134" s="5" t="s">
        <v>2409</v>
      </c>
      <c r="E134" s="3">
        <v>3723</v>
      </c>
      <c r="F134" t="s">
        <v>1001</v>
      </c>
      <c r="G134" t="s">
        <v>687</v>
      </c>
      <c r="H134" s="9">
        <v>9.99</v>
      </c>
      <c r="I134" s="3">
        <v>1</v>
      </c>
      <c r="J134" s="5" t="s">
        <v>68</v>
      </c>
      <c r="K134" s="15">
        <v>41658.807326388887</v>
      </c>
      <c r="L134" s="20">
        <f t="shared" si="6"/>
        <v>41658</v>
      </c>
      <c r="M134" t="str">
        <f t="shared" si="7"/>
        <v>01-2014</v>
      </c>
      <c r="N134">
        <f t="shared" si="8"/>
        <v>9.99</v>
      </c>
    </row>
    <row r="135" spans="3:14" x14ac:dyDescent="0.25">
      <c r="C135" t="str">
        <f>IF(COUNTBLANK(E135:K135) = 7,"",IF(AND(NOT(ISBLANK(E135)),COUNTBLANK(E135:K135) = 6),"3 Delete",IF(ISBLANK(E135),"2 Add",IF(SHA1Range(E135:K135) = "7430704f5d6da43dabf720a078bb8a06d879a835","0 Original","1 Modify"))))</f>
        <v>0 Original</v>
      </c>
      <c r="D135" s="5" t="s">
        <v>2410</v>
      </c>
      <c r="E135" s="3">
        <v>3724</v>
      </c>
      <c r="F135" t="s">
        <v>1001</v>
      </c>
      <c r="G135" t="s">
        <v>948</v>
      </c>
      <c r="H135" s="9">
        <v>4.99</v>
      </c>
      <c r="I135" s="3">
        <v>1</v>
      </c>
      <c r="J135" s="5" t="s">
        <v>68</v>
      </c>
      <c r="K135" s="15">
        <v>41658.807326388887</v>
      </c>
      <c r="L135" s="20">
        <f t="shared" si="6"/>
        <v>41658</v>
      </c>
      <c r="M135" t="str">
        <f t="shared" si="7"/>
        <v>01-2014</v>
      </c>
      <c r="N135">
        <f t="shared" si="8"/>
        <v>4.99</v>
      </c>
    </row>
    <row r="136" spans="3:14" x14ac:dyDescent="0.25">
      <c r="C136" t="str">
        <f>IF(COUNTBLANK(E136:K136) = 7,"",IF(AND(NOT(ISBLANK(E136)),COUNTBLANK(E136:K136) = 6),"3 Delete",IF(ISBLANK(E136),"2 Add",IF(SHA1Range(E136:K136) = "7bb0b79f3ed7f6f5fc6171f6f431a047b75d8bc8","0 Original","1 Modify"))))</f>
        <v>0 Original</v>
      </c>
      <c r="D136" s="5" t="s">
        <v>2411</v>
      </c>
      <c r="E136" s="3">
        <v>3725</v>
      </c>
      <c r="F136" t="s">
        <v>1001</v>
      </c>
      <c r="G136" t="s">
        <v>642</v>
      </c>
      <c r="H136" s="9">
        <v>9.99</v>
      </c>
      <c r="I136" s="3">
        <v>2</v>
      </c>
      <c r="J136" s="5" t="s">
        <v>68</v>
      </c>
      <c r="K136" s="15">
        <v>41658.807326388887</v>
      </c>
      <c r="L136" s="20">
        <f t="shared" si="6"/>
        <v>41658</v>
      </c>
      <c r="M136" t="str">
        <f t="shared" si="7"/>
        <v>01-2014</v>
      </c>
      <c r="N136">
        <f t="shared" si="8"/>
        <v>19.98</v>
      </c>
    </row>
    <row r="137" spans="3:14" x14ac:dyDescent="0.25">
      <c r="C137" t="str">
        <f>IF(COUNTBLANK(E137:K137) = 7,"",IF(AND(NOT(ISBLANK(E137)),COUNTBLANK(E137:K137) = 6),"3 Delete",IF(ISBLANK(E137),"2 Add",IF(SHA1Range(E137:K137) = "065a7fa97d2148beef20294a570db1ec7fd8229e","0 Original","1 Modify"))))</f>
        <v>0 Original</v>
      </c>
      <c r="D137" s="5" t="s">
        <v>2412</v>
      </c>
      <c r="E137" s="3">
        <v>3726</v>
      </c>
      <c r="F137" t="s">
        <v>1001</v>
      </c>
      <c r="G137" t="s">
        <v>749</v>
      </c>
      <c r="H137" s="9">
        <v>5.99</v>
      </c>
      <c r="I137" s="3">
        <v>2</v>
      </c>
      <c r="J137" s="5" t="s">
        <v>68</v>
      </c>
      <c r="K137" s="15">
        <v>41658.807326388887</v>
      </c>
      <c r="L137" s="20">
        <f t="shared" si="6"/>
        <v>41658</v>
      </c>
      <c r="M137" t="str">
        <f t="shared" si="7"/>
        <v>01-2014</v>
      </c>
      <c r="N137">
        <f t="shared" si="8"/>
        <v>11.98</v>
      </c>
    </row>
    <row r="138" spans="3:14" x14ac:dyDescent="0.25">
      <c r="C138" t="str">
        <f>IF(COUNTBLANK(E138:K138) = 7,"",IF(AND(NOT(ISBLANK(E138)),COUNTBLANK(E138:K138) = 6),"3 Delete",IF(ISBLANK(E138),"2 Add",IF(SHA1Range(E138:K138) = "2234ea82ae2018b49bb9a5e61eb0651a2790f5b1","0 Original","1 Modify"))))</f>
        <v>0 Original</v>
      </c>
      <c r="D138" s="5" t="s">
        <v>2413</v>
      </c>
      <c r="E138" s="3">
        <v>3727</v>
      </c>
      <c r="F138" t="s">
        <v>1001</v>
      </c>
      <c r="G138" t="s">
        <v>552</v>
      </c>
      <c r="H138" s="9">
        <v>6.99</v>
      </c>
      <c r="I138" s="3">
        <v>1</v>
      </c>
      <c r="J138" s="5" t="s">
        <v>68</v>
      </c>
      <c r="K138" s="15">
        <v>41658.807326388887</v>
      </c>
      <c r="L138" s="20">
        <f t="shared" si="6"/>
        <v>41658</v>
      </c>
      <c r="M138" t="str">
        <f t="shared" si="7"/>
        <v>01-2014</v>
      </c>
      <c r="N138">
        <f t="shared" si="8"/>
        <v>6.99</v>
      </c>
    </row>
    <row r="139" spans="3:14" x14ac:dyDescent="0.25">
      <c r="C139" t="str">
        <f>IF(COUNTBLANK(E139:K139) = 7,"",IF(AND(NOT(ISBLANK(E139)),COUNTBLANK(E139:K139) = 6),"3 Delete",IF(ISBLANK(E139),"2 Add",IF(SHA1Range(E139:K139) = "e8176f40c0ec708408d1becd27340daf3ba0f623","0 Original","1 Modify"))))</f>
        <v>0 Original</v>
      </c>
      <c r="D139" s="5" t="s">
        <v>2414</v>
      </c>
      <c r="E139" s="3">
        <v>906</v>
      </c>
      <c r="F139" t="s">
        <v>1002</v>
      </c>
      <c r="G139" t="s">
        <v>600</v>
      </c>
      <c r="H139" s="9">
        <v>5.99</v>
      </c>
      <c r="I139" s="3">
        <v>2</v>
      </c>
      <c r="J139" s="5" t="s">
        <v>68</v>
      </c>
      <c r="K139" s="15">
        <v>41660.483553240738</v>
      </c>
      <c r="L139" s="20">
        <f t="shared" si="6"/>
        <v>41660</v>
      </c>
      <c r="M139" t="str">
        <f t="shared" si="7"/>
        <v>01-2014</v>
      </c>
      <c r="N139">
        <f t="shared" si="8"/>
        <v>11.98</v>
      </c>
    </row>
    <row r="140" spans="3:14" x14ac:dyDescent="0.25">
      <c r="C140" t="str">
        <f>IF(COUNTBLANK(E140:K140) = 7,"",IF(AND(NOT(ISBLANK(E140)),COUNTBLANK(E140:K140) = 6),"3 Delete",IF(ISBLANK(E140),"2 Add",IF(SHA1Range(E140:K140) = "92188ce7c9293dffd92d146a1461c9591b53c2da","0 Original","1 Modify"))))</f>
        <v>0 Original</v>
      </c>
      <c r="D140" s="5" t="s">
        <v>2415</v>
      </c>
      <c r="E140" s="3">
        <v>907</v>
      </c>
      <c r="F140" t="s">
        <v>1002</v>
      </c>
      <c r="G140" t="s">
        <v>389</v>
      </c>
      <c r="H140" s="9">
        <v>4.99</v>
      </c>
      <c r="I140" s="3">
        <v>1</v>
      </c>
      <c r="J140" s="5" t="s">
        <v>68</v>
      </c>
      <c r="K140" s="15">
        <v>41660.483553240738</v>
      </c>
      <c r="L140" s="20">
        <f t="shared" si="6"/>
        <v>41660</v>
      </c>
      <c r="M140" t="str">
        <f t="shared" si="7"/>
        <v>01-2014</v>
      </c>
      <c r="N140">
        <f t="shared" si="8"/>
        <v>4.99</v>
      </c>
    </row>
    <row r="141" spans="3:14" x14ac:dyDescent="0.25">
      <c r="C141" t="str">
        <f>IF(COUNTBLANK(E141:K141) = 7,"",IF(AND(NOT(ISBLANK(E141)),COUNTBLANK(E141:K141) = 6),"3 Delete",IF(ISBLANK(E141),"2 Add",IF(SHA1Range(E141:K141) = "9fc86762b5e293dc5817a0153a1e072f11116f1e","0 Original","1 Modify"))))</f>
        <v>0 Original</v>
      </c>
      <c r="D141" s="5" t="s">
        <v>2416</v>
      </c>
      <c r="E141" s="3">
        <v>2436</v>
      </c>
      <c r="F141" t="s">
        <v>1003</v>
      </c>
      <c r="G141" t="s">
        <v>707</v>
      </c>
      <c r="H141" s="9">
        <v>7.99</v>
      </c>
      <c r="I141" s="3">
        <v>2</v>
      </c>
      <c r="J141" s="5" t="s">
        <v>68</v>
      </c>
      <c r="K141" s="15">
        <v>41661.026319444441</v>
      </c>
      <c r="L141" s="20">
        <f t="shared" si="6"/>
        <v>41661</v>
      </c>
      <c r="M141" t="str">
        <f t="shared" si="7"/>
        <v>01-2014</v>
      </c>
      <c r="N141">
        <f t="shared" si="8"/>
        <v>15.98</v>
      </c>
    </row>
    <row r="142" spans="3:14" x14ac:dyDescent="0.25">
      <c r="C142" t="str">
        <f>IF(COUNTBLANK(E142:K142) = 7,"",IF(AND(NOT(ISBLANK(E142)),COUNTBLANK(E142:K142) = 6),"3 Delete",IF(ISBLANK(E142),"2 Add",IF(SHA1Range(E142:K142) = "ea0a6db34253aa32134ca6dee31af8d6e0e446fc","0 Original","1 Modify"))))</f>
        <v>0 Original</v>
      </c>
      <c r="D142" s="5" t="s">
        <v>2417</v>
      </c>
      <c r="E142" s="3">
        <v>2437</v>
      </c>
      <c r="F142" t="s">
        <v>1003</v>
      </c>
      <c r="G142" t="s">
        <v>579</v>
      </c>
      <c r="H142" s="9">
        <v>9.99</v>
      </c>
      <c r="I142" s="3">
        <v>1</v>
      </c>
      <c r="J142" s="5" t="s">
        <v>68</v>
      </c>
      <c r="K142" s="15">
        <v>41661.026319444441</v>
      </c>
      <c r="L142" s="20">
        <f t="shared" si="6"/>
        <v>41661</v>
      </c>
      <c r="M142" t="str">
        <f t="shared" si="7"/>
        <v>01-2014</v>
      </c>
      <c r="N142">
        <f t="shared" si="8"/>
        <v>9.99</v>
      </c>
    </row>
    <row r="143" spans="3:14" x14ac:dyDescent="0.25">
      <c r="C143" t="str">
        <f>IF(COUNTBLANK(E143:K143) = 7,"",IF(AND(NOT(ISBLANK(E143)),COUNTBLANK(E143:K143) = 6),"3 Delete",IF(ISBLANK(E143),"2 Add",IF(SHA1Range(E143:K143) = "19d0be327fac230f5edda082514c0eeab281aab5","0 Original","1 Modify"))))</f>
        <v>0 Original</v>
      </c>
      <c r="D143" s="5" t="s">
        <v>2418</v>
      </c>
      <c r="E143" s="3">
        <v>2438</v>
      </c>
      <c r="F143" t="s">
        <v>1003</v>
      </c>
      <c r="G143" t="s">
        <v>400</v>
      </c>
      <c r="H143" s="9">
        <v>4.99</v>
      </c>
      <c r="I143" s="3">
        <v>1</v>
      </c>
      <c r="J143" s="5" t="s">
        <v>68</v>
      </c>
      <c r="K143" s="15">
        <v>41661.026319444441</v>
      </c>
      <c r="L143" s="20">
        <f t="shared" si="6"/>
        <v>41661</v>
      </c>
      <c r="M143" t="str">
        <f t="shared" si="7"/>
        <v>01-2014</v>
      </c>
      <c r="N143">
        <f t="shared" si="8"/>
        <v>4.99</v>
      </c>
    </row>
    <row r="144" spans="3:14" x14ac:dyDescent="0.25">
      <c r="C144" t="str">
        <f>IF(COUNTBLANK(E144:K144) = 7,"",IF(AND(NOT(ISBLANK(E144)),COUNTBLANK(E144:K144) = 6),"3 Delete",IF(ISBLANK(E144),"2 Add",IF(SHA1Range(E144:K144) = "b81bc1b0273a1d860f2372e4ffab789548fa45de","0 Original","1 Modify"))))</f>
        <v>0 Original</v>
      </c>
      <c r="D144" s="5" t="s">
        <v>2419</v>
      </c>
      <c r="E144" s="3">
        <v>2439</v>
      </c>
      <c r="F144" t="s">
        <v>1003</v>
      </c>
      <c r="G144" t="s">
        <v>400</v>
      </c>
      <c r="H144" s="9">
        <v>4.99</v>
      </c>
      <c r="I144" s="3">
        <v>1</v>
      </c>
      <c r="J144" s="5" t="s">
        <v>68</v>
      </c>
      <c r="K144" s="15">
        <v>41661.026319444441</v>
      </c>
      <c r="L144" s="20">
        <f t="shared" si="6"/>
        <v>41661</v>
      </c>
      <c r="M144" t="str">
        <f t="shared" si="7"/>
        <v>01-2014</v>
      </c>
      <c r="N144">
        <f t="shared" si="8"/>
        <v>4.99</v>
      </c>
    </row>
    <row r="145" spans="3:14" x14ac:dyDescent="0.25">
      <c r="C145" t="str">
        <f>IF(COUNTBLANK(E145:K145) = 7,"",IF(AND(NOT(ISBLANK(E145)),COUNTBLANK(E145:K145) = 6),"3 Delete",IF(ISBLANK(E145),"2 Add",IF(SHA1Range(E145:K145) = "dc27c8915e5e402d53cade8b21a0b85fc08e9e6a","0 Original","1 Modify"))))</f>
        <v>0 Original</v>
      </c>
      <c r="D145" s="5" t="s">
        <v>2420</v>
      </c>
      <c r="E145" s="3">
        <v>2440</v>
      </c>
      <c r="F145" t="s">
        <v>1003</v>
      </c>
      <c r="G145" t="s">
        <v>552</v>
      </c>
      <c r="H145" s="9">
        <v>6.99</v>
      </c>
      <c r="I145" s="3">
        <v>1</v>
      </c>
      <c r="J145" s="5" t="s">
        <v>68</v>
      </c>
      <c r="K145" s="15">
        <v>41661.026319444441</v>
      </c>
      <c r="L145" s="20">
        <f t="shared" si="6"/>
        <v>41661</v>
      </c>
      <c r="M145" t="str">
        <f t="shared" si="7"/>
        <v>01-2014</v>
      </c>
      <c r="N145">
        <f t="shared" si="8"/>
        <v>6.99</v>
      </c>
    </row>
    <row r="146" spans="3:14" x14ac:dyDescent="0.25">
      <c r="C146" t="str">
        <f>IF(COUNTBLANK(E146:K146) = 7,"",IF(AND(NOT(ISBLANK(E146)),COUNTBLANK(E146:K146) = 6),"3 Delete",IF(ISBLANK(E146),"2 Add",IF(SHA1Range(E146:K146) = "6e3d33178e719b1466ef939dee5bc3cf6a60eb98","0 Original","1 Modify"))))</f>
        <v>0 Original</v>
      </c>
      <c r="D146" s="5" t="s">
        <v>2421</v>
      </c>
      <c r="E146" s="3">
        <v>2441</v>
      </c>
      <c r="F146" t="s">
        <v>1003</v>
      </c>
      <c r="G146" t="s">
        <v>400</v>
      </c>
      <c r="H146" s="9">
        <v>4.99</v>
      </c>
      <c r="I146" s="3">
        <v>1</v>
      </c>
      <c r="J146" s="5" t="s">
        <v>68</v>
      </c>
      <c r="K146" s="15">
        <v>41661.026319444441</v>
      </c>
      <c r="L146" s="20">
        <f t="shared" si="6"/>
        <v>41661</v>
      </c>
      <c r="M146" t="str">
        <f t="shared" si="7"/>
        <v>01-2014</v>
      </c>
      <c r="N146">
        <f t="shared" si="8"/>
        <v>4.99</v>
      </c>
    </row>
    <row r="147" spans="3:14" x14ac:dyDescent="0.25">
      <c r="C147" t="str">
        <f>IF(COUNTBLANK(E147:K147) = 7,"",IF(AND(NOT(ISBLANK(E147)),COUNTBLANK(E147:K147) = 6),"3 Delete",IF(ISBLANK(E147),"2 Add",IF(SHA1Range(E147:K147) = "aedd48aaab9c6983b9e80136f0a5ce055d470de6","0 Original","1 Modify"))))</f>
        <v>0 Original</v>
      </c>
      <c r="D147" s="5" t="s">
        <v>2422</v>
      </c>
      <c r="E147" s="3">
        <v>2442</v>
      </c>
      <c r="F147" t="s">
        <v>1003</v>
      </c>
      <c r="G147" t="s">
        <v>579</v>
      </c>
      <c r="H147" s="9">
        <v>9.99</v>
      </c>
      <c r="I147" s="3">
        <v>1</v>
      </c>
      <c r="J147" s="5" t="s">
        <v>68</v>
      </c>
      <c r="K147" s="15">
        <v>41661.026319444441</v>
      </c>
      <c r="L147" s="20">
        <f t="shared" si="6"/>
        <v>41661</v>
      </c>
      <c r="M147" t="str">
        <f t="shared" si="7"/>
        <v>01-2014</v>
      </c>
      <c r="N147">
        <f t="shared" si="8"/>
        <v>9.99</v>
      </c>
    </row>
    <row r="148" spans="3:14" x14ac:dyDescent="0.25">
      <c r="C148" t="str">
        <f>IF(COUNTBLANK(E148:K148) = 7,"",IF(AND(NOT(ISBLANK(E148)),COUNTBLANK(E148:K148) = 6),"3 Delete",IF(ISBLANK(E148),"2 Add",IF(SHA1Range(E148:K148) = "838e992300fd2d8a55ebd5c37b991a0df9890987","0 Original","1 Modify"))))</f>
        <v>0 Original</v>
      </c>
      <c r="D148" s="5" t="s">
        <v>2423</v>
      </c>
      <c r="E148" s="3">
        <v>2443</v>
      </c>
      <c r="F148" t="s">
        <v>1003</v>
      </c>
      <c r="G148" t="s">
        <v>687</v>
      </c>
      <c r="H148" s="9">
        <v>9.99</v>
      </c>
      <c r="I148" s="3">
        <v>2</v>
      </c>
      <c r="J148" s="5" t="s">
        <v>68</v>
      </c>
      <c r="K148" s="15">
        <v>41661.026319444441</v>
      </c>
      <c r="L148" s="20">
        <f t="shared" si="6"/>
        <v>41661</v>
      </c>
      <c r="M148" t="str">
        <f t="shared" si="7"/>
        <v>01-2014</v>
      </c>
      <c r="N148">
        <f t="shared" si="8"/>
        <v>19.98</v>
      </c>
    </row>
    <row r="149" spans="3:14" x14ac:dyDescent="0.25">
      <c r="C149" t="str">
        <f>IF(COUNTBLANK(E149:K149) = 7,"",IF(AND(NOT(ISBLANK(E149)),COUNTBLANK(E149:K149) = 6),"3 Delete",IF(ISBLANK(E149),"2 Add",IF(SHA1Range(E149:K149) = "89cc09c99efaab137da7534821e30c46d99b3b06","0 Original","1 Modify"))))</f>
        <v>0 Original</v>
      </c>
      <c r="D149" s="5" t="s">
        <v>2424</v>
      </c>
      <c r="E149" s="3">
        <v>2352</v>
      </c>
      <c r="F149" t="s">
        <v>1004</v>
      </c>
      <c r="G149" t="s">
        <v>912</v>
      </c>
      <c r="H149" s="9">
        <v>6.99</v>
      </c>
      <c r="I149" s="3">
        <v>2</v>
      </c>
      <c r="J149" s="5" t="s">
        <v>68</v>
      </c>
      <c r="K149" s="15">
        <v>41661.175729166665</v>
      </c>
      <c r="L149" s="20">
        <f t="shared" si="6"/>
        <v>41661</v>
      </c>
      <c r="M149" t="str">
        <f t="shared" si="7"/>
        <v>01-2014</v>
      </c>
      <c r="N149">
        <f t="shared" si="8"/>
        <v>13.98</v>
      </c>
    </row>
    <row r="150" spans="3:14" x14ac:dyDescent="0.25">
      <c r="C150" t="str">
        <f>IF(COUNTBLANK(E150:K150) = 7,"",IF(AND(NOT(ISBLANK(E150)),COUNTBLANK(E150:K150) = 6),"3 Delete",IF(ISBLANK(E150),"2 Add",IF(SHA1Range(E150:K150) = "f70f00b6553296811cfc2350d97ab47de3c5e012","0 Original","1 Modify"))))</f>
        <v>0 Original</v>
      </c>
      <c r="D150" s="5" t="s">
        <v>2425</v>
      </c>
      <c r="E150" s="3">
        <v>3634</v>
      </c>
      <c r="F150" t="s">
        <v>1005</v>
      </c>
      <c r="G150" t="s">
        <v>749</v>
      </c>
      <c r="H150" s="9">
        <v>5.99</v>
      </c>
      <c r="I150" s="3">
        <v>1</v>
      </c>
      <c r="J150" s="5" t="s">
        <v>68</v>
      </c>
      <c r="K150" s="15">
        <v>41661.610960648148</v>
      </c>
      <c r="L150" s="20">
        <f t="shared" si="6"/>
        <v>41661</v>
      </c>
      <c r="M150" t="str">
        <f t="shared" si="7"/>
        <v>01-2014</v>
      </c>
      <c r="N150">
        <f t="shared" si="8"/>
        <v>5.99</v>
      </c>
    </row>
    <row r="151" spans="3:14" x14ac:dyDescent="0.25">
      <c r="C151" t="str">
        <f>IF(COUNTBLANK(E151:K151) = 7,"",IF(AND(NOT(ISBLANK(E151)),COUNTBLANK(E151:K151) = 6),"3 Delete",IF(ISBLANK(E151),"2 Add",IF(SHA1Range(E151:K151) = "79a87a21c7e31ebe00e6b621242983fac85a8bfd","0 Original","1 Modify"))))</f>
        <v>0 Original</v>
      </c>
      <c r="D151" s="5" t="s">
        <v>2426</v>
      </c>
      <c r="E151" s="3">
        <v>3189</v>
      </c>
      <c r="F151" t="s">
        <v>1006</v>
      </c>
      <c r="G151" t="s">
        <v>642</v>
      </c>
      <c r="H151" s="9">
        <v>9.99</v>
      </c>
      <c r="I151" s="3">
        <v>2</v>
      </c>
      <c r="J151" s="5" t="s">
        <v>68</v>
      </c>
      <c r="K151" s="15">
        <v>41662.22928240741</v>
      </c>
      <c r="L151" s="20">
        <f t="shared" si="6"/>
        <v>41662</v>
      </c>
      <c r="M151" t="str">
        <f t="shared" si="7"/>
        <v>01-2014</v>
      </c>
      <c r="N151">
        <f t="shared" si="8"/>
        <v>19.98</v>
      </c>
    </row>
    <row r="152" spans="3:14" x14ac:dyDescent="0.25">
      <c r="C152" t="str">
        <f>IF(COUNTBLANK(E152:K152) = 7,"",IF(AND(NOT(ISBLANK(E152)),COUNTBLANK(E152:K152) = 6),"3 Delete",IF(ISBLANK(E152),"2 Add",IF(SHA1Range(E152:K152) = "44981b42437195880751c98f7777faa71b81ccf2","0 Original","1 Modify"))))</f>
        <v>0 Original</v>
      </c>
      <c r="D152" s="5" t="s">
        <v>2427</v>
      </c>
      <c r="E152" s="3">
        <v>3190</v>
      </c>
      <c r="F152" t="s">
        <v>1006</v>
      </c>
      <c r="G152" t="s">
        <v>579</v>
      </c>
      <c r="H152" s="9">
        <v>9.99</v>
      </c>
      <c r="I152" s="3">
        <v>1</v>
      </c>
      <c r="J152" s="5" t="s">
        <v>68</v>
      </c>
      <c r="K152" s="15">
        <v>41662.22928240741</v>
      </c>
      <c r="L152" s="20">
        <f t="shared" si="6"/>
        <v>41662</v>
      </c>
      <c r="M152" t="str">
        <f t="shared" si="7"/>
        <v>01-2014</v>
      </c>
      <c r="N152">
        <f t="shared" si="8"/>
        <v>9.99</v>
      </c>
    </row>
    <row r="153" spans="3:14" x14ac:dyDescent="0.25">
      <c r="C153" t="str">
        <f>IF(COUNTBLANK(E153:K153) = 7,"",IF(AND(NOT(ISBLANK(E153)),COUNTBLANK(E153:K153) = 6),"3 Delete",IF(ISBLANK(E153),"2 Add",IF(SHA1Range(E153:K153) = "56dd620c6bb0a6bdf17a70875746bdb8eac75089","0 Original","1 Modify"))))</f>
        <v>0 Original</v>
      </c>
      <c r="D153" s="5" t="s">
        <v>2428</v>
      </c>
      <c r="E153" s="3">
        <v>3191</v>
      </c>
      <c r="F153" t="s">
        <v>1006</v>
      </c>
      <c r="G153" t="s">
        <v>749</v>
      </c>
      <c r="H153" s="9">
        <v>5.99</v>
      </c>
      <c r="I153" s="3">
        <v>1</v>
      </c>
      <c r="J153" s="5" t="s">
        <v>68</v>
      </c>
      <c r="K153" s="15">
        <v>41662.22928240741</v>
      </c>
      <c r="L153" s="20">
        <f t="shared" si="6"/>
        <v>41662</v>
      </c>
      <c r="M153" t="str">
        <f t="shared" si="7"/>
        <v>01-2014</v>
      </c>
      <c r="N153">
        <f t="shared" si="8"/>
        <v>5.99</v>
      </c>
    </row>
    <row r="154" spans="3:14" x14ac:dyDescent="0.25">
      <c r="C154" t="str">
        <f>IF(COUNTBLANK(E154:K154) = 7,"",IF(AND(NOT(ISBLANK(E154)),COUNTBLANK(E154:K154) = 6),"3 Delete",IF(ISBLANK(E154),"2 Add",IF(SHA1Range(E154:K154) = "ef817299f5bf11cb03c9e2cc987d8666fb4ba552","0 Original","1 Modify"))))</f>
        <v>0 Original</v>
      </c>
      <c r="D154" s="5" t="s">
        <v>2429</v>
      </c>
      <c r="E154" s="3">
        <v>3192</v>
      </c>
      <c r="F154" t="s">
        <v>1006</v>
      </c>
      <c r="G154" t="s">
        <v>514</v>
      </c>
      <c r="H154" s="9">
        <v>6.99</v>
      </c>
      <c r="I154" s="3">
        <v>1</v>
      </c>
      <c r="J154" s="5" t="s">
        <v>68</v>
      </c>
      <c r="K154" s="15">
        <v>41662.22928240741</v>
      </c>
      <c r="L154" s="20">
        <f t="shared" si="6"/>
        <v>41662</v>
      </c>
      <c r="M154" t="str">
        <f t="shared" si="7"/>
        <v>01-2014</v>
      </c>
      <c r="N154">
        <f t="shared" si="8"/>
        <v>6.99</v>
      </c>
    </row>
    <row r="155" spans="3:14" x14ac:dyDescent="0.25">
      <c r="C155" t="str">
        <f>IF(COUNTBLANK(E155:K155) = 7,"",IF(AND(NOT(ISBLANK(E155)),COUNTBLANK(E155:K155) = 6),"3 Delete",IF(ISBLANK(E155),"2 Add",IF(SHA1Range(E155:K155) = "99c2f96a9207042a15af960ea108dc632637ee4e","0 Original","1 Modify"))))</f>
        <v>0 Original</v>
      </c>
      <c r="D155" s="5" t="s">
        <v>2430</v>
      </c>
      <c r="E155" s="3">
        <v>3193</v>
      </c>
      <c r="F155" t="s">
        <v>1006</v>
      </c>
      <c r="G155" t="s">
        <v>749</v>
      </c>
      <c r="H155" s="9">
        <v>5.99</v>
      </c>
      <c r="I155" s="3">
        <v>1</v>
      </c>
      <c r="J155" s="5" t="s">
        <v>68</v>
      </c>
      <c r="K155" s="15">
        <v>41662.22928240741</v>
      </c>
      <c r="L155" s="20">
        <f t="shared" si="6"/>
        <v>41662</v>
      </c>
      <c r="M155" t="str">
        <f t="shared" si="7"/>
        <v>01-2014</v>
      </c>
      <c r="N155">
        <f t="shared" si="8"/>
        <v>5.99</v>
      </c>
    </row>
    <row r="156" spans="3:14" x14ac:dyDescent="0.25">
      <c r="C156" t="str">
        <f>IF(COUNTBLANK(E156:K156) = 7,"",IF(AND(NOT(ISBLANK(E156)),COUNTBLANK(E156:K156) = 6),"3 Delete",IF(ISBLANK(E156),"2 Add",IF(SHA1Range(E156:K156) = "1f138bf7c63996bc0e69dca14b20eed71ed628c1","0 Original","1 Modify"))))</f>
        <v>0 Original</v>
      </c>
      <c r="D156" s="5" t="s">
        <v>2431</v>
      </c>
      <c r="E156" s="3">
        <v>2292</v>
      </c>
      <c r="F156" t="s">
        <v>1007</v>
      </c>
      <c r="G156" t="s">
        <v>792</v>
      </c>
      <c r="H156" s="9">
        <v>9.99</v>
      </c>
      <c r="I156" s="3">
        <v>1</v>
      </c>
      <c r="J156" s="5" t="s">
        <v>68</v>
      </c>
      <c r="K156" s="15">
        <v>41663.065370370372</v>
      </c>
      <c r="L156" s="20">
        <f t="shared" si="6"/>
        <v>41663</v>
      </c>
      <c r="M156" t="str">
        <f t="shared" si="7"/>
        <v>01-2014</v>
      </c>
      <c r="N156">
        <f t="shared" si="8"/>
        <v>9.99</v>
      </c>
    </row>
    <row r="157" spans="3:14" x14ac:dyDescent="0.25">
      <c r="C157" t="str">
        <f>IF(COUNTBLANK(E157:K157) = 7,"",IF(AND(NOT(ISBLANK(E157)),COUNTBLANK(E157:K157) = 6),"3 Delete",IF(ISBLANK(E157),"2 Add",IF(SHA1Range(E157:K157) = "923c83e4aa5953d897bef608700945a2ac5ff65e","0 Original","1 Modify"))))</f>
        <v>0 Original</v>
      </c>
      <c r="D157" s="5" t="s">
        <v>2432</v>
      </c>
      <c r="E157" s="3">
        <v>2293</v>
      </c>
      <c r="F157" t="s">
        <v>1007</v>
      </c>
      <c r="G157" t="s">
        <v>704</v>
      </c>
      <c r="H157" s="9">
        <v>4.99</v>
      </c>
      <c r="I157" s="3">
        <v>1</v>
      </c>
      <c r="J157" s="5" t="s">
        <v>68</v>
      </c>
      <c r="K157" s="15">
        <v>41663.065370370372</v>
      </c>
      <c r="L157" s="20">
        <f t="shared" si="6"/>
        <v>41663</v>
      </c>
      <c r="M157" t="str">
        <f t="shared" si="7"/>
        <v>01-2014</v>
      </c>
      <c r="N157">
        <f t="shared" si="8"/>
        <v>4.99</v>
      </c>
    </row>
    <row r="158" spans="3:14" x14ac:dyDescent="0.25">
      <c r="C158" t="str">
        <f>IF(COUNTBLANK(E158:K158) = 7,"",IF(AND(NOT(ISBLANK(E158)),COUNTBLANK(E158:K158) = 6),"3 Delete",IF(ISBLANK(E158),"2 Add",IF(SHA1Range(E158:K158) = "58a59c9d3f5da61a79bb340c55d8e29ba51f2bd3","0 Original","1 Modify"))))</f>
        <v>0 Original</v>
      </c>
      <c r="D158" s="5" t="s">
        <v>2433</v>
      </c>
      <c r="E158" s="3">
        <v>2294</v>
      </c>
      <c r="F158" t="s">
        <v>1007</v>
      </c>
      <c r="G158" t="s">
        <v>396</v>
      </c>
      <c r="H158" s="9">
        <v>8.99</v>
      </c>
      <c r="I158" s="3">
        <v>1</v>
      </c>
      <c r="J158" s="5" t="s">
        <v>68</v>
      </c>
      <c r="K158" s="15">
        <v>41663.065370370372</v>
      </c>
      <c r="L158" s="20">
        <f t="shared" si="6"/>
        <v>41663</v>
      </c>
      <c r="M158" t="str">
        <f t="shared" si="7"/>
        <v>01-2014</v>
      </c>
      <c r="N158">
        <f t="shared" si="8"/>
        <v>8.99</v>
      </c>
    </row>
    <row r="159" spans="3:14" x14ac:dyDescent="0.25">
      <c r="C159" t="str">
        <f>IF(COUNTBLANK(E159:K159) = 7,"",IF(AND(NOT(ISBLANK(E159)),COUNTBLANK(E159:K159) = 6),"3 Delete",IF(ISBLANK(E159),"2 Add",IF(SHA1Range(E159:K159) = "d824460bd0cd4118f360367c16e2b05f79dce697","0 Original","1 Modify"))))</f>
        <v>0 Original</v>
      </c>
      <c r="D159" s="5" t="s">
        <v>2434</v>
      </c>
      <c r="E159" s="3">
        <v>2842</v>
      </c>
      <c r="F159" t="s">
        <v>1008</v>
      </c>
      <c r="G159" t="s">
        <v>707</v>
      </c>
      <c r="H159" s="9">
        <v>7.99</v>
      </c>
      <c r="I159" s="3">
        <v>2</v>
      </c>
      <c r="J159" s="5" t="s">
        <v>68</v>
      </c>
      <c r="K159" s="15">
        <v>41663.14638888889</v>
      </c>
      <c r="L159" s="20">
        <f t="shared" si="6"/>
        <v>41663</v>
      </c>
      <c r="M159" t="str">
        <f t="shared" si="7"/>
        <v>01-2014</v>
      </c>
      <c r="N159">
        <f t="shared" si="8"/>
        <v>15.98</v>
      </c>
    </row>
    <row r="160" spans="3:14" x14ac:dyDescent="0.25">
      <c r="C160" t="str">
        <f>IF(COUNTBLANK(E160:K160) = 7,"",IF(AND(NOT(ISBLANK(E160)),COUNTBLANK(E160:K160) = 6),"3 Delete",IF(ISBLANK(E160),"2 Add",IF(SHA1Range(E160:K160) = "5e490f8f7325e4a43d50f066bfff367b9719b8df","0 Original","1 Modify"))))</f>
        <v>0 Original</v>
      </c>
      <c r="D160" s="5" t="s">
        <v>2435</v>
      </c>
      <c r="E160" s="3">
        <v>2843</v>
      </c>
      <c r="F160" t="s">
        <v>1008</v>
      </c>
      <c r="G160" t="s">
        <v>400</v>
      </c>
      <c r="H160" s="9">
        <v>4.99</v>
      </c>
      <c r="I160" s="3">
        <v>1</v>
      </c>
      <c r="J160" s="5" t="s">
        <v>68</v>
      </c>
      <c r="K160" s="15">
        <v>41663.14638888889</v>
      </c>
      <c r="L160" s="20">
        <f t="shared" si="6"/>
        <v>41663</v>
      </c>
      <c r="M160" t="str">
        <f t="shared" si="7"/>
        <v>01-2014</v>
      </c>
      <c r="N160">
        <f t="shared" si="8"/>
        <v>4.99</v>
      </c>
    </row>
    <row r="161" spans="3:14" x14ac:dyDescent="0.25">
      <c r="C161" t="str">
        <f>IF(COUNTBLANK(E161:K161) = 7,"",IF(AND(NOT(ISBLANK(E161)),COUNTBLANK(E161:K161) = 6),"3 Delete",IF(ISBLANK(E161),"2 Add",IF(SHA1Range(E161:K161) = "103504eda95e5ade0b6918b99ac8b6ae40876cd0","0 Original","1 Modify"))))</f>
        <v>0 Original</v>
      </c>
      <c r="D161" s="5" t="s">
        <v>2436</v>
      </c>
      <c r="E161" s="3">
        <v>1882</v>
      </c>
      <c r="F161" t="s">
        <v>1009</v>
      </c>
      <c r="G161" t="s">
        <v>396</v>
      </c>
      <c r="H161" s="9">
        <v>8.99</v>
      </c>
      <c r="I161" s="3">
        <v>1</v>
      </c>
      <c r="J161" s="5" t="s">
        <v>68</v>
      </c>
      <c r="K161" s="15">
        <v>41663.341805555552</v>
      </c>
      <c r="L161" s="20">
        <f t="shared" si="6"/>
        <v>41663</v>
      </c>
      <c r="M161" t="str">
        <f t="shared" si="7"/>
        <v>01-2014</v>
      </c>
      <c r="N161">
        <f t="shared" si="8"/>
        <v>8.99</v>
      </c>
    </row>
    <row r="162" spans="3:14" x14ac:dyDescent="0.25">
      <c r="C162" t="str">
        <f>IF(COUNTBLANK(E162:K162) = 7,"",IF(AND(NOT(ISBLANK(E162)),COUNTBLANK(E162:K162) = 6),"3 Delete",IF(ISBLANK(E162),"2 Add",IF(SHA1Range(E162:K162) = "ea42c04ab13d14aac9001f01cbaa5e5a4364656f","0 Original","1 Modify"))))</f>
        <v>0 Original</v>
      </c>
      <c r="D162" s="5" t="s">
        <v>2437</v>
      </c>
      <c r="E162" s="3">
        <v>1064</v>
      </c>
      <c r="F162" t="s">
        <v>1010</v>
      </c>
      <c r="G162" t="s">
        <v>926</v>
      </c>
      <c r="H162" s="9">
        <v>9.99</v>
      </c>
      <c r="I162" s="3">
        <v>1</v>
      </c>
      <c r="J162" s="5" t="s">
        <v>68</v>
      </c>
      <c r="K162" s="15">
        <v>41663.841817129629</v>
      </c>
      <c r="L162" s="20">
        <f t="shared" si="6"/>
        <v>41663</v>
      </c>
      <c r="M162" t="str">
        <f t="shared" si="7"/>
        <v>01-2014</v>
      </c>
      <c r="N162">
        <f t="shared" si="8"/>
        <v>9.99</v>
      </c>
    </row>
    <row r="163" spans="3:14" x14ac:dyDescent="0.25">
      <c r="C163" t="str">
        <f>IF(COUNTBLANK(E163:K163) = 7,"",IF(AND(NOT(ISBLANK(E163)),COUNTBLANK(E163:K163) = 6),"3 Delete",IF(ISBLANK(E163),"2 Add",IF(SHA1Range(E163:K163) = "c02ee4a94f20bd72b3676f8f97c2940ae474d832","0 Original","1 Modify"))))</f>
        <v>0 Original</v>
      </c>
      <c r="D163" s="5" t="s">
        <v>2438</v>
      </c>
      <c r="E163" s="3">
        <v>1065</v>
      </c>
      <c r="F163" t="s">
        <v>1010</v>
      </c>
      <c r="G163" t="s">
        <v>945</v>
      </c>
      <c r="H163" s="9">
        <v>4.99</v>
      </c>
      <c r="I163" s="3">
        <v>1</v>
      </c>
      <c r="J163" s="5" t="s">
        <v>68</v>
      </c>
      <c r="K163" s="15">
        <v>41663.841817129629</v>
      </c>
      <c r="L163" s="20">
        <f t="shared" si="6"/>
        <v>41663</v>
      </c>
      <c r="M163" t="str">
        <f t="shared" si="7"/>
        <v>01-2014</v>
      </c>
      <c r="N163">
        <f t="shared" si="8"/>
        <v>4.99</v>
      </c>
    </row>
    <row r="164" spans="3:14" x14ac:dyDescent="0.25">
      <c r="C164" t="str">
        <f>IF(COUNTBLANK(E164:K164) = 7,"",IF(AND(NOT(ISBLANK(E164)),COUNTBLANK(E164:K164) = 6),"3 Delete",IF(ISBLANK(E164),"2 Add",IF(SHA1Range(E164:K164) = "fab5caf1e42ccc2962776bb780a552fef24e0f84","0 Original","1 Modify"))))</f>
        <v>0 Original</v>
      </c>
      <c r="D164" s="5" t="s">
        <v>2439</v>
      </c>
      <c r="E164" s="3">
        <v>1066</v>
      </c>
      <c r="F164" t="s">
        <v>1010</v>
      </c>
      <c r="G164" t="s">
        <v>845</v>
      </c>
      <c r="H164" s="9">
        <v>7.99</v>
      </c>
      <c r="I164" s="3">
        <v>1</v>
      </c>
      <c r="J164" s="5" t="s">
        <v>68</v>
      </c>
      <c r="K164" s="15">
        <v>41663.841817129629</v>
      </c>
      <c r="L164" s="20">
        <f t="shared" si="6"/>
        <v>41663</v>
      </c>
      <c r="M164" t="str">
        <f t="shared" si="7"/>
        <v>01-2014</v>
      </c>
      <c r="N164">
        <f t="shared" si="8"/>
        <v>7.99</v>
      </c>
    </row>
    <row r="165" spans="3:14" x14ac:dyDescent="0.25">
      <c r="C165" t="str">
        <f>IF(COUNTBLANK(E165:K165) = 7,"",IF(AND(NOT(ISBLANK(E165)),COUNTBLANK(E165:K165) = 6),"3 Delete",IF(ISBLANK(E165),"2 Add",IF(SHA1Range(E165:K165) = "0cc2b54de4b25acf5a9b0d075f4a2f270a1bf0fc","0 Original","1 Modify"))))</f>
        <v>0 Original</v>
      </c>
      <c r="D165" s="5" t="s">
        <v>2440</v>
      </c>
      <c r="E165" s="3">
        <v>3596</v>
      </c>
      <c r="F165" t="s">
        <v>1011</v>
      </c>
      <c r="G165" t="s">
        <v>948</v>
      </c>
      <c r="H165" s="9">
        <v>4.99</v>
      </c>
      <c r="I165" s="3">
        <v>1</v>
      </c>
      <c r="J165" s="5" t="s">
        <v>68</v>
      </c>
      <c r="K165" s="15">
        <v>41666.439675925925</v>
      </c>
      <c r="L165" s="20">
        <f t="shared" si="6"/>
        <v>41666</v>
      </c>
      <c r="M165" t="str">
        <f t="shared" si="7"/>
        <v>01-2014</v>
      </c>
      <c r="N165">
        <f t="shared" si="8"/>
        <v>4.99</v>
      </c>
    </row>
    <row r="166" spans="3:14" x14ac:dyDescent="0.25">
      <c r="C166" t="str">
        <f>IF(COUNTBLANK(E166:K166) = 7,"",IF(AND(NOT(ISBLANK(E166)),COUNTBLANK(E166:K166) = 6),"3 Delete",IF(ISBLANK(E166),"2 Add",IF(SHA1Range(E166:K166) = "868edd824310ae451f53e909d74d1cb56a19151b","0 Original","1 Modify"))))</f>
        <v>0 Original</v>
      </c>
      <c r="D166" s="5" t="s">
        <v>2441</v>
      </c>
      <c r="E166" s="3">
        <v>3597</v>
      </c>
      <c r="F166" t="s">
        <v>1011</v>
      </c>
      <c r="G166" t="s">
        <v>400</v>
      </c>
      <c r="H166" s="9">
        <v>4.99</v>
      </c>
      <c r="I166" s="3">
        <v>1</v>
      </c>
      <c r="J166" s="5" t="s">
        <v>68</v>
      </c>
      <c r="K166" s="15">
        <v>41666.439675925925</v>
      </c>
      <c r="L166" s="20">
        <f t="shared" si="6"/>
        <v>41666</v>
      </c>
      <c r="M166" t="str">
        <f t="shared" si="7"/>
        <v>01-2014</v>
      </c>
      <c r="N166">
        <f t="shared" si="8"/>
        <v>4.99</v>
      </c>
    </row>
    <row r="167" spans="3:14" x14ac:dyDescent="0.25">
      <c r="C167" t="str">
        <f>IF(COUNTBLANK(E167:K167) = 7,"",IF(AND(NOT(ISBLANK(E167)),COUNTBLANK(E167:K167) = 6),"3 Delete",IF(ISBLANK(E167),"2 Add",IF(SHA1Range(E167:K167) = "8cc2e7ef81e31ccb5a765e2bd4c5501b363ee96a","0 Original","1 Modify"))))</f>
        <v>0 Original</v>
      </c>
      <c r="D167" s="5" t="s">
        <v>2442</v>
      </c>
      <c r="E167" s="3">
        <v>3598</v>
      </c>
      <c r="F167" t="s">
        <v>1011</v>
      </c>
      <c r="G167" t="s">
        <v>948</v>
      </c>
      <c r="H167" s="9">
        <v>4.99</v>
      </c>
      <c r="I167" s="3">
        <v>2</v>
      </c>
      <c r="J167" s="5" t="s">
        <v>68</v>
      </c>
      <c r="K167" s="15">
        <v>41666.439675925925</v>
      </c>
      <c r="L167" s="20">
        <f t="shared" si="6"/>
        <v>41666</v>
      </c>
      <c r="M167" t="str">
        <f t="shared" si="7"/>
        <v>01-2014</v>
      </c>
      <c r="N167">
        <f t="shared" si="8"/>
        <v>9.98</v>
      </c>
    </row>
    <row r="168" spans="3:14" x14ac:dyDescent="0.25">
      <c r="C168" t="str">
        <f>IF(COUNTBLANK(E168:K168) = 7,"",IF(AND(NOT(ISBLANK(E168)),COUNTBLANK(E168:K168) = 6),"3 Delete",IF(ISBLANK(E168),"2 Add",IF(SHA1Range(E168:K168) = "abe8a23619fb8f5feeab4ea13e5a5b888730224b","0 Original","1 Modify"))))</f>
        <v>0 Original</v>
      </c>
      <c r="D168" s="5" t="s">
        <v>2443</v>
      </c>
      <c r="E168" s="3">
        <v>3313</v>
      </c>
      <c r="F168" t="s">
        <v>1012</v>
      </c>
      <c r="G168" t="s">
        <v>579</v>
      </c>
      <c r="H168" s="9">
        <v>9.99</v>
      </c>
      <c r="I168" s="3">
        <v>1</v>
      </c>
      <c r="J168" s="5" t="s">
        <v>68</v>
      </c>
      <c r="K168" s="15">
        <v>41666.818506944444</v>
      </c>
      <c r="L168" s="20">
        <f t="shared" si="6"/>
        <v>41666</v>
      </c>
      <c r="M168" t="str">
        <f t="shared" si="7"/>
        <v>01-2014</v>
      </c>
      <c r="N168">
        <f t="shared" si="8"/>
        <v>9.99</v>
      </c>
    </row>
    <row r="169" spans="3:14" x14ac:dyDescent="0.25">
      <c r="C169" t="str">
        <f>IF(COUNTBLANK(E169:K169) = 7,"",IF(AND(NOT(ISBLANK(E169)),COUNTBLANK(E169:K169) = 6),"3 Delete",IF(ISBLANK(E169),"2 Add",IF(SHA1Range(E169:K169) = "c81002b77d0dc3e25eedb102d396d3d9cb6f3512","0 Original","1 Modify"))))</f>
        <v>0 Original</v>
      </c>
      <c r="D169" s="5" t="s">
        <v>2444</v>
      </c>
      <c r="E169" s="3">
        <v>3314</v>
      </c>
      <c r="F169" t="s">
        <v>1012</v>
      </c>
      <c r="G169" t="s">
        <v>373</v>
      </c>
      <c r="H169" s="9">
        <v>7.99</v>
      </c>
      <c r="I169" s="3">
        <v>2</v>
      </c>
      <c r="J169" s="5" t="s">
        <v>68</v>
      </c>
      <c r="K169" s="15">
        <v>41666.818506944444</v>
      </c>
      <c r="L169" s="20">
        <f t="shared" si="6"/>
        <v>41666</v>
      </c>
      <c r="M169" t="str">
        <f t="shared" si="7"/>
        <v>01-2014</v>
      </c>
      <c r="N169">
        <f t="shared" si="8"/>
        <v>15.98</v>
      </c>
    </row>
    <row r="170" spans="3:14" x14ac:dyDescent="0.25">
      <c r="C170" t="str">
        <f>IF(COUNTBLANK(E170:K170) = 7,"",IF(AND(NOT(ISBLANK(E170)),COUNTBLANK(E170:K170) = 6),"3 Delete",IF(ISBLANK(E170),"2 Add",IF(SHA1Range(E170:K170) = "8f6e3623139969fdaba2c604caff9f611c86700a","0 Original","1 Modify"))))</f>
        <v>0 Original</v>
      </c>
      <c r="D170" s="5" t="s">
        <v>2445</v>
      </c>
      <c r="E170" s="3">
        <v>3315</v>
      </c>
      <c r="F170" t="s">
        <v>1012</v>
      </c>
      <c r="G170" t="s">
        <v>749</v>
      </c>
      <c r="H170" s="9">
        <v>5.99</v>
      </c>
      <c r="I170" s="3">
        <v>1</v>
      </c>
      <c r="J170" s="5" t="s">
        <v>68</v>
      </c>
      <c r="K170" s="15">
        <v>41666.818506944444</v>
      </c>
      <c r="L170" s="20">
        <f t="shared" si="6"/>
        <v>41666</v>
      </c>
      <c r="M170" t="str">
        <f t="shared" si="7"/>
        <v>01-2014</v>
      </c>
      <c r="N170">
        <f t="shared" si="8"/>
        <v>5.99</v>
      </c>
    </row>
    <row r="171" spans="3:14" x14ac:dyDescent="0.25">
      <c r="C171" t="str">
        <f>IF(COUNTBLANK(E171:K171) = 7,"",IF(AND(NOT(ISBLANK(E171)),COUNTBLANK(E171:K171) = 6),"3 Delete",IF(ISBLANK(E171),"2 Add",IF(SHA1Range(E171:K171) = "17508280f8756a374b12f01127e660d55f02e5b2","0 Original","1 Modify"))))</f>
        <v>0 Original</v>
      </c>
      <c r="D171" s="5" t="s">
        <v>2446</v>
      </c>
      <c r="E171" s="3">
        <v>2424</v>
      </c>
      <c r="F171" t="s">
        <v>1013</v>
      </c>
      <c r="G171" t="s">
        <v>400</v>
      </c>
      <c r="H171" s="9">
        <v>4.99</v>
      </c>
      <c r="I171" s="3">
        <v>1</v>
      </c>
      <c r="J171" s="5" t="s">
        <v>68</v>
      </c>
      <c r="K171" s="15">
        <v>41667.308668981481</v>
      </c>
      <c r="L171" s="20">
        <f t="shared" si="6"/>
        <v>41667</v>
      </c>
      <c r="M171" t="str">
        <f t="shared" si="7"/>
        <v>01-2014</v>
      </c>
      <c r="N171">
        <f t="shared" si="8"/>
        <v>4.99</v>
      </c>
    </row>
    <row r="172" spans="3:14" x14ac:dyDescent="0.25">
      <c r="C172" t="str">
        <f>IF(COUNTBLANK(E172:K172) = 7,"",IF(AND(NOT(ISBLANK(E172)),COUNTBLANK(E172:K172) = 6),"3 Delete",IF(ISBLANK(E172),"2 Add",IF(SHA1Range(E172:K172) = "a63e20a9ac766b8adb0dfd4ae74c08d64862fdde","0 Original","1 Modify"))))</f>
        <v>0 Original</v>
      </c>
      <c r="D172" s="5" t="s">
        <v>2447</v>
      </c>
      <c r="E172" s="3">
        <v>2425</v>
      </c>
      <c r="F172" t="s">
        <v>1013</v>
      </c>
      <c r="G172" t="s">
        <v>948</v>
      </c>
      <c r="H172" s="9">
        <v>4.99</v>
      </c>
      <c r="I172" s="3">
        <v>1</v>
      </c>
      <c r="J172" s="5" t="s">
        <v>68</v>
      </c>
      <c r="K172" s="15">
        <v>41667.308668981481</v>
      </c>
      <c r="L172" s="20">
        <f t="shared" si="6"/>
        <v>41667</v>
      </c>
      <c r="M172" t="str">
        <f t="shared" si="7"/>
        <v>01-2014</v>
      </c>
      <c r="N172">
        <f t="shared" si="8"/>
        <v>4.99</v>
      </c>
    </row>
    <row r="173" spans="3:14" x14ac:dyDescent="0.25">
      <c r="C173" t="str">
        <f>IF(COUNTBLANK(E173:K173) = 7,"",IF(AND(NOT(ISBLANK(E173)),COUNTBLANK(E173:K173) = 6),"3 Delete",IF(ISBLANK(E173),"2 Add",IF(SHA1Range(E173:K173) = "145f2f2dcdd640e8aa225bbf52860a8df725e1bc","0 Original","1 Modify"))))</f>
        <v>0 Original</v>
      </c>
      <c r="D173" s="5" t="s">
        <v>2448</v>
      </c>
      <c r="E173" s="3">
        <v>460</v>
      </c>
      <c r="F173" t="s">
        <v>1014</v>
      </c>
      <c r="G173" t="s">
        <v>687</v>
      </c>
      <c r="H173" s="9">
        <v>9.99</v>
      </c>
      <c r="I173" s="3">
        <v>1</v>
      </c>
      <c r="J173" s="5" t="s">
        <v>68</v>
      </c>
      <c r="K173" s="15">
        <v>41667.315069444441</v>
      </c>
      <c r="L173" s="20">
        <f t="shared" si="6"/>
        <v>41667</v>
      </c>
      <c r="M173" t="str">
        <f t="shared" si="7"/>
        <v>01-2014</v>
      </c>
      <c r="N173">
        <f t="shared" si="8"/>
        <v>9.99</v>
      </c>
    </row>
    <row r="174" spans="3:14" x14ac:dyDescent="0.25">
      <c r="C174" t="str">
        <f>IF(COUNTBLANK(E174:K174) = 7,"",IF(AND(NOT(ISBLANK(E174)),COUNTBLANK(E174:K174) = 6),"3 Delete",IF(ISBLANK(E174),"2 Add",IF(SHA1Range(E174:K174) = "fa8677117f4b5f63d7da327cae82d2317c76160b","0 Original","1 Modify"))))</f>
        <v>0 Original</v>
      </c>
      <c r="D174" s="5" t="s">
        <v>2449</v>
      </c>
      <c r="E174" s="3">
        <v>1836</v>
      </c>
      <c r="F174" t="s">
        <v>1015</v>
      </c>
      <c r="G174" t="s">
        <v>657</v>
      </c>
      <c r="H174" s="9">
        <v>9.99</v>
      </c>
      <c r="I174" s="3">
        <v>1</v>
      </c>
      <c r="J174" s="5" t="s">
        <v>68</v>
      </c>
      <c r="K174" s="15">
        <v>41667.477905092594</v>
      </c>
      <c r="L174" s="20">
        <f t="shared" si="6"/>
        <v>41667</v>
      </c>
      <c r="M174" t="str">
        <f t="shared" si="7"/>
        <v>01-2014</v>
      </c>
      <c r="N174">
        <f t="shared" si="8"/>
        <v>9.99</v>
      </c>
    </row>
    <row r="175" spans="3:14" x14ac:dyDescent="0.25">
      <c r="C175" t="str">
        <f>IF(COUNTBLANK(E175:K175) = 7,"",IF(AND(NOT(ISBLANK(E175)),COUNTBLANK(E175:K175) = 6),"3 Delete",IF(ISBLANK(E175),"2 Add",IF(SHA1Range(E175:K175) = "d7e5a4e511c836d11e108256aa33a713ac434558","0 Original","1 Modify"))))</f>
        <v>0 Original</v>
      </c>
      <c r="D175" s="5" t="s">
        <v>2450</v>
      </c>
      <c r="E175" s="3">
        <v>1837</v>
      </c>
      <c r="F175" t="s">
        <v>1015</v>
      </c>
      <c r="G175" t="s">
        <v>570</v>
      </c>
      <c r="H175" s="9">
        <v>6.99</v>
      </c>
      <c r="I175" s="3">
        <v>1</v>
      </c>
      <c r="J175" s="5" t="s">
        <v>68</v>
      </c>
      <c r="K175" s="15">
        <v>41667.477905092594</v>
      </c>
      <c r="L175" s="20">
        <f t="shared" si="6"/>
        <v>41667</v>
      </c>
      <c r="M175" t="str">
        <f t="shared" si="7"/>
        <v>01-2014</v>
      </c>
      <c r="N175">
        <f t="shared" si="8"/>
        <v>6.99</v>
      </c>
    </row>
    <row r="176" spans="3:14" x14ac:dyDescent="0.25">
      <c r="C176" t="str">
        <f>IF(COUNTBLANK(E176:K176) = 7,"",IF(AND(NOT(ISBLANK(E176)),COUNTBLANK(E176:K176) = 6),"3 Delete",IF(ISBLANK(E176),"2 Add",IF(SHA1Range(E176:K176) = "0c45f04dde17f95ab05677b0dc943b1980ed5042","0 Original","1 Modify"))))</f>
        <v>0 Original</v>
      </c>
      <c r="D176" s="5" t="s">
        <v>2451</v>
      </c>
      <c r="E176" s="3">
        <v>1838</v>
      </c>
      <c r="F176" t="s">
        <v>1015</v>
      </c>
      <c r="G176" t="s">
        <v>680</v>
      </c>
      <c r="H176" s="9">
        <v>8.99</v>
      </c>
      <c r="I176" s="3">
        <v>1</v>
      </c>
      <c r="J176" s="5" t="s">
        <v>68</v>
      </c>
      <c r="K176" s="15">
        <v>41667.477905092594</v>
      </c>
      <c r="L176" s="20">
        <f t="shared" si="6"/>
        <v>41667</v>
      </c>
      <c r="M176" t="str">
        <f t="shared" si="7"/>
        <v>01-2014</v>
      </c>
      <c r="N176">
        <f t="shared" si="8"/>
        <v>8.99</v>
      </c>
    </row>
    <row r="177" spans="3:14" x14ac:dyDescent="0.25">
      <c r="C177" t="str">
        <f>IF(COUNTBLANK(E177:K177) = 7,"",IF(AND(NOT(ISBLANK(E177)),COUNTBLANK(E177:K177) = 6),"3 Delete",IF(ISBLANK(E177),"2 Add",IF(SHA1Range(E177:K177) = "e538c3de16028dc4f197ad26f2cceb82767a2e29","0 Original","1 Modify"))))</f>
        <v>0 Original</v>
      </c>
      <c r="D177" s="5" t="s">
        <v>2452</v>
      </c>
      <c r="E177" s="3">
        <v>951</v>
      </c>
      <c r="F177" t="s">
        <v>1016</v>
      </c>
      <c r="G177" t="s">
        <v>507</v>
      </c>
      <c r="H177" s="9">
        <v>6.99</v>
      </c>
      <c r="I177" s="3">
        <v>1</v>
      </c>
      <c r="J177" s="5" t="s">
        <v>68</v>
      </c>
      <c r="K177" s="15">
        <v>41667.844872685186</v>
      </c>
      <c r="L177" s="20">
        <f t="shared" si="6"/>
        <v>41667</v>
      </c>
      <c r="M177" t="str">
        <f t="shared" si="7"/>
        <v>01-2014</v>
      </c>
      <c r="N177">
        <f t="shared" si="8"/>
        <v>6.99</v>
      </c>
    </row>
    <row r="178" spans="3:14" x14ac:dyDescent="0.25">
      <c r="C178" t="str">
        <f>IF(COUNTBLANK(E178:K178) = 7,"",IF(AND(NOT(ISBLANK(E178)),COUNTBLANK(E178:K178) = 6),"3 Delete",IF(ISBLANK(E178),"2 Add",IF(SHA1Range(E178:K178) = "e01a25cc14cabd026850bae69f8069ac8bf5e66c","0 Original","1 Modify"))))</f>
        <v>0 Original</v>
      </c>
      <c r="D178" s="5" t="s">
        <v>2453</v>
      </c>
      <c r="E178" s="3">
        <v>952</v>
      </c>
      <c r="F178" t="s">
        <v>1016</v>
      </c>
      <c r="G178" t="s">
        <v>396</v>
      </c>
      <c r="H178" s="9">
        <v>8.99</v>
      </c>
      <c r="I178" s="3">
        <v>2</v>
      </c>
      <c r="J178" s="5" t="s">
        <v>68</v>
      </c>
      <c r="K178" s="15">
        <v>41667.844872685186</v>
      </c>
      <c r="L178" s="20">
        <f t="shared" si="6"/>
        <v>41667</v>
      </c>
      <c r="M178" t="str">
        <f t="shared" si="7"/>
        <v>01-2014</v>
      </c>
      <c r="N178">
        <f t="shared" si="8"/>
        <v>17.98</v>
      </c>
    </row>
    <row r="179" spans="3:14" x14ac:dyDescent="0.25">
      <c r="C179" t="str">
        <f>IF(COUNTBLANK(E179:K179) = 7,"",IF(AND(NOT(ISBLANK(E179)),COUNTBLANK(E179:K179) = 6),"3 Delete",IF(ISBLANK(E179),"2 Add",IF(SHA1Range(E179:K179) = "1bd3e946726485574d181d2e524f39ecfa082060","0 Original","1 Modify"))))</f>
        <v>0 Original</v>
      </c>
      <c r="D179" s="5" t="s">
        <v>2454</v>
      </c>
      <c r="E179" s="3">
        <v>953</v>
      </c>
      <c r="F179" t="s">
        <v>1016</v>
      </c>
      <c r="G179" t="s">
        <v>570</v>
      </c>
      <c r="H179" s="9">
        <v>6.99</v>
      </c>
      <c r="I179" s="3">
        <v>1</v>
      </c>
      <c r="J179" s="5" t="s">
        <v>68</v>
      </c>
      <c r="K179" s="15">
        <v>41667.844872685186</v>
      </c>
      <c r="L179" s="20">
        <f t="shared" si="6"/>
        <v>41667</v>
      </c>
      <c r="M179" t="str">
        <f t="shared" si="7"/>
        <v>01-2014</v>
      </c>
      <c r="N179">
        <f t="shared" si="8"/>
        <v>6.99</v>
      </c>
    </row>
    <row r="180" spans="3:14" x14ac:dyDescent="0.25">
      <c r="C180" t="str">
        <f>IF(COUNTBLANK(E180:K180) = 7,"",IF(AND(NOT(ISBLANK(E180)),COUNTBLANK(E180:K180) = 6),"3 Delete",IF(ISBLANK(E180),"2 Add",IF(SHA1Range(E180:K180) = "ae1c9f475576c875ae5e64ddcbfe46868851555e","0 Original","1 Modify"))))</f>
        <v>0 Original</v>
      </c>
      <c r="D180" s="5" t="s">
        <v>2455</v>
      </c>
      <c r="E180" s="3">
        <v>613</v>
      </c>
      <c r="F180" t="s">
        <v>1017</v>
      </c>
      <c r="G180" t="s">
        <v>767</v>
      </c>
      <c r="H180" s="9">
        <v>6.99</v>
      </c>
      <c r="I180" s="3">
        <v>1</v>
      </c>
      <c r="J180" s="5" t="s">
        <v>68</v>
      </c>
      <c r="K180" s="15">
        <v>41668.778055555558</v>
      </c>
      <c r="L180" s="20">
        <f t="shared" si="6"/>
        <v>41668</v>
      </c>
      <c r="M180" t="str">
        <f t="shared" si="7"/>
        <v>01-2014</v>
      </c>
      <c r="N180">
        <f t="shared" si="8"/>
        <v>6.99</v>
      </c>
    </row>
    <row r="181" spans="3:14" x14ac:dyDescent="0.25">
      <c r="C181" t="str">
        <f>IF(COUNTBLANK(E181:K181) = 7,"",IF(AND(NOT(ISBLANK(E181)),COUNTBLANK(E181:K181) = 6),"3 Delete",IF(ISBLANK(E181),"2 Add",IF(SHA1Range(E181:K181) = "9da48faee27864eab5808eb07329bbc6ff11b8ba","0 Original","1 Modify"))))</f>
        <v>0 Original</v>
      </c>
      <c r="D181" s="5" t="s">
        <v>2456</v>
      </c>
      <c r="E181" s="3">
        <v>614</v>
      </c>
      <c r="F181" t="s">
        <v>1017</v>
      </c>
      <c r="G181" t="s">
        <v>884</v>
      </c>
      <c r="H181" s="9">
        <v>5.99</v>
      </c>
      <c r="I181" s="3">
        <v>1</v>
      </c>
      <c r="J181" s="5" t="s">
        <v>68</v>
      </c>
      <c r="K181" s="15">
        <v>41668.778055555558</v>
      </c>
      <c r="L181" s="20">
        <f t="shared" si="6"/>
        <v>41668</v>
      </c>
      <c r="M181" t="str">
        <f t="shared" si="7"/>
        <v>01-2014</v>
      </c>
      <c r="N181">
        <f t="shared" si="8"/>
        <v>5.99</v>
      </c>
    </row>
    <row r="182" spans="3:14" x14ac:dyDescent="0.25">
      <c r="C182" t="str">
        <f>IF(COUNTBLANK(E182:K182) = 7,"",IF(AND(NOT(ISBLANK(E182)),COUNTBLANK(E182:K182) = 6),"3 Delete",IF(ISBLANK(E182),"2 Add",IF(SHA1Range(E182:K182) = "a5a309f0cafd6aa04e1d7c35e9a65b28b7566e18","0 Original","1 Modify"))))</f>
        <v>0 Original</v>
      </c>
      <c r="D182" s="5" t="s">
        <v>2457</v>
      </c>
      <c r="E182" s="3">
        <v>615</v>
      </c>
      <c r="F182" t="s">
        <v>1017</v>
      </c>
      <c r="G182" t="s">
        <v>848</v>
      </c>
      <c r="H182" s="9">
        <v>8.99</v>
      </c>
      <c r="I182" s="3">
        <v>1</v>
      </c>
      <c r="J182" s="5" t="s">
        <v>68</v>
      </c>
      <c r="K182" s="15">
        <v>41668.778055555558</v>
      </c>
      <c r="L182" s="20">
        <f t="shared" si="6"/>
        <v>41668</v>
      </c>
      <c r="M182" t="str">
        <f t="shared" si="7"/>
        <v>01-2014</v>
      </c>
      <c r="N182">
        <f t="shared" si="8"/>
        <v>8.99</v>
      </c>
    </row>
    <row r="183" spans="3:14" x14ac:dyDescent="0.25">
      <c r="C183" t="str">
        <f>IF(COUNTBLANK(E183:K183) = 7,"",IF(AND(NOT(ISBLANK(E183)),COUNTBLANK(E183:K183) = 6),"3 Delete",IF(ISBLANK(E183),"2 Add",IF(SHA1Range(E183:K183) = "4b4fcb1d88f00ffc8e697819a77ee434c4c4d52f","0 Original","1 Modify"))))</f>
        <v>0 Original</v>
      </c>
      <c r="D183" s="5" t="s">
        <v>2458</v>
      </c>
      <c r="E183" s="3">
        <v>616</v>
      </c>
      <c r="F183" t="s">
        <v>1017</v>
      </c>
      <c r="G183" t="s">
        <v>521</v>
      </c>
      <c r="H183" s="9">
        <v>7.99</v>
      </c>
      <c r="I183" s="3">
        <v>1</v>
      </c>
      <c r="J183" s="5" t="s">
        <v>68</v>
      </c>
      <c r="K183" s="15">
        <v>41668.778055555558</v>
      </c>
      <c r="L183" s="20">
        <f t="shared" si="6"/>
        <v>41668</v>
      </c>
      <c r="M183" t="str">
        <f t="shared" si="7"/>
        <v>01-2014</v>
      </c>
      <c r="N183">
        <f t="shared" si="8"/>
        <v>7.99</v>
      </c>
    </row>
    <row r="184" spans="3:14" x14ac:dyDescent="0.25">
      <c r="C184" t="str">
        <f>IF(COUNTBLANK(E184:K184) = 7,"",IF(AND(NOT(ISBLANK(E184)),COUNTBLANK(E184:K184) = 6),"3 Delete",IF(ISBLANK(E184),"2 Add",IF(SHA1Range(E184:K184) = "c1a59f9a41f6c9a275fb7cacf3d1e1a06ed05c65","0 Original","1 Modify"))))</f>
        <v>0 Original</v>
      </c>
      <c r="D184" s="5" t="s">
        <v>2459</v>
      </c>
      <c r="E184" s="3">
        <v>617</v>
      </c>
      <c r="F184" t="s">
        <v>1017</v>
      </c>
      <c r="G184" t="s">
        <v>628</v>
      </c>
      <c r="H184" s="9">
        <v>6.99</v>
      </c>
      <c r="I184" s="3">
        <v>2</v>
      </c>
      <c r="J184" s="5" t="s">
        <v>68</v>
      </c>
      <c r="K184" s="15">
        <v>41668.778055555558</v>
      </c>
      <c r="L184" s="20">
        <f t="shared" si="6"/>
        <v>41668</v>
      </c>
      <c r="M184" t="str">
        <f t="shared" si="7"/>
        <v>01-2014</v>
      </c>
      <c r="N184">
        <f t="shared" si="8"/>
        <v>13.98</v>
      </c>
    </row>
    <row r="185" spans="3:14" x14ac:dyDescent="0.25">
      <c r="C185" t="str">
        <f>IF(COUNTBLANK(E185:K185) = 7,"",IF(AND(NOT(ISBLANK(E185)),COUNTBLANK(E185:K185) = 6),"3 Delete",IF(ISBLANK(E185),"2 Add",IF(SHA1Range(E185:K185) = "35b5716ce5f57c557447f49fee78293b07f6cc14","0 Original","1 Modify"))))</f>
        <v>0 Original</v>
      </c>
      <c r="D185" s="5" t="s">
        <v>2460</v>
      </c>
      <c r="E185" s="3">
        <v>1059</v>
      </c>
      <c r="F185" t="s">
        <v>1018</v>
      </c>
      <c r="G185" t="s">
        <v>842</v>
      </c>
      <c r="H185" s="9">
        <v>4.99</v>
      </c>
      <c r="I185" s="3">
        <v>2</v>
      </c>
      <c r="J185" s="5" t="s">
        <v>68</v>
      </c>
      <c r="K185" s="15">
        <v>41668.992094907408</v>
      </c>
      <c r="L185" s="20">
        <f t="shared" si="6"/>
        <v>41668</v>
      </c>
      <c r="M185" t="str">
        <f t="shared" si="7"/>
        <v>01-2014</v>
      </c>
      <c r="N185">
        <f t="shared" si="8"/>
        <v>9.98</v>
      </c>
    </row>
    <row r="186" spans="3:14" x14ac:dyDescent="0.25">
      <c r="C186" t="str">
        <f>IF(COUNTBLANK(E186:K186) = 7,"",IF(AND(NOT(ISBLANK(E186)),COUNTBLANK(E186:K186) = 6),"3 Delete",IF(ISBLANK(E186),"2 Add",IF(SHA1Range(E186:K186) = "7bda53ff44d1303a2fe606a36ffe8bf418e5218c","0 Original","1 Modify"))))</f>
        <v>0 Original</v>
      </c>
      <c r="D186" s="5" t="s">
        <v>2461</v>
      </c>
      <c r="E186" s="3">
        <v>1060</v>
      </c>
      <c r="F186" t="s">
        <v>1018</v>
      </c>
      <c r="G186" t="s">
        <v>389</v>
      </c>
      <c r="H186" s="9">
        <v>4.99</v>
      </c>
      <c r="I186" s="3">
        <v>1</v>
      </c>
      <c r="J186" s="5" t="s">
        <v>68</v>
      </c>
      <c r="K186" s="15">
        <v>41668.992094907408</v>
      </c>
      <c r="L186" s="20">
        <f t="shared" si="6"/>
        <v>41668</v>
      </c>
      <c r="M186" t="str">
        <f t="shared" si="7"/>
        <v>01-2014</v>
      </c>
      <c r="N186">
        <f t="shared" si="8"/>
        <v>4.99</v>
      </c>
    </row>
    <row r="187" spans="3:14" x14ac:dyDescent="0.25">
      <c r="C187" t="str">
        <f>IF(COUNTBLANK(E187:K187) = 7,"",IF(AND(NOT(ISBLANK(E187)),COUNTBLANK(E187:K187) = 6),"3 Delete",IF(ISBLANK(E187),"2 Add",IF(SHA1Range(E187:K187) = "99054ee7a4640c238ef9c00d4106bb67c8b095a9","0 Original","1 Modify"))))</f>
        <v>0 Original</v>
      </c>
      <c r="D187" s="5" t="s">
        <v>2462</v>
      </c>
      <c r="E187" s="3">
        <v>3553</v>
      </c>
      <c r="F187" t="s">
        <v>1019</v>
      </c>
      <c r="G187" t="s">
        <v>707</v>
      </c>
      <c r="H187" s="9">
        <v>7.99</v>
      </c>
      <c r="I187" s="3">
        <v>1</v>
      </c>
      <c r="J187" s="5" t="s">
        <v>68</v>
      </c>
      <c r="K187" s="15">
        <v>41669.190648148149</v>
      </c>
      <c r="L187" s="20">
        <f t="shared" si="6"/>
        <v>41669</v>
      </c>
      <c r="M187" t="str">
        <f t="shared" si="7"/>
        <v>01-2014</v>
      </c>
      <c r="N187">
        <f t="shared" si="8"/>
        <v>7.99</v>
      </c>
    </row>
    <row r="188" spans="3:14" x14ac:dyDescent="0.25">
      <c r="C188" t="str">
        <f>IF(COUNTBLANK(E188:K188) = 7,"",IF(AND(NOT(ISBLANK(E188)),COUNTBLANK(E188:K188) = 6),"3 Delete",IF(ISBLANK(E188),"2 Add",IF(SHA1Range(E188:K188) = "3b6ca952705d9359c6051dd8fece1f5a9adf721d","0 Original","1 Modify"))))</f>
        <v>0 Original</v>
      </c>
      <c r="D188" s="5" t="s">
        <v>2463</v>
      </c>
      <c r="E188" s="3">
        <v>3554</v>
      </c>
      <c r="F188" t="s">
        <v>1019</v>
      </c>
      <c r="G188" t="s">
        <v>707</v>
      </c>
      <c r="H188" s="9">
        <v>7.99</v>
      </c>
      <c r="I188" s="3">
        <v>1</v>
      </c>
      <c r="J188" s="5" t="s">
        <v>68</v>
      </c>
      <c r="K188" s="15">
        <v>41669.190648148149</v>
      </c>
      <c r="L188" s="20">
        <f t="shared" si="6"/>
        <v>41669</v>
      </c>
      <c r="M188" t="str">
        <f t="shared" si="7"/>
        <v>01-2014</v>
      </c>
      <c r="N188">
        <f t="shared" si="8"/>
        <v>7.99</v>
      </c>
    </row>
    <row r="189" spans="3:14" x14ac:dyDescent="0.25">
      <c r="C189" t="str">
        <f>IF(COUNTBLANK(E189:K189) = 7,"",IF(AND(NOT(ISBLANK(E189)),COUNTBLANK(E189:K189) = 6),"3 Delete",IF(ISBLANK(E189),"2 Add",IF(SHA1Range(E189:K189) = "3b4e555062e72dfd629ac4a1d6692e15cf6e16cd","0 Original","1 Modify"))))</f>
        <v>0 Original</v>
      </c>
      <c r="D189" s="5" t="s">
        <v>2464</v>
      </c>
      <c r="E189" s="3">
        <v>3555</v>
      </c>
      <c r="F189" t="s">
        <v>1019</v>
      </c>
      <c r="G189" t="s">
        <v>642</v>
      </c>
      <c r="H189" s="9">
        <v>9.99</v>
      </c>
      <c r="I189" s="3">
        <v>1</v>
      </c>
      <c r="J189" s="5" t="s">
        <v>68</v>
      </c>
      <c r="K189" s="15">
        <v>41669.190648148149</v>
      </c>
      <c r="L189" s="20">
        <f t="shared" si="6"/>
        <v>41669</v>
      </c>
      <c r="M189" t="str">
        <f t="shared" si="7"/>
        <v>01-2014</v>
      </c>
      <c r="N189">
        <f t="shared" si="8"/>
        <v>9.99</v>
      </c>
    </row>
    <row r="190" spans="3:14" x14ac:dyDescent="0.25">
      <c r="C190" t="str">
        <f>IF(COUNTBLANK(E190:K190) = 7,"",IF(AND(NOT(ISBLANK(E190)),COUNTBLANK(E190:K190) = 6),"3 Delete",IF(ISBLANK(E190),"2 Add",IF(SHA1Range(E190:K190) = "9aac94b72d79d49fa4ad1464d1dcfba39c9337ae","0 Original","1 Modify"))))</f>
        <v>0 Original</v>
      </c>
      <c r="D190" s="5" t="s">
        <v>2465</v>
      </c>
      <c r="E190" s="3">
        <v>3790</v>
      </c>
      <c r="F190" t="s">
        <v>1020</v>
      </c>
      <c r="G190" t="s">
        <v>579</v>
      </c>
      <c r="H190" s="9">
        <v>9.99</v>
      </c>
      <c r="I190" s="3">
        <v>2</v>
      </c>
      <c r="J190" s="5" t="s">
        <v>68</v>
      </c>
      <c r="K190" s="15">
        <v>41669.720636574071</v>
      </c>
      <c r="L190" s="20">
        <f t="shared" si="6"/>
        <v>41669</v>
      </c>
      <c r="M190" t="str">
        <f t="shared" si="7"/>
        <v>01-2014</v>
      </c>
      <c r="N190">
        <f t="shared" si="8"/>
        <v>19.98</v>
      </c>
    </row>
    <row r="191" spans="3:14" x14ac:dyDescent="0.25">
      <c r="C191" t="str">
        <f>IF(COUNTBLANK(E191:K191) = 7,"",IF(AND(NOT(ISBLANK(E191)),COUNTBLANK(E191:K191) = 6),"3 Delete",IF(ISBLANK(E191),"2 Add",IF(SHA1Range(E191:K191) = "88321ee3d923d3dad85bb0510a2c9d61f3560d1f","0 Original","1 Modify"))))</f>
        <v>0 Original</v>
      </c>
      <c r="D191" s="5" t="s">
        <v>2466</v>
      </c>
      <c r="E191" s="3">
        <v>3791</v>
      </c>
      <c r="F191" t="s">
        <v>1020</v>
      </c>
      <c r="G191" t="s">
        <v>373</v>
      </c>
      <c r="H191" s="9">
        <v>7.99</v>
      </c>
      <c r="I191" s="3">
        <v>1</v>
      </c>
      <c r="J191" s="5" t="s">
        <v>68</v>
      </c>
      <c r="K191" s="15">
        <v>41669.720636574071</v>
      </c>
      <c r="L191" s="20">
        <f t="shared" si="6"/>
        <v>41669</v>
      </c>
      <c r="M191" t="str">
        <f t="shared" si="7"/>
        <v>01-2014</v>
      </c>
      <c r="N191">
        <f t="shared" si="8"/>
        <v>7.99</v>
      </c>
    </row>
    <row r="192" spans="3:14" x14ac:dyDescent="0.25">
      <c r="C192" t="str">
        <f>IF(COUNTBLANK(E192:K192) = 7,"",IF(AND(NOT(ISBLANK(E192)),COUNTBLANK(E192:K192) = 6),"3 Delete",IF(ISBLANK(E192),"2 Add",IF(SHA1Range(E192:K192) = "cb8333841a1a7353d4a08d825088d7297671b0df","0 Original","1 Modify"))))</f>
        <v>0 Original</v>
      </c>
      <c r="D192" s="5" t="s">
        <v>2467</v>
      </c>
      <c r="E192" s="3">
        <v>3792</v>
      </c>
      <c r="F192" t="s">
        <v>1020</v>
      </c>
      <c r="G192" t="s">
        <v>642</v>
      </c>
      <c r="H192" s="9">
        <v>9.99</v>
      </c>
      <c r="I192" s="3">
        <v>1</v>
      </c>
      <c r="J192" s="5" t="s">
        <v>68</v>
      </c>
      <c r="K192" s="15">
        <v>41669.720636574071</v>
      </c>
      <c r="L192" s="20">
        <f t="shared" si="6"/>
        <v>41669</v>
      </c>
      <c r="M192" t="str">
        <f t="shared" si="7"/>
        <v>01-2014</v>
      </c>
      <c r="N192">
        <f t="shared" si="8"/>
        <v>9.99</v>
      </c>
    </row>
    <row r="193" spans="3:14" x14ac:dyDescent="0.25">
      <c r="C193" t="str">
        <f>IF(COUNTBLANK(E193:K193) = 7,"",IF(AND(NOT(ISBLANK(E193)),COUNTBLANK(E193:K193) = 6),"3 Delete",IF(ISBLANK(E193),"2 Add",IF(SHA1Range(E193:K193) = "a3e5f5cdfb0b04506f7dc3f0a4959834c8b28dcc","0 Original","1 Modify"))))</f>
        <v>0 Original</v>
      </c>
      <c r="D193" s="5" t="s">
        <v>2468</v>
      </c>
      <c r="E193" s="3">
        <v>1197</v>
      </c>
      <c r="F193" t="s">
        <v>1021</v>
      </c>
      <c r="G193" t="s">
        <v>560</v>
      </c>
      <c r="H193" s="9">
        <v>8.99</v>
      </c>
      <c r="I193" s="3">
        <v>2</v>
      </c>
      <c r="J193" s="5" t="s">
        <v>68</v>
      </c>
      <c r="K193" s="15">
        <v>41670.302349537036</v>
      </c>
      <c r="L193" s="20">
        <f t="shared" si="6"/>
        <v>41670</v>
      </c>
      <c r="M193" t="str">
        <f t="shared" si="7"/>
        <v>01-2014</v>
      </c>
      <c r="N193">
        <f t="shared" si="8"/>
        <v>17.98</v>
      </c>
    </row>
    <row r="194" spans="3:14" x14ac:dyDescent="0.25">
      <c r="C194" t="str">
        <f>IF(COUNTBLANK(E194:K194) = 7,"",IF(AND(NOT(ISBLANK(E194)),COUNTBLANK(E194:K194) = 6),"3 Delete",IF(ISBLANK(E194),"2 Add",IF(SHA1Range(E194:K194) = "2e9d7500c66b5ec7ef4a14b6a8893a4530cb3335","0 Original","1 Modify"))))</f>
        <v>0 Original</v>
      </c>
      <c r="D194" s="5" t="s">
        <v>2469</v>
      </c>
      <c r="E194" s="3">
        <v>1267</v>
      </c>
      <c r="F194" t="s">
        <v>1022</v>
      </c>
      <c r="G194" t="s">
        <v>761</v>
      </c>
      <c r="H194" s="9">
        <v>8.99</v>
      </c>
      <c r="I194" s="3">
        <v>1</v>
      </c>
      <c r="J194" s="5" t="s">
        <v>68</v>
      </c>
      <c r="K194" s="15">
        <v>41670.314768518518</v>
      </c>
      <c r="L194" s="20">
        <f t="shared" si="6"/>
        <v>41670</v>
      </c>
      <c r="M194" t="str">
        <f t="shared" si="7"/>
        <v>01-2014</v>
      </c>
      <c r="N194">
        <f t="shared" si="8"/>
        <v>8.99</v>
      </c>
    </row>
    <row r="195" spans="3:14" x14ac:dyDescent="0.25">
      <c r="C195" t="str">
        <f>IF(COUNTBLANK(E195:K195) = 7,"",IF(AND(NOT(ISBLANK(E195)),COUNTBLANK(E195:K195) = 6),"3 Delete",IF(ISBLANK(E195),"2 Add",IF(SHA1Range(E195:K195) = "d0f2b8961627ccb6c013f46e69a292d848585099","0 Original","1 Modify"))))</f>
        <v>0 Original</v>
      </c>
      <c r="D195" s="5" t="s">
        <v>2470</v>
      </c>
      <c r="E195" s="3">
        <v>1268</v>
      </c>
      <c r="F195" t="s">
        <v>1022</v>
      </c>
      <c r="G195" t="s">
        <v>942</v>
      </c>
      <c r="H195" s="9">
        <v>6.99</v>
      </c>
      <c r="I195" s="3">
        <v>1</v>
      </c>
      <c r="J195" s="5" t="s">
        <v>68</v>
      </c>
      <c r="K195" s="15">
        <v>41670.314768518518</v>
      </c>
      <c r="L195" s="20">
        <f t="shared" ref="L195:L258" si="9">DATEVALUE(LEFT(F195,10))</f>
        <v>41670</v>
      </c>
      <c r="M195" t="str">
        <f t="shared" ref="M195:M258" si="10">TEXT(L195,"mm-yyyy")</f>
        <v>01-2014</v>
      </c>
      <c r="N195">
        <f t="shared" ref="N195:N258" si="11">H195*I195</f>
        <v>6.99</v>
      </c>
    </row>
    <row r="196" spans="3:14" x14ac:dyDescent="0.25">
      <c r="C196" t="str">
        <f>IF(COUNTBLANK(E196:K196) = 7,"",IF(AND(NOT(ISBLANK(E196)),COUNTBLANK(E196:K196) = 6),"3 Delete",IF(ISBLANK(E196),"2 Add",IF(SHA1Range(E196:K196) = "8e8e7d2cb0fbf6aeda840e41438fee6ad965acf7","0 Original","1 Modify"))))</f>
        <v>0 Original</v>
      </c>
      <c r="D196" s="5" t="s">
        <v>2471</v>
      </c>
      <c r="E196" s="3">
        <v>3827</v>
      </c>
      <c r="F196" t="s">
        <v>1023</v>
      </c>
      <c r="G196" t="s">
        <v>642</v>
      </c>
      <c r="H196" s="9">
        <v>9.99</v>
      </c>
      <c r="I196" s="3">
        <v>2</v>
      </c>
      <c r="J196" s="5" t="s">
        <v>68</v>
      </c>
      <c r="K196" s="15">
        <v>41671.596782407411</v>
      </c>
      <c r="L196" s="20">
        <f t="shared" si="9"/>
        <v>41671</v>
      </c>
      <c r="M196" t="str">
        <f t="shared" si="10"/>
        <v>02-2014</v>
      </c>
      <c r="N196">
        <f t="shared" si="11"/>
        <v>19.98</v>
      </c>
    </row>
    <row r="197" spans="3:14" x14ac:dyDescent="0.25">
      <c r="C197" t="str">
        <f>IF(COUNTBLANK(E197:K197) = 7,"",IF(AND(NOT(ISBLANK(E197)),COUNTBLANK(E197:K197) = 6),"3 Delete",IF(ISBLANK(E197),"2 Add",IF(SHA1Range(E197:K197) = "13d0060082da9c44625648288c18d477769f31df","0 Original","1 Modify"))))</f>
        <v>0 Original</v>
      </c>
      <c r="D197" s="5" t="s">
        <v>2472</v>
      </c>
      <c r="E197" s="3">
        <v>3828</v>
      </c>
      <c r="F197" t="s">
        <v>1023</v>
      </c>
      <c r="G197" t="s">
        <v>948</v>
      </c>
      <c r="H197" s="9">
        <v>4.99</v>
      </c>
      <c r="I197" s="3">
        <v>1</v>
      </c>
      <c r="J197" s="5" t="s">
        <v>68</v>
      </c>
      <c r="K197" s="15">
        <v>41671.596782407411</v>
      </c>
      <c r="L197" s="20">
        <f t="shared" si="9"/>
        <v>41671</v>
      </c>
      <c r="M197" t="str">
        <f t="shared" si="10"/>
        <v>02-2014</v>
      </c>
      <c r="N197">
        <f t="shared" si="11"/>
        <v>4.99</v>
      </c>
    </row>
    <row r="198" spans="3:14" x14ac:dyDescent="0.25">
      <c r="C198" t="str">
        <f>IF(COUNTBLANK(E198:K198) = 7,"",IF(AND(NOT(ISBLANK(E198)),COUNTBLANK(E198:K198) = 6),"3 Delete",IF(ISBLANK(E198),"2 Add",IF(SHA1Range(E198:K198) = "8bb0718ee884efd269a72e8476205be78554d326","0 Original","1 Modify"))))</f>
        <v>0 Original</v>
      </c>
      <c r="D198" s="5" t="s">
        <v>2473</v>
      </c>
      <c r="E198" s="3">
        <v>3829</v>
      </c>
      <c r="F198" t="s">
        <v>1023</v>
      </c>
      <c r="G198" t="s">
        <v>552</v>
      </c>
      <c r="H198" s="9">
        <v>6.99</v>
      </c>
      <c r="I198" s="3">
        <v>1</v>
      </c>
      <c r="J198" s="5" t="s">
        <v>68</v>
      </c>
      <c r="K198" s="15">
        <v>41671.596782407411</v>
      </c>
      <c r="L198" s="20">
        <f t="shared" si="9"/>
        <v>41671</v>
      </c>
      <c r="M198" t="str">
        <f t="shared" si="10"/>
        <v>02-2014</v>
      </c>
      <c r="N198">
        <f t="shared" si="11"/>
        <v>6.99</v>
      </c>
    </row>
    <row r="199" spans="3:14" x14ac:dyDescent="0.25">
      <c r="C199" t="str">
        <f>IF(COUNTBLANK(E199:K199) = 7,"",IF(AND(NOT(ISBLANK(E199)),COUNTBLANK(E199:K199) = 6),"3 Delete",IF(ISBLANK(E199),"2 Add",IF(SHA1Range(E199:K199) = "6f93677dd4ad7a027c85978d1f4c0f3797f5d797","0 Original","1 Modify"))))</f>
        <v>0 Original</v>
      </c>
      <c r="D199" s="5" t="s">
        <v>2474</v>
      </c>
      <c r="E199" s="3">
        <v>1866</v>
      </c>
      <c r="F199" t="s">
        <v>1024</v>
      </c>
      <c r="G199" t="s">
        <v>761</v>
      </c>
      <c r="H199" s="9">
        <v>8.99</v>
      </c>
      <c r="I199" s="3">
        <v>1</v>
      </c>
      <c r="J199" s="5" t="s">
        <v>68</v>
      </c>
      <c r="K199" s="15">
        <v>41672.034120370372</v>
      </c>
      <c r="L199" s="20">
        <f t="shared" si="9"/>
        <v>41672</v>
      </c>
      <c r="M199" t="str">
        <f t="shared" si="10"/>
        <v>02-2014</v>
      </c>
      <c r="N199">
        <f t="shared" si="11"/>
        <v>8.99</v>
      </c>
    </row>
    <row r="200" spans="3:14" x14ac:dyDescent="0.25">
      <c r="C200" t="str">
        <f>IF(COUNTBLANK(E200:K200) = 7,"",IF(AND(NOT(ISBLANK(E200)),COUNTBLANK(E200:K200) = 6),"3 Delete",IF(ISBLANK(E200),"2 Add",IF(SHA1Range(E200:K200) = "38ee6ff676163759b830daa76df9e05b135c5aa8","0 Original","1 Modify"))))</f>
        <v>0 Original</v>
      </c>
      <c r="D200" s="5" t="s">
        <v>2475</v>
      </c>
      <c r="E200" s="3">
        <v>1867</v>
      </c>
      <c r="F200" t="s">
        <v>1024</v>
      </c>
      <c r="G200" t="s">
        <v>588</v>
      </c>
      <c r="H200" s="9">
        <v>4.99</v>
      </c>
      <c r="I200" s="3">
        <v>1</v>
      </c>
      <c r="J200" s="5" t="s">
        <v>68</v>
      </c>
      <c r="K200" s="15">
        <v>41672.034120370372</v>
      </c>
      <c r="L200" s="20">
        <f t="shared" si="9"/>
        <v>41672</v>
      </c>
      <c r="M200" t="str">
        <f t="shared" si="10"/>
        <v>02-2014</v>
      </c>
      <c r="N200">
        <f t="shared" si="11"/>
        <v>4.99</v>
      </c>
    </row>
    <row r="201" spans="3:14" x14ac:dyDescent="0.25">
      <c r="C201" t="str">
        <f>IF(COUNTBLANK(E201:K201) = 7,"",IF(AND(NOT(ISBLANK(E201)),COUNTBLANK(E201:K201) = 6),"3 Delete",IF(ISBLANK(E201),"2 Add",IF(SHA1Range(E201:K201) = "78d0e16407c4f6e3fae517cfe804b19619c4f698","0 Original","1 Modify"))))</f>
        <v>0 Original</v>
      </c>
      <c r="D201" s="5" t="s">
        <v>2476</v>
      </c>
      <c r="E201" s="3">
        <v>1868</v>
      </c>
      <c r="F201" t="s">
        <v>1024</v>
      </c>
      <c r="G201" t="s">
        <v>503</v>
      </c>
      <c r="H201" s="9">
        <v>9.99</v>
      </c>
      <c r="I201" s="3">
        <v>1</v>
      </c>
      <c r="J201" s="5" t="s">
        <v>68</v>
      </c>
      <c r="K201" s="15">
        <v>41672.034120370372</v>
      </c>
      <c r="L201" s="20">
        <f t="shared" si="9"/>
        <v>41672</v>
      </c>
      <c r="M201" t="str">
        <f t="shared" si="10"/>
        <v>02-2014</v>
      </c>
      <c r="N201">
        <f t="shared" si="11"/>
        <v>9.99</v>
      </c>
    </row>
    <row r="202" spans="3:14" x14ac:dyDescent="0.25">
      <c r="C202" t="str">
        <f>IF(COUNTBLANK(E202:K202) = 7,"",IF(AND(NOT(ISBLANK(E202)),COUNTBLANK(E202:K202) = 6),"3 Delete",IF(ISBLANK(E202),"2 Add",IF(SHA1Range(E202:K202) = "421e8735bdbdeda136dd63f01e9c669d51170852","0 Original","1 Modify"))))</f>
        <v>0 Original</v>
      </c>
      <c r="D202" s="5" t="s">
        <v>2477</v>
      </c>
      <c r="E202" s="3">
        <v>1814</v>
      </c>
      <c r="F202" t="s">
        <v>1025</v>
      </c>
      <c r="G202" t="s">
        <v>735</v>
      </c>
      <c r="H202" s="9">
        <v>4.99</v>
      </c>
      <c r="I202" s="3">
        <v>1</v>
      </c>
      <c r="J202" s="5" t="s">
        <v>68</v>
      </c>
      <c r="K202" s="15">
        <v>41672.840462962966</v>
      </c>
      <c r="L202" s="20">
        <f t="shared" si="9"/>
        <v>41672</v>
      </c>
      <c r="M202" t="str">
        <f t="shared" si="10"/>
        <v>02-2014</v>
      </c>
      <c r="N202">
        <f t="shared" si="11"/>
        <v>4.99</v>
      </c>
    </row>
    <row r="203" spans="3:14" x14ac:dyDescent="0.25">
      <c r="C203" t="str">
        <f>IF(COUNTBLANK(E203:K203) = 7,"",IF(AND(NOT(ISBLANK(E203)),COUNTBLANK(E203:K203) = 6),"3 Delete",IF(ISBLANK(E203),"2 Add",IF(SHA1Range(E203:K203) = "a8003a79e10fac445394e86be3718d163cde83b3","0 Original","1 Modify"))))</f>
        <v>0 Original</v>
      </c>
      <c r="D203" s="5" t="s">
        <v>2478</v>
      </c>
      <c r="E203" s="3">
        <v>1815</v>
      </c>
      <c r="F203" t="s">
        <v>1025</v>
      </c>
      <c r="G203" t="s">
        <v>570</v>
      </c>
      <c r="H203" s="9">
        <v>6.99</v>
      </c>
      <c r="I203" s="3">
        <v>1</v>
      </c>
      <c r="J203" s="5" t="s">
        <v>68</v>
      </c>
      <c r="K203" s="15">
        <v>41672.840462962966</v>
      </c>
      <c r="L203" s="20">
        <f t="shared" si="9"/>
        <v>41672</v>
      </c>
      <c r="M203" t="str">
        <f t="shared" si="10"/>
        <v>02-2014</v>
      </c>
      <c r="N203">
        <f t="shared" si="11"/>
        <v>6.99</v>
      </c>
    </row>
    <row r="204" spans="3:14" x14ac:dyDescent="0.25">
      <c r="C204" t="str">
        <f>IF(COUNTBLANK(E204:K204) = 7,"",IF(AND(NOT(ISBLANK(E204)),COUNTBLANK(E204:K204) = 6),"3 Delete",IF(ISBLANK(E204),"2 Add",IF(SHA1Range(E204:K204) = "7dcf5282cc73ee7180d3eac44edf274b93979cfa","0 Original","1 Modify"))))</f>
        <v>0 Original</v>
      </c>
      <c r="D204" s="5" t="s">
        <v>2479</v>
      </c>
      <c r="E204" s="3">
        <v>1816</v>
      </c>
      <c r="F204" t="s">
        <v>1025</v>
      </c>
      <c r="G204" t="s">
        <v>585</v>
      </c>
      <c r="H204" s="9">
        <v>9.99</v>
      </c>
      <c r="I204" s="3">
        <v>1</v>
      </c>
      <c r="J204" s="5" t="s">
        <v>68</v>
      </c>
      <c r="K204" s="15">
        <v>41672.840462962966</v>
      </c>
      <c r="L204" s="20">
        <f t="shared" si="9"/>
        <v>41672</v>
      </c>
      <c r="M204" t="str">
        <f t="shared" si="10"/>
        <v>02-2014</v>
      </c>
      <c r="N204">
        <f t="shared" si="11"/>
        <v>9.99</v>
      </c>
    </row>
    <row r="205" spans="3:14" x14ac:dyDescent="0.25">
      <c r="C205" t="str">
        <f>IF(COUNTBLANK(E205:K205) = 7,"",IF(AND(NOT(ISBLANK(E205)),COUNTBLANK(E205:K205) = 6),"3 Delete",IF(ISBLANK(E205),"2 Add",IF(SHA1Range(E205:K205) = "ec4bc740b79cfe0498fd726abee30d94a055f022","0 Original","1 Modify"))))</f>
        <v>0 Original</v>
      </c>
      <c r="D205" s="5" t="s">
        <v>2480</v>
      </c>
      <c r="E205" s="3">
        <v>1817</v>
      </c>
      <c r="F205" t="s">
        <v>1025</v>
      </c>
      <c r="G205" t="s">
        <v>507</v>
      </c>
      <c r="H205" s="9">
        <v>6.99</v>
      </c>
      <c r="I205" s="3">
        <v>1</v>
      </c>
      <c r="J205" s="5" t="s">
        <v>68</v>
      </c>
      <c r="K205" s="15">
        <v>41672.840462962966</v>
      </c>
      <c r="L205" s="20">
        <f t="shared" si="9"/>
        <v>41672</v>
      </c>
      <c r="M205" t="str">
        <f t="shared" si="10"/>
        <v>02-2014</v>
      </c>
      <c r="N205">
        <f t="shared" si="11"/>
        <v>6.99</v>
      </c>
    </row>
    <row r="206" spans="3:14" x14ac:dyDescent="0.25">
      <c r="C206" t="str">
        <f>IF(COUNTBLANK(E206:K206) = 7,"",IF(AND(NOT(ISBLANK(E206)),COUNTBLANK(E206:K206) = 6),"3 Delete",IF(ISBLANK(E206),"2 Add",IF(SHA1Range(E206:K206) = "38932a9d0e395bcd93c86997a943fdc01d2e6f4e","0 Original","1 Modify"))))</f>
        <v>0 Original</v>
      </c>
      <c r="D206" s="5" t="s">
        <v>2481</v>
      </c>
      <c r="E206" s="3">
        <v>1818</v>
      </c>
      <c r="F206" t="s">
        <v>1025</v>
      </c>
      <c r="G206" t="s">
        <v>671</v>
      </c>
      <c r="H206" s="9">
        <v>6.99</v>
      </c>
      <c r="I206" s="3">
        <v>2</v>
      </c>
      <c r="J206" s="5" t="s">
        <v>68</v>
      </c>
      <c r="K206" s="15">
        <v>41672.840462962966</v>
      </c>
      <c r="L206" s="20">
        <f t="shared" si="9"/>
        <v>41672</v>
      </c>
      <c r="M206" t="str">
        <f t="shared" si="10"/>
        <v>02-2014</v>
      </c>
      <c r="N206">
        <f t="shared" si="11"/>
        <v>13.98</v>
      </c>
    </row>
    <row r="207" spans="3:14" x14ac:dyDescent="0.25">
      <c r="C207" t="str">
        <f>IF(COUNTBLANK(E207:K207) = 7,"",IF(AND(NOT(ISBLANK(E207)),COUNTBLANK(E207:K207) = 6),"3 Delete",IF(ISBLANK(E207),"2 Add",IF(SHA1Range(E207:K207) = "6269188c3ba02c301777925de2726642a62d5a74","0 Original","1 Modify"))))</f>
        <v>0 Original</v>
      </c>
      <c r="D207" s="5" t="s">
        <v>2482</v>
      </c>
      <c r="E207" s="3">
        <v>1819</v>
      </c>
      <c r="F207" t="s">
        <v>1025</v>
      </c>
      <c r="G207" t="s">
        <v>771</v>
      </c>
      <c r="H207" s="9">
        <v>9.99</v>
      </c>
      <c r="I207" s="3">
        <v>1</v>
      </c>
      <c r="J207" s="5" t="s">
        <v>68</v>
      </c>
      <c r="K207" s="15">
        <v>41672.840462962966</v>
      </c>
      <c r="L207" s="20">
        <f t="shared" si="9"/>
        <v>41672</v>
      </c>
      <c r="M207" t="str">
        <f t="shared" si="10"/>
        <v>02-2014</v>
      </c>
      <c r="N207">
        <f t="shared" si="11"/>
        <v>9.99</v>
      </c>
    </row>
    <row r="208" spans="3:14" x14ac:dyDescent="0.25">
      <c r="C208" t="str">
        <f>IF(COUNTBLANK(E208:K208) = 7,"",IF(AND(NOT(ISBLANK(E208)),COUNTBLANK(E208:K208) = 6),"3 Delete",IF(ISBLANK(E208),"2 Add",IF(SHA1Range(E208:K208) = "c5088c7abad27242835c5b4162197956c4ca4ec8","0 Original","1 Modify"))))</f>
        <v>0 Original</v>
      </c>
      <c r="D208" s="5" t="s">
        <v>2483</v>
      </c>
      <c r="E208" s="3">
        <v>422</v>
      </c>
      <c r="F208" t="s">
        <v>1026</v>
      </c>
      <c r="G208" t="s">
        <v>729</v>
      </c>
      <c r="H208" s="9">
        <v>8.99</v>
      </c>
      <c r="I208" s="3">
        <v>1</v>
      </c>
      <c r="J208" s="5" t="s">
        <v>68</v>
      </c>
      <c r="K208" s="15">
        <v>41673.101134259261</v>
      </c>
      <c r="L208" s="20">
        <f t="shared" si="9"/>
        <v>41673</v>
      </c>
      <c r="M208" t="str">
        <f t="shared" si="10"/>
        <v>02-2014</v>
      </c>
      <c r="N208">
        <f t="shared" si="11"/>
        <v>8.99</v>
      </c>
    </row>
    <row r="209" spans="3:14" x14ac:dyDescent="0.25">
      <c r="C209" t="str">
        <f>IF(COUNTBLANK(E209:K209) = 7,"",IF(AND(NOT(ISBLANK(E209)),COUNTBLANK(E209:K209) = 6),"3 Delete",IF(ISBLANK(E209),"2 Add",IF(SHA1Range(E209:K209) = "a2777ab8e9d1899eca768c35c3291ba1b058804f","0 Original","1 Modify"))))</f>
        <v>0 Original</v>
      </c>
      <c r="D209" s="5" t="s">
        <v>2484</v>
      </c>
      <c r="E209" s="3">
        <v>423</v>
      </c>
      <c r="F209" t="s">
        <v>1026</v>
      </c>
      <c r="G209" t="s">
        <v>454</v>
      </c>
      <c r="H209" s="9">
        <v>7.99</v>
      </c>
      <c r="I209" s="3">
        <v>1</v>
      </c>
      <c r="J209" s="5" t="s">
        <v>68</v>
      </c>
      <c r="K209" s="15">
        <v>41673.101134259261</v>
      </c>
      <c r="L209" s="20">
        <f t="shared" si="9"/>
        <v>41673</v>
      </c>
      <c r="M209" t="str">
        <f t="shared" si="10"/>
        <v>02-2014</v>
      </c>
      <c r="N209">
        <f t="shared" si="11"/>
        <v>7.99</v>
      </c>
    </row>
    <row r="210" spans="3:14" x14ac:dyDescent="0.25">
      <c r="C210" t="str">
        <f>IF(COUNTBLANK(E210:K210) = 7,"",IF(AND(NOT(ISBLANK(E210)),COUNTBLANK(E210:K210) = 6),"3 Delete",IF(ISBLANK(E210),"2 Add",IF(SHA1Range(E210:K210) = "0c59aab5a35672f13427edfffe1fc4a5504cfe42","0 Original","1 Modify"))))</f>
        <v>0 Original</v>
      </c>
      <c r="D210" s="5" t="s">
        <v>2485</v>
      </c>
      <c r="E210" s="3">
        <v>424</v>
      </c>
      <c r="F210" t="s">
        <v>1026</v>
      </c>
      <c r="G210" t="s">
        <v>651</v>
      </c>
      <c r="H210" s="9">
        <v>4.99</v>
      </c>
      <c r="I210" s="3">
        <v>2</v>
      </c>
      <c r="J210" s="5" t="s">
        <v>68</v>
      </c>
      <c r="K210" s="15">
        <v>41673.101134259261</v>
      </c>
      <c r="L210" s="20">
        <f t="shared" si="9"/>
        <v>41673</v>
      </c>
      <c r="M210" t="str">
        <f t="shared" si="10"/>
        <v>02-2014</v>
      </c>
      <c r="N210">
        <f t="shared" si="11"/>
        <v>9.98</v>
      </c>
    </row>
    <row r="211" spans="3:14" x14ac:dyDescent="0.25">
      <c r="C211" t="str">
        <f>IF(COUNTBLANK(E211:K211) = 7,"",IF(AND(NOT(ISBLANK(E211)),COUNTBLANK(E211:K211) = 6),"3 Delete",IF(ISBLANK(E211),"2 Add",IF(SHA1Range(E211:K211) = "dc9cfa8ec45046fbf4ce56b4ebebe75dc0992984","0 Original","1 Modify"))))</f>
        <v>0 Original</v>
      </c>
      <c r="D211" s="5" t="s">
        <v>2486</v>
      </c>
      <c r="E211" s="3">
        <v>425</v>
      </c>
      <c r="F211" t="s">
        <v>1026</v>
      </c>
      <c r="G211" t="s">
        <v>448</v>
      </c>
      <c r="H211" s="9">
        <v>8.99</v>
      </c>
      <c r="I211" s="3">
        <v>1</v>
      </c>
      <c r="J211" s="5" t="s">
        <v>68</v>
      </c>
      <c r="K211" s="15">
        <v>41673.101134259261</v>
      </c>
      <c r="L211" s="20">
        <f t="shared" si="9"/>
        <v>41673</v>
      </c>
      <c r="M211" t="str">
        <f t="shared" si="10"/>
        <v>02-2014</v>
      </c>
      <c r="N211">
        <f t="shared" si="11"/>
        <v>8.99</v>
      </c>
    </row>
    <row r="212" spans="3:14" x14ac:dyDescent="0.25">
      <c r="C212" t="str">
        <f>IF(COUNTBLANK(E212:K212) = 7,"",IF(AND(NOT(ISBLANK(E212)),COUNTBLANK(E212:K212) = 6),"3 Delete",IF(ISBLANK(E212),"2 Add",IF(SHA1Range(E212:K212) = "8d8a64a8b003d2e4e03f5149bc1225369c2f74c3","0 Original","1 Modify"))))</f>
        <v>0 Original</v>
      </c>
      <c r="D212" s="5" t="s">
        <v>2487</v>
      </c>
      <c r="E212" s="3">
        <v>426</v>
      </c>
      <c r="F212" t="s">
        <v>1026</v>
      </c>
      <c r="G212" t="s">
        <v>432</v>
      </c>
      <c r="H212" s="9">
        <v>8.99</v>
      </c>
      <c r="I212" s="3">
        <v>1</v>
      </c>
      <c r="J212" s="5" t="s">
        <v>68</v>
      </c>
      <c r="K212" s="15">
        <v>41673.101134259261</v>
      </c>
      <c r="L212" s="20">
        <f t="shared" si="9"/>
        <v>41673</v>
      </c>
      <c r="M212" t="str">
        <f t="shared" si="10"/>
        <v>02-2014</v>
      </c>
      <c r="N212">
        <f t="shared" si="11"/>
        <v>8.99</v>
      </c>
    </row>
    <row r="213" spans="3:14" x14ac:dyDescent="0.25">
      <c r="C213" t="str">
        <f>IF(COUNTBLANK(E213:K213) = 7,"",IF(AND(NOT(ISBLANK(E213)),COUNTBLANK(E213:K213) = 6),"3 Delete",IF(ISBLANK(E213),"2 Add",IF(SHA1Range(E213:K213) = "a10e209bdf7a7331f22982699dac5103663b2d39","0 Original","1 Modify"))))</f>
        <v>0 Original</v>
      </c>
      <c r="D213" s="5" t="s">
        <v>2488</v>
      </c>
      <c r="E213" s="3">
        <v>3899</v>
      </c>
      <c r="F213" t="s">
        <v>1027</v>
      </c>
      <c r="G213" t="s">
        <v>642</v>
      </c>
      <c r="H213" s="9">
        <v>9.99</v>
      </c>
      <c r="I213" s="3">
        <v>1</v>
      </c>
      <c r="J213" s="5" t="s">
        <v>68</v>
      </c>
      <c r="K213" s="15">
        <v>41674.008391203701</v>
      </c>
      <c r="L213" s="20">
        <f t="shared" si="9"/>
        <v>41674</v>
      </c>
      <c r="M213" t="str">
        <f t="shared" si="10"/>
        <v>02-2014</v>
      </c>
      <c r="N213">
        <f t="shared" si="11"/>
        <v>9.99</v>
      </c>
    </row>
    <row r="214" spans="3:14" x14ac:dyDescent="0.25">
      <c r="C214" t="str">
        <f>IF(COUNTBLANK(E214:K214) = 7,"",IF(AND(NOT(ISBLANK(E214)),COUNTBLANK(E214:K214) = 6),"3 Delete",IF(ISBLANK(E214),"2 Add",IF(SHA1Range(E214:K214) = "f946743b0f794fe0fc3712bac9eb741fc35505d7","0 Original","1 Modify"))))</f>
        <v>0 Original</v>
      </c>
      <c r="D214" s="5" t="s">
        <v>2489</v>
      </c>
      <c r="E214" s="3">
        <v>3900</v>
      </c>
      <c r="F214" t="s">
        <v>1027</v>
      </c>
      <c r="G214" t="s">
        <v>514</v>
      </c>
      <c r="H214" s="9">
        <v>6.99</v>
      </c>
      <c r="I214" s="3">
        <v>1</v>
      </c>
      <c r="J214" s="5" t="s">
        <v>68</v>
      </c>
      <c r="K214" s="15">
        <v>41674.008391203701</v>
      </c>
      <c r="L214" s="20">
        <f t="shared" si="9"/>
        <v>41674</v>
      </c>
      <c r="M214" t="str">
        <f t="shared" si="10"/>
        <v>02-2014</v>
      </c>
      <c r="N214">
        <f t="shared" si="11"/>
        <v>6.99</v>
      </c>
    </row>
    <row r="215" spans="3:14" x14ac:dyDescent="0.25">
      <c r="C215" t="str">
        <f>IF(COUNTBLANK(E215:K215) = 7,"",IF(AND(NOT(ISBLANK(E215)),COUNTBLANK(E215:K215) = 6),"3 Delete",IF(ISBLANK(E215),"2 Add",IF(SHA1Range(E215:K215) = "5cfdf617053b7eb429e37d417c0dd1ce5a2a2504","0 Original","1 Modify"))))</f>
        <v>0 Original</v>
      </c>
      <c r="D215" s="5" t="s">
        <v>2490</v>
      </c>
      <c r="E215" s="3">
        <v>3901</v>
      </c>
      <c r="F215" t="s">
        <v>1027</v>
      </c>
      <c r="G215" t="s">
        <v>642</v>
      </c>
      <c r="H215" s="9">
        <v>9.99</v>
      </c>
      <c r="I215" s="3">
        <v>1</v>
      </c>
      <c r="J215" s="5" t="s">
        <v>68</v>
      </c>
      <c r="K215" s="15">
        <v>41674.008391203701</v>
      </c>
      <c r="L215" s="20">
        <f t="shared" si="9"/>
        <v>41674</v>
      </c>
      <c r="M215" t="str">
        <f t="shared" si="10"/>
        <v>02-2014</v>
      </c>
      <c r="N215">
        <f t="shared" si="11"/>
        <v>9.99</v>
      </c>
    </row>
    <row r="216" spans="3:14" x14ac:dyDescent="0.25">
      <c r="C216" t="str">
        <f>IF(COUNTBLANK(E216:K216) = 7,"",IF(AND(NOT(ISBLANK(E216)),COUNTBLANK(E216:K216) = 6),"3 Delete",IF(ISBLANK(E216),"2 Add",IF(SHA1Range(E216:K216) = "c42e8d4f54b155090741ff43921e9be11be345ff","0 Original","1 Modify"))))</f>
        <v>0 Original</v>
      </c>
      <c r="D216" s="5" t="s">
        <v>2491</v>
      </c>
      <c r="E216" s="3">
        <v>3902</v>
      </c>
      <c r="F216" t="s">
        <v>1027</v>
      </c>
      <c r="G216" t="s">
        <v>948</v>
      </c>
      <c r="H216" s="9">
        <v>4.99</v>
      </c>
      <c r="I216" s="3">
        <v>2</v>
      </c>
      <c r="J216" s="5" t="s">
        <v>68</v>
      </c>
      <c r="K216" s="15">
        <v>41674.008391203701</v>
      </c>
      <c r="L216" s="20">
        <f t="shared" si="9"/>
        <v>41674</v>
      </c>
      <c r="M216" t="str">
        <f t="shared" si="10"/>
        <v>02-2014</v>
      </c>
      <c r="N216">
        <f t="shared" si="11"/>
        <v>9.98</v>
      </c>
    </row>
    <row r="217" spans="3:14" x14ac:dyDescent="0.25">
      <c r="C217" t="str">
        <f>IF(COUNTBLANK(E217:K217) = 7,"",IF(AND(NOT(ISBLANK(E217)),COUNTBLANK(E217:K217) = 6),"3 Delete",IF(ISBLANK(E217),"2 Add",IF(SHA1Range(E217:K217) = "68e6915759dd7fddd7f9a723fae22a16214ca2cc","0 Original","1 Modify"))))</f>
        <v>0 Original</v>
      </c>
      <c r="D217" s="5" t="s">
        <v>2492</v>
      </c>
      <c r="E217" s="3">
        <v>3903</v>
      </c>
      <c r="F217" t="s">
        <v>1027</v>
      </c>
      <c r="G217" t="s">
        <v>948</v>
      </c>
      <c r="H217" s="9">
        <v>4.99</v>
      </c>
      <c r="I217" s="3">
        <v>2</v>
      </c>
      <c r="J217" s="5" t="s">
        <v>68</v>
      </c>
      <c r="K217" s="15">
        <v>41674.008391203701</v>
      </c>
      <c r="L217" s="20">
        <f t="shared" si="9"/>
        <v>41674</v>
      </c>
      <c r="M217" t="str">
        <f t="shared" si="10"/>
        <v>02-2014</v>
      </c>
      <c r="N217">
        <f t="shared" si="11"/>
        <v>9.98</v>
      </c>
    </row>
    <row r="218" spans="3:14" x14ac:dyDescent="0.25">
      <c r="C218" t="str">
        <f>IF(COUNTBLANK(E218:K218) = 7,"",IF(AND(NOT(ISBLANK(E218)),COUNTBLANK(E218:K218) = 6),"3 Delete",IF(ISBLANK(E218),"2 Add",IF(SHA1Range(E218:K218) = "0e1a83e9ee1239bdef651c8bdde551f0a568af0d","0 Original","1 Modify"))))</f>
        <v>0 Original</v>
      </c>
      <c r="D218" s="5" t="s">
        <v>2493</v>
      </c>
      <c r="E218" s="3">
        <v>3262</v>
      </c>
      <c r="F218" t="s">
        <v>1028</v>
      </c>
      <c r="G218" t="s">
        <v>687</v>
      </c>
      <c r="H218" s="9">
        <v>9.99</v>
      </c>
      <c r="I218" s="3">
        <v>1</v>
      </c>
      <c r="J218" s="5" t="s">
        <v>68</v>
      </c>
      <c r="K218" s="15">
        <v>41674.878287037034</v>
      </c>
      <c r="L218" s="20">
        <f t="shared" si="9"/>
        <v>41674</v>
      </c>
      <c r="M218" t="str">
        <f t="shared" si="10"/>
        <v>02-2014</v>
      </c>
      <c r="N218">
        <f t="shared" si="11"/>
        <v>9.99</v>
      </c>
    </row>
    <row r="219" spans="3:14" x14ac:dyDescent="0.25">
      <c r="C219" t="str">
        <f>IF(COUNTBLANK(E219:K219) = 7,"",IF(AND(NOT(ISBLANK(E219)),COUNTBLANK(E219:K219) = 6),"3 Delete",IF(ISBLANK(E219),"2 Add",IF(SHA1Range(E219:K219) = "4bffd33e81f3a9fc31b17e477afce32492e6fe15","0 Original","1 Modify"))))</f>
        <v>0 Original</v>
      </c>
      <c r="D219" s="5" t="s">
        <v>2494</v>
      </c>
      <c r="E219" s="3">
        <v>3263</v>
      </c>
      <c r="F219" t="s">
        <v>1028</v>
      </c>
      <c r="G219" t="s">
        <v>373</v>
      </c>
      <c r="H219" s="9">
        <v>7.99</v>
      </c>
      <c r="I219" s="3">
        <v>2</v>
      </c>
      <c r="J219" s="5" t="s">
        <v>68</v>
      </c>
      <c r="K219" s="15">
        <v>41674.878287037034</v>
      </c>
      <c r="L219" s="20">
        <f t="shared" si="9"/>
        <v>41674</v>
      </c>
      <c r="M219" t="str">
        <f t="shared" si="10"/>
        <v>02-2014</v>
      </c>
      <c r="N219">
        <f t="shared" si="11"/>
        <v>15.98</v>
      </c>
    </row>
    <row r="220" spans="3:14" x14ac:dyDescent="0.25">
      <c r="C220" t="str">
        <f>IF(COUNTBLANK(E220:K220) = 7,"",IF(AND(NOT(ISBLANK(E220)),COUNTBLANK(E220:K220) = 6),"3 Delete",IF(ISBLANK(E220),"2 Add",IF(SHA1Range(E220:K220) = "47787fe94b016f190ac2f56a3ceced4b9c6b940e","0 Original","1 Modify"))))</f>
        <v>0 Original</v>
      </c>
      <c r="D220" s="5" t="s">
        <v>2495</v>
      </c>
      <c r="E220" s="3">
        <v>73</v>
      </c>
      <c r="F220" t="s">
        <v>1029</v>
      </c>
      <c r="G220" t="s">
        <v>532</v>
      </c>
      <c r="H220" s="9">
        <v>9.99</v>
      </c>
      <c r="I220" s="3">
        <v>1</v>
      </c>
      <c r="J220" s="5" t="s">
        <v>68</v>
      </c>
      <c r="K220" s="15">
        <v>41674.979861111111</v>
      </c>
      <c r="L220" s="20">
        <f t="shared" si="9"/>
        <v>41674</v>
      </c>
      <c r="M220" t="str">
        <f t="shared" si="10"/>
        <v>02-2014</v>
      </c>
      <c r="N220">
        <f t="shared" si="11"/>
        <v>9.99</v>
      </c>
    </row>
    <row r="221" spans="3:14" x14ac:dyDescent="0.25">
      <c r="C221" t="str">
        <f>IF(COUNTBLANK(E221:K221) = 7,"",IF(AND(NOT(ISBLANK(E221)),COUNTBLANK(E221:K221) = 6),"3 Delete",IF(ISBLANK(E221),"2 Add",IF(SHA1Range(E221:K221) = "bd28e2c128d6ea54ae247147c5a0a52d92b88b3d","0 Original","1 Modify"))))</f>
        <v>0 Original</v>
      </c>
      <c r="D221" s="5" t="s">
        <v>2496</v>
      </c>
      <c r="E221" s="3">
        <v>74</v>
      </c>
      <c r="F221" t="s">
        <v>1029</v>
      </c>
      <c r="G221" t="s">
        <v>792</v>
      </c>
      <c r="H221" s="9">
        <v>9.99</v>
      </c>
      <c r="I221" s="3">
        <v>2</v>
      </c>
      <c r="J221" s="5" t="s">
        <v>68</v>
      </c>
      <c r="K221" s="15">
        <v>41674.979861111111</v>
      </c>
      <c r="L221" s="20">
        <f t="shared" si="9"/>
        <v>41674</v>
      </c>
      <c r="M221" t="str">
        <f t="shared" si="10"/>
        <v>02-2014</v>
      </c>
      <c r="N221">
        <f t="shared" si="11"/>
        <v>19.98</v>
      </c>
    </row>
    <row r="222" spans="3:14" x14ac:dyDescent="0.25">
      <c r="C222" t="str">
        <f>IF(COUNTBLANK(E222:K222) = 7,"",IF(AND(NOT(ISBLANK(E222)),COUNTBLANK(E222:K222) = 6),"3 Delete",IF(ISBLANK(E222),"2 Add",IF(SHA1Range(E222:K222) = "08b9f96d4f2ed261431e64a44b2523398bddfc88","0 Original","1 Modify"))))</f>
        <v>0 Original</v>
      </c>
      <c r="D222" s="5" t="s">
        <v>2497</v>
      </c>
      <c r="E222" s="3">
        <v>3821</v>
      </c>
      <c r="F222" t="s">
        <v>1030</v>
      </c>
      <c r="G222" t="s">
        <v>373</v>
      </c>
      <c r="H222" s="9">
        <v>7.99</v>
      </c>
      <c r="I222" s="3">
        <v>1</v>
      </c>
      <c r="J222" s="5" t="s">
        <v>68</v>
      </c>
      <c r="K222" s="15">
        <v>41675.519861111112</v>
      </c>
      <c r="L222" s="20">
        <f t="shared" si="9"/>
        <v>41675</v>
      </c>
      <c r="M222" t="str">
        <f t="shared" si="10"/>
        <v>02-2014</v>
      </c>
      <c r="N222">
        <f t="shared" si="11"/>
        <v>7.99</v>
      </c>
    </row>
    <row r="223" spans="3:14" x14ac:dyDescent="0.25">
      <c r="C223" t="str">
        <f>IF(COUNTBLANK(E223:K223) = 7,"",IF(AND(NOT(ISBLANK(E223)),COUNTBLANK(E223:K223) = 6),"3 Delete",IF(ISBLANK(E223),"2 Add",IF(SHA1Range(E223:K223) = "81ce77b9073b909afa0bc5fad4bda25525c91689","0 Original","1 Modify"))))</f>
        <v>0 Original</v>
      </c>
      <c r="D223" s="5" t="s">
        <v>2498</v>
      </c>
      <c r="E223" s="3">
        <v>1947</v>
      </c>
      <c r="F223" t="s">
        <v>1031</v>
      </c>
      <c r="G223" t="s">
        <v>845</v>
      </c>
      <c r="H223" s="9">
        <v>7.99</v>
      </c>
      <c r="I223" s="3">
        <v>1</v>
      </c>
      <c r="J223" s="5" t="s">
        <v>68</v>
      </c>
      <c r="K223" s="15">
        <v>41675.863738425927</v>
      </c>
      <c r="L223" s="20">
        <f t="shared" si="9"/>
        <v>41675</v>
      </c>
      <c r="M223" t="str">
        <f t="shared" si="10"/>
        <v>02-2014</v>
      </c>
      <c r="N223">
        <f t="shared" si="11"/>
        <v>7.99</v>
      </c>
    </row>
    <row r="224" spans="3:14" x14ac:dyDescent="0.25">
      <c r="C224" t="str">
        <f>IF(COUNTBLANK(E224:K224) = 7,"",IF(AND(NOT(ISBLANK(E224)),COUNTBLANK(E224:K224) = 6),"3 Delete",IF(ISBLANK(E224),"2 Add",IF(SHA1Range(E224:K224) = "5a19ec578faedb82c552a756a8ee12a9cefd3dd2","0 Original","1 Modify"))))</f>
        <v>0 Original</v>
      </c>
      <c r="D224" s="5" t="s">
        <v>2499</v>
      </c>
      <c r="E224" s="3">
        <v>1948</v>
      </c>
      <c r="F224" t="s">
        <v>1031</v>
      </c>
      <c r="G224" t="s">
        <v>373</v>
      </c>
      <c r="H224" s="9">
        <v>7.99</v>
      </c>
      <c r="I224" s="3">
        <v>1</v>
      </c>
      <c r="J224" s="5" t="s">
        <v>68</v>
      </c>
      <c r="K224" s="15">
        <v>41675.863738425927</v>
      </c>
      <c r="L224" s="20">
        <f t="shared" si="9"/>
        <v>41675</v>
      </c>
      <c r="M224" t="str">
        <f t="shared" si="10"/>
        <v>02-2014</v>
      </c>
      <c r="N224">
        <f t="shared" si="11"/>
        <v>7.99</v>
      </c>
    </row>
    <row r="225" spans="3:14" x14ac:dyDescent="0.25">
      <c r="C225" t="str">
        <f>IF(COUNTBLANK(E225:K225) = 7,"",IF(AND(NOT(ISBLANK(E225)),COUNTBLANK(E225:K225) = 6),"3 Delete",IF(ISBLANK(E225),"2 Add",IF(SHA1Range(E225:K225) = "6e9b4c9f49c85a8e7fa28d534fdb05d95416c847","0 Original","1 Modify"))))</f>
        <v>0 Original</v>
      </c>
      <c r="D225" s="5" t="s">
        <v>2500</v>
      </c>
      <c r="E225" s="3">
        <v>1655</v>
      </c>
      <c r="F225" t="s">
        <v>1032</v>
      </c>
      <c r="G225" t="s">
        <v>482</v>
      </c>
      <c r="H225" s="9">
        <v>8.99</v>
      </c>
      <c r="I225" s="3">
        <v>1</v>
      </c>
      <c r="J225" s="5" t="s">
        <v>68</v>
      </c>
      <c r="K225" s="15">
        <v>41676.163321759261</v>
      </c>
      <c r="L225" s="20">
        <f t="shared" si="9"/>
        <v>41676</v>
      </c>
      <c r="M225" t="str">
        <f t="shared" si="10"/>
        <v>02-2014</v>
      </c>
      <c r="N225">
        <f t="shared" si="11"/>
        <v>8.99</v>
      </c>
    </row>
    <row r="226" spans="3:14" x14ac:dyDescent="0.25">
      <c r="C226" t="str">
        <f>IF(COUNTBLANK(E226:K226) = 7,"",IF(AND(NOT(ISBLANK(E226)),COUNTBLANK(E226:K226) = 6),"3 Delete",IF(ISBLANK(E226),"2 Add",IF(SHA1Range(E226:K226) = "a63b06ff5ce753b59c849a67ea882833ae88d536","0 Original","1 Modify"))))</f>
        <v>0 Original</v>
      </c>
      <c r="D226" s="5" t="s">
        <v>2501</v>
      </c>
      <c r="E226" s="3">
        <v>1656</v>
      </c>
      <c r="F226" t="s">
        <v>1032</v>
      </c>
      <c r="G226" t="s">
        <v>690</v>
      </c>
      <c r="H226" s="9">
        <v>7.99</v>
      </c>
      <c r="I226" s="3">
        <v>2</v>
      </c>
      <c r="J226" s="5" t="s">
        <v>68</v>
      </c>
      <c r="K226" s="15">
        <v>41676.163321759261</v>
      </c>
      <c r="L226" s="20">
        <f t="shared" si="9"/>
        <v>41676</v>
      </c>
      <c r="M226" t="str">
        <f t="shared" si="10"/>
        <v>02-2014</v>
      </c>
      <c r="N226">
        <f t="shared" si="11"/>
        <v>15.98</v>
      </c>
    </row>
    <row r="227" spans="3:14" x14ac:dyDescent="0.25">
      <c r="C227" t="str">
        <f>IF(COUNTBLANK(E227:K227) = 7,"",IF(AND(NOT(ISBLANK(E227)),COUNTBLANK(E227:K227) = 6),"3 Delete",IF(ISBLANK(E227),"2 Add",IF(SHA1Range(E227:K227) = "d1a279a9b5f27fc54295d60846159d68447641fd","0 Original","1 Modify"))))</f>
        <v>0 Original</v>
      </c>
      <c r="D227" s="5" t="s">
        <v>2502</v>
      </c>
      <c r="E227" s="3">
        <v>1657</v>
      </c>
      <c r="F227" t="s">
        <v>1032</v>
      </c>
      <c r="G227" t="s">
        <v>697</v>
      </c>
      <c r="H227" s="9">
        <v>5.99</v>
      </c>
      <c r="I227" s="3">
        <v>2</v>
      </c>
      <c r="J227" s="5" t="s">
        <v>68</v>
      </c>
      <c r="K227" s="15">
        <v>41676.163321759261</v>
      </c>
      <c r="L227" s="20">
        <f t="shared" si="9"/>
        <v>41676</v>
      </c>
      <c r="M227" t="str">
        <f t="shared" si="10"/>
        <v>02-2014</v>
      </c>
      <c r="N227">
        <f t="shared" si="11"/>
        <v>11.98</v>
      </c>
    </row>
    <row r="228" spans="3:14" x14ac:dyDescent="0.25">
      <c r="C228" t="str">
        <f>IF(COUNTBLANK(E228:K228) = 7,"",IF(AND(NOT(ISBLANK(E228)),COUNTBLANK(E228:K228) = 6),"3 Delete",IF(ISBLANK(E228),"2 Add",IF(SHA1Range(E228:K228) = "d19e34927771fe8e1c1f4aa778b816380df1f2ee","0 Original","1 Modify"))))</f>
        <v>0 Original</v>
      </c>
      <c r="D228" s="5" t="s">
        <v>2503</v>
      </c>
      <c r="E228" s="3">
        <v>1658</v>
      </c>
      <c r="F228" t="s">
        <v>1032</v>
      </c>
      <c r="G228" t="s">
        <v>845</v>
      </c>
      <c r="H228" s="9">
        <v>7.99</v>
      </c>
      <c r="I228" s="3">
        <v>2</v>
      </c>
      <c r="J228" s="5" t="s">
        <v>68</v>
      </c>
      <c r="K228" s="15">
        <v>41676.163321759261</v>
      </c>
      <c r="L228" s="20">
        <f t="shared" si="9"/>
        <v>41676</v>
      </c>
      <c r="M228" t="str">
        <f t="shared" si="10"/>
        <v>02-2014</v>
      </c>
      <c r="N228">
        <f t="shared" si="11"/>
        <v>15.98</v>
      </c>
    </row>
    <row r="229" spans="3:14" x14ac:dyDescent="0.25">
      <c r="C229" t="str">
        <f>IF(COUNTBLANK(E229:K229) = 7,"",IF(AND(NOT(ISBLANK(E229)),COUNTBLANK(E229:K229) = 6),"3 Delete",IF(ISBLANK(E229),"2 Add",IF(SHA1Range(E229:K229) = "c92b1bc3f19cdb91ff6ea7ba64c5354ef43a6df7","0 Original","1 Modify"))))</f>
        <v>0 Original</v>
      </c>
      <c r="D229" s="5" t="s">
        <v>2504</v>
      </c>
      <c r="E229" s="3">
        <v>1659</v>
      </c>
      <c r="F229" t="s">
        <v>1032</v>
      </c>
      <c r="G229" t="s">
        <v>560</v>
      </c>
      <c r="H229" s="9">
        <v>8.99</v>
      </c>
      <c r="I229" s="3">
        <v>1</v>
      </c>
      <c r="J229" s="5" t="s">
        <v>68</v>
      </c>
      <c r="K229" s="15">
        <v>41676.163321759261</v>
      </c>
      <c r="L229" s="20">
        <f t="shared" si="9"/>
        <v>41676</v>
      </c>
      <c r="M229" t="str">
        <f t="shared" si="10"/>
        <v>02-2014</v>
      </c>
      <c r="N229">
        <f t="shared" si="11"/>
        <v>8.99</v>
      </c>
    </row>
    <row r="230" spans="3:14" x14ac:dyDescent="0.25">
      <c r="C230" t="str">
        <f>IF(COUNTBLANK(E230:K230) = 7,"",IF(AND(NOT(ISBLANK(E230)),COUNTBLANK(E230:K230) = 6),"3 Delete",IF(ISBLANK(E230),"2 Add",IF(SHA1Range(E230:K230) = "bd1de90959f1f3f223e1fbd19e28ed2a9310b413","0 Original","1 Modify"))))</f>
        <v>0 Original</v>
      </c>
      <c r="D230" s="5" t="s">
        <v>2505</v>
      </c>
      <c r="E230" s="3">
        <v>1660</v>
      </c>
      <c r="F230" t="s">
        <v>1032</v>
      </c>
      <c r="G230" t="s">
        <v>749</v>
      </c>
      <c r="H230" s="9">
        <v>5.99</v>
      </c>
      <c r="I230" s="3">
        <v>1</v>
      </c>
      <c r="J230" s="5" t="s">
        <v>68</v>
      </c>
      <c r="K230" s="15">
        <v>41676.163321759261</v>
      </c>
      <c r="L230" s="20">
        <f t="shared" si="9"/>
        <v>41676</v>
      </c>
      <c r="M230" t="str">
        <f t="shared" si="10"/>
        <v>02-2014</v>
      </c>
      <c r="N230">
        <f t="shared" si="11"/>
        <v>5.99</v>
      </c>
    </row>
    <row r="231" spans="3:14" x14ac:dyDescent="0.25">
      <c r="C231" t="str">
        <f>IF(COUNTBLANK(E231:K231) = 7,"",IF(AND(NOT(ISBLANK(E231)),COUNTBLANK(E231:K231) = 6),"3 Delete",IF(ISBLANK(E231),"2 Add",IF(SHA1Range(E231:K231) = "cb9dbe0911f439b78031a8349ca878500d886e9d","0 Original","1 Modify"))))</f>
        <v>0 Original</v>
      </c>
      <c r="D231" s="5" t="s">
        <v>2506</v>
      </c>
      <c r="E231" s="3">
        <v>1191</v>
      </c>
      <c r="F231" t="s">
        <v>1033</v>
      </c>
      <c r="G231" t="s">
        <v>704</v>
      </c>
      <c r="H231" s="9">
        <v>4.99</v>
      </c>
      <c r="I231" s="3">
        <v>2</v>
      </c>
      <c r="J231" s="5" t="s">
        <v>68</v>
      </c>
      <c r="K231" s="15">
        <v>41676.294675925928</v>
      </c>
      <c r="L231" s="20">
        <f t="shared" si="9"/>
        <v>41676</v>
      </c>
      <c r="M231" t="str">
        <f t="shared" si="10"/>
        <v>02-2014</v>
      </c>
      <c r="N231">
        <f t="shared" si="11"/>
        <v>9.98</v>
      </c>
    </row>
    <row r="232" spans="3:14" x14ac:dyDescent="0.25">
      <c r="C232" t="str">
        <f>IF(COUNTBLANK(E232:K232) = 7,"",IF(AND(NOT(ISBLANK(E232)),COUNTBLANK(E232:K232) = 6),"3 Delete",IF(ISBLANK(E232),"2 Add",IF(SHA1Range(E232:K232) = "725b5f3b67c10af01b3be2edfb12f893317fae26","0 Original","1 Modify"))))</f>
        <v>0 Original</v>
      </c>
      <c r="D232" s="5" t="s">
        <v>2507</v>
      </c>
      <c r="E232" s="3">
        <v>1641</v>
      </c>
      <c r="F232" t="s">
        <v>1034</v>
      </c>
      <c r="G232" t="s">
        <v>596</v>
      </c>
      <c r="H232" s="9">
        <v>7.99</v>
      </c>
      <c r="I232" s="3">
        <v>1</v>
      </c>
      <c r="J232" s="5" t="s">
        <v>68</v>
      </c>
      <c r="K232" s="15">
        <v>41676.488935185182</v>
      </c>
      <c r="L232" s="20">
        <f t="shared" si="9"/>
        <v>41676</v>
      </c>
      <c r="M232" t="str">
        <f t="shared" si="10"/>
        <v>02-2014</v>
      </c>
      <c r="N232">
        <f t="shared" si="11"/>
        <v>7.99</v>
      </c>
    </row>
    <row r="233" spans="3:14" x14ac:dyDescent="0.25">
      <c r="C233" t="str">
        <f>IF(COUNTBLANK(E233:K233) = 7,"",IF(AND(NOT(ISBLANK(E233)),COUNTBLANK(E233:K233) = 6),"3 Delete",IF(ISBLANK(E233),"2 Add",IF(SHA1Range(E233:K233) = "30f36a1eacb283eb0de142460eb895e91eeeafbc","0 Original","1 Modify"))))</f>
        <v>0 Original</v>
      </c>
      <c r="D233" s="5" t="s">
        <v>2508</v>
      </c>
      <c r="E233" s="3">
        <v>1642</v>
      </c>
      <c r="F233" t="s">
        <v>1034</v>
      </c>
      <c r="G233" t="s">
        <v>845</v>
      </c>
      <c r="H233" s="9">
        <v>7.99</v>
      </c>
      <c r="I233" s="3">
        <v>1</v>
      </c>
      <c r="J233" s="5" t="s">
        <v>68</v>
      </c>
      <c r="K233" s="15">
        <v>41676.488935185182</v>
      </c>
      <c r="L233" s="20">
        <f t="shared" si="9"/>
        <v>41676</v>
      </c>
      <c r="M233" t="str">
        <f t="shared" si="10"/>
        <v>02-2014</v>
      </c>
      <c r="N233">
        <f t="shared" si="11"/>
        <v>7.99</v>
      </c>
    </row>
    <row r="234" spans="3:14" x14ac:dyDescent="0.25">
      <c r="C234" t="str">
        <f>IF(COUNTBLANK(E234:K234) = 7,"",IF(AND(NOT(ISBLANK(E234)),COUNTBLANK(E234:K234) = 6),"3 Delete",IF(ISBLANK(E234),"2 Add",IF(SHA1Range(E234:K234) = "ea46e922af2cfac57c024b2b2ef292b7829abab8","0 Original","1 Modify"))))</f>
        <v>0 Original</v>
      </c>
      <c r="D234" s="5" t="s">
        <v>2509</v>
      </c>
      <c r="E234" s="3">
        <v>3069</v>
      </c>
      <c r="F234" t="s">
        <v>1035</v>
      </c>
      <c r="G234" t="s">
        <v>749</v>
      </c>
      <c r="H234" s="9">
        <v>5.99</v>
      </c>
      <c r="I234" s="3">
        <v>2</v>
      </c>
      <c r="J234" s="5" t="s">
        <v>68</v>
      </c>
      <c r="K234" s="15">
        <v>41677.939421296294</v>
      </c>
      <c r="L234" s="20">
        <f t="shared" si="9"/>
        <v>41677</v>
      </c>
      <c r="M234" t="str">
        <f t="shared" si="10"/>
        <v>02-2014</v>
      </c>
      <c r="N234">
        <f t="shared" si="11"/>
        <v>11.98</v>
      </c>
    </row>
    <row r="235" spans="3:14" x14ac:dyDescent="0.25">
      <c r="C235" t="str">
        <f>IF(COUNTBLANK(E235:K235) = 7,"",IF(AND(NOT(ISBLANK(E235)),COUNTBLANK(E235:K235) = 6),"3 Delete",IF(ISBLANK(E235),"2 Add",IF(SHA1Range(E235:K235) = "d6375626e7fe9f8cd006fe2f4fba2691ec27c4e8","0 Original","1 Modify"))))</f>
        <v>0 Original</v>
      </c>
      <c r="D235" s="5" t="s">
        <v>2510</v>
      </c>
      <c r="E235" s="3">
        <v>3070</v>
      </c>
      <c r="F235" t="s">
        <v>1035</v>
      </c>
      <c r="G235" t="s">
        <v>948</v>
      </c>
      <c r="H235" s="9">
        <v>4.99</v>
      </c>
      <c r="I235" s="3">
        <v>2</v>
      </c>
      <c r="J235" s="5" t="s">
        <v>68</v>
      </c>
      <c r="K235" s="15">
        <v>41677.939421296294</v>
      </c>
      <c r="L235" s="20">
        <f t="shared" si="9"/>
        <v>41677</v>
      </c>
      <c r="M235" t="str">
        <f t="shared" si="10"/>
        <v>02-2014</v>
      </c>
      <c r="N235">
        <f t="shared" si="11"/>
        <v>9.98</v>
      </c>
    </row>
    <row r="236" spans="3:14" x14ac:dyDescent="0.25">
      <c r="C236" t="str">
        <f>IF(COUNTBLANK(E236:K236) = 7,"",IF(AND(NOT(ISBLANK(E236)),COUNTBLANK(E236:K236) = 6),"3 Delete",IF(ISBLANK(E236),"2 Add",IF(SHA1Range(E236:K236) = "fb52aeca8ad3aaf7070884f5725349d3e0b20ac1","0 Original","1 Modify"))))</f>
        <v>0 Original</v>
      </c>
      <c r="D236" s="5" t="s">
        <v>2511</v>
      </c>
      <c r="E236" s="3">
        <v>3830</v>
      </c>
      <c r="F236" t="s">
        <v>1036</v>
      </c>
      <c r="G236" t="s">
        <v>707</v>
      </c>
      <c r="H236" s="9">
        <v>7.99</v>
      </c>
      <c r="I236" s="3">
        <v>2</v>
      </c>
      <c r="J236" s="5" t="s">
        <v>68</v>
      </c>
      <c r="K236" s="15">
        <v>41680.230613425927</v>
      </c>
      <c r="L236" s="20">
        <f t="shared" si="9"/>
        <v>41680</v>
      </c>
      <c r="M236" t="str">
        <f t="shared" si="10"/>
        <v>02-2014</v>
      </c>
      <c r="N236">
        <f t="shared" si="11"/>
        <v>15.98</v>
      </c>
    </row>
    <row r="237" spans="3:14" x14ac:dyDescent="0.25">
      <c r="C237" t="str">
        <f>IF(COUNTBLANK(E237:K237) = 7,"",IF(AND(NOT(ISBLANK(E237)),COUNTBLANK(E237:K237) = 6),"3 Delete",IF(ISBLANK(E237),"2 Add",IF(SHA1Range(E237:K237) = "90e81e23e5a47291f242ef09446d071e3d3b3316","0 Original","1 Modify"))))</f>
        <v>0 Original</v>
      </c>
      <c r="D237" s="5" t="s">
        <v>2512</v>
      </c>
      <c r="E237" s="3">
        <v>3831</v>
      </c>
      <c r="F237" t="s">
        <v>1036</v>
      </c>
      <c r="G237" t="s">
        <v>707</v>
      </c>
      <c r="H237" s="9">
        <v>7.99</v>
      </c>
      <c r="I237" s="3">
        <v>1</v>
      </c>
      <c r="J237" s="5" t="s">
        <v>68</v>
      </c>
      <c r="K237" s="15">
        <v>41680.230613425927</v>
      </c>
      <c r="L237" s="20">
        <f t="shared" si="9"/>
        <v>41680</v>
      </c>
      <c r="M237" t="str">
        <f t="shared" si="10"/>
        <v>02-2014</v>
      </c>
      <c r="N237">
        <f t="shared" si="11"/>
        <v>7.99</v>
      </c>
    </row>
    <row r="238" spans="3:14" x14ac:dyDescent="0.25">
      <c r="C238" t="str">
        <f>IF(COUNTBLANK(E238:K238) = 7,"",IF(AND(NOT(ISBLANK(E238)),COUNTBLANK(E238:K238) = 6),"3 Delete",IF(ISBLANK(E238),"2 Add",IF(SHA1Range(E238:K238) = "b4cc740783d912d64ce374c55b765c4313dfbe61","0 Original","1 Modify"))))</f>
        <v>0 Original</v>
      </c>
      <c r="D238" s="5" t="s">
        <v>2513</v>
      </c>
      <c r="E238" s="3">
        <v>2270</v>
      </c>
      <c r="F238" t="s">
        <v>1037</v>
      </c>
      <c r="G238" t="s">
        <v>749</v>
      </c>
      <c r="H238" s="9">
        <v>5.99</v>
      </c>
      <c r="I238" s="3">
        <v>1</v>
      </c>
      <c r="J238" s="5" t="s">
        <v>68</v>
      </c>
      <c r="K238" s="15">
        <v>41680.661782407406</v>
      </c>
      <c r="L238" s="20">
        <f t="shared" si="9"/>
        <v>41680</v>
      </c>
      <c r="M238" t="str">
        <f t="shared" si="10"/>
        <v>02-2014</v>
      </c>
      <c r="N238">
        <f t="shared" si="11"/>
        <v>5.99</v>
      </c>
    </row>
    <row r="239" spans="3:14" x14ac:dyDescent="0.25">
      <c r="C239" t="str">
        <f>IF(COUNTBLANK(E239:K239) = 7,"",IF(AND(NOT(ISBLANK(E239)),COUNTBLANK(E239:K239) = 6),"3 Delete",IF(ISBLANK(E239),"2 Add",IF(SHA1Range(E239:K239) = "eb7a3477a76e8970e19679ff6f452b0ff212c93f","0 Original","1 Modify"))))</f>
        <v>0 Original</v>
      </c>
      <c r="D239" s="5" t="s">
        <v>2514</v>
      </c>
      <c r="E239" s="3">
        <v>2271</v>
      </c>
      <c r="F239" t="s">
        <v>1037</v>
      </c>
      <c r="G239" t="s">
        <v>690</v>
      </c>
      <c r="H239" s="9">
        <v>7.99</v>
      </c>
      <c r="I239" s="3">
        <v>1</v>
      </c>
      <c r="J239" s="5" t="s">
        <v>68</v>
      </c>
      <c r="K239" s="15">
        <v>41680.661782407406</v>
      </c>
      <c r="L239" s="20">
        <f t="shared" si="9"/>
        <v>41680</v>
      </c>
      <c r="M239" t="str">
        <f t="shared" si="10"/>
        <v>02-2014</v>
      </c>
      <c r="N239">
        <f t="shared" si="11"/>
        <v>7.99</v>
      </c>
    </row>
    <row r="240" spans="3:14" x14ac:dyDescent="0.25">
      <c r="C240" t="str">
        <f>IF(COUNTBLANK(E240:K240) = 7,"",IF(AND(NOT(ISBLANK(E240)),COUNTBLANK(E240:K240) = 6),"3 Delete",IF(ISBLANK(E240),"2 Add",IF(SHA1Range(E240:K240) = "3ac894ee70e2c71751385e50eb0985800955f9f9","0 Original","1 Modify"))))</f>
        <v>0 Original</v>
      </c>
      <c r="D240" s="5" t="s">
        <v>2515</v>
      </c>
      <c r="E240" s="3">
        <v>2154</v>
      </c>
      <c r="F240" t="s">
        <v>1038</v>
      </c>
      <c r="G240" t="s">
        <v>749</v>
      </c>
      <c r="H240" s="9">
        <v>5.99</v>
      </c>
      <c r="I240" s="3">
        <v>1</v>
      </c>
      <c r="J240" s="5" t="s">
        <v>68</v>
      </c>
      <c r="K240" s="15">
        <v>41680.90079861111</v>
      </c>
      <c r="L240" s="20">
        <f t="shared" si="9"/>
        <v>41680</v>
      </c>
      <c r="M240" t="str">
        <f t="shared" si="10"/>
        <v>02-2014</v>
      </c>
      <c r="N240">
        <f t="shared" si="11"/>
        <v>5.99</v>
      </c>
    </row>
    <row r="241" spans="3:14" x14ac:dyDescent="0.25">
      <c r="C241" t="str">
        <f>IF(COUNTBLANK(E241:K241) = 7,"",IF(AND(NOT(ISBLANK(E241)),COUNTBLANK(E241:K241) = 6),"3 Delete",IF(ISBLANK(E241),"2 Add",IF(SHA1Range(E241:K241) = "7976397a22b767495272a101cca2a9fc10fd31da","0 Original","1 Modify"))))</f>
        <v>0 Original</v>
      </c>
      <c r="D241" s="5" t="s">
        <v>2516</v>
      </c>
      <c r="E241" s="3">
        <v>2155</v>
      </c>
      <c r="F241" t="s">
        <v>1038</v>
      </c>
      <c r="G241" t="s">
        <v>869</v>
      </c>
      <c r="H241" s="9">
        <v>4.99</v>
      </c>
      <c r="I241" s="3">
        <v>1</v>
      </c>
      <c r="J241" s="5" t="s">
        <v>68</v>
      </c>
      <c r="K241" s="15">
        <v>41680.90079861111</v>
      </c>
      <c r="L241" s="20">
        <f t="shared" si="9"/>
        <v>41680</v>
      </c>
      <c r="M241" t="str">
        <f t="shared" si="10"/>
        <v>02-2014</v>
      </c>
      <c r="N241">
        <f t="shared" si="11"/>
        <v>4.99</v>
      </c>
    </row>
    <row r="242" spans="3:14" x14ac:dyDescent="0.25">
      <c r="C242" t="str">
        <f>IF(COUNTBLANK(E242:K242) = 7,"",IF(AND(NOT(ISBLANK(E242)),COUNTBLANK(E242:K242) = 6),"3 Delete",IF(ISBLANK(E242),"2 Add",IF(SHA1Range(E242:K242) = "132978f5831022f6a9382a8ea49fcec9cc62c2e2","0 Original","1 Modify"))))</f>
        <v>0 Original</v>
      </c>
      <c r="D242" s="5" t="s">
        <v>2517</v>
      </c>
      <c r="E242" s="3">
        <v>2156</v>
      </c>
      <c r="F242" t="s">
        <v>1038</v>
      </c>
      <c r="G242" t="s">
        <v>942</v>
      </c>
      <c r="H242" s="9">
        <v>6.99</v>
      </c>
      <c r="I242" s="3">
        <v>2</v>
      </c>
      <c r="J242" s="5" t="s">
        <v>68</v>
      </c>
      <c r="K242" s="15">
        <v>41680.90079861111</v>
      </c>
      <c r="L242" s="20">
        <f t="shared" si="9"/>
        <v>41680</v>
      </c>
      <c r="M242" t="str">
        <f t="shared" si="10"/>
        <v>02-2014</v>
      </c>
      <c r="N242">
        <f t="shared" si="11"/>
        <v>13.98</v>
      </c>
    </row>
    <row r="243" spans="3:14" x14ac:dyDescent="0.25">
      <c r="C243" t="str">
        <f>IF(COUNTBLANK(E243:K243) = 7,"",IF(AND(NOT(ISBLANK(E243)),COUNTBLANK(E243:K243) = 6),"3 Delete",IF(ISBLANK(E243),"2 Add",IF(SHA1Range(E243:K243) = "0f479a80732f7dae561a86b8851d287412536acd","0 Original","1 Modify"))))</f>
        <v>0 Original</v>
      </c>
      <c r="D243" s="5" t="s">
        <v>2518</v>
      </c>
      <c r="E243" s="3">
        <v>2157</v>
      </c>
      <c r="F243" t="s">
        <v>1038</v>
      </c>
      <c r="G243" t="s">
        <v>373</v>
      </c>
      <c r="H243" s="9">
        <v>7.99</v>
      </c>
      <c r="I243" s="3">
        <v>1</v>
      </c>
      <c r="J243" s="5" t="s">
        <v>68</v>
      </c>
      <c r="K243" s="15">
        <v>41680.90079861111</v>
      </c>
      <c r="L243" s="20">
        <f t="shared" si="9"/>
        <v>41680</v>
      </c>
      <c r="M243" t="str">
        <f t="shared" si="10"/>
        <v>02-2014</v>
      </c>
      <c r="N243">
        <f t="shared" si="11"/>
        <v>7.99</v>
      </c>
    </row>
    <row r="244" spans="3:14" x14ac:dyDescent="0.25">
      <c r="C244" t="str">
        <f>IF(COUNTBLANK(E244:K244) = 7,"",IF(AND(NOT(ISBLANK(E244)),COUNTBLANK(E244:K244) = 6),"3 Delete",IF(ISBLANK(E244),"2 Add",IF(SHA1Range(E244:K244) = "9fc2e94398f80d19ba55d58c630d839e3bf70ab2","0 Original","1 Modify"))))</f>
        <v>0 Original</v>
      </c>
      <c r="D244" s="5" t="s">
        <v>2519</v>
      </c>
      <c r="E244" s="3">
        <v>2158</v>
      </c>
      <c r="F244" t="s">
        <v>1038</v>
      </c>
      <c r="G244" t="s">
        <v>596</v>
      </c>
      <c r="H244" s="9">
        <v>7.99</v>
      </c>
      <c r="I244" s="3">
        <v>1</v>
      </c>
      <c r="J244" s="5" t="s">
        <v>68</v>
      </c>
      <c r="K244" s="15">
        <v>41680.90079861111</v>
      </c>
      <c r="L244" s="20">
        <f t="shared" si="9"/>
        <v>41680</v>
      </c>
      <c r="M244" t="str">
        <f t="shared" si="10"/>
        <v>02-2014</v>
      </c>
      <c r="N244">
        <f t="shared" si="11"/>
        <v>7.99</v>
      </c>
    </row>
    <row r="245" spans="3:14" x14ac:dyDescent="0.25">
      <c r="C245" t="str">
        <f>IF(COUNTBLANK(E245:K245) = 7,"",IF(AND(NOT(ISBLANK(E245)),COUNTBLANK(E245:K245) = 6),"3 Delete",IF(ISBLANK(E245),"2 Add",IF(SHA1Range(E245:K245) = "dd81b2ceff5886ae226c9aca4b9ce88a28d773f2","0 Original","1 Modify"))))</f>
        <v>0 Original</v>
      </c>
      <c r="D245" s="5" t="s">
        <v>2520</v>
      </c>
      <c r="E245" s="3">
        <v>2159</v>
      </c>
      <c r="F245" t="s">
        <v>1038</v>
      </c>
      <c r="G245" t="s">
        <v>891</v>
      </c>
      <c r="H245" s="9">
        <v>8.99</v>
      </c>
      <c r="I245" s="3">
        <v>1</v>
      </c>
      <c r="J245" s="5" t="s">
        <v>68</v>
      </c>
      <c r="K245" s="15">
        <v>41680.90079861111</v>
      </c>
      <c r="L245" s="20">
        <f t="shared" si="9"/>
        <v>41680</v>
      </c>
      <c r="M245" t="str">
        <f t="shared" si="10"/>
        <v>02-2014</v>
      </c>
      <c r="N245">
        <f t="shared" si="11"/>
        <v>8.99</v>
      </c>
    </row>
    <row r="246" spans="3:14" x14ac:dyDescent="0.25">
      <c r="C246" t="str">
        <f>IF(COUNTBLANK(E246:K246) = 7,"",IF(AND(NOT(ISBLANK(E246)),COUNTBLANK(E246:K246) = 6),"3 Delete",IF(ISBLANK(E246),"2 Add",IF(SHA1Range(E246:K246) = "0329ea07541c3c5c147be87395dd997eb43d53ef","0 Original","1 Modify"))))</f>
        <v>0 Original</v>
      </c>
      <c r="D246" s="5" t="s">
        <v>2521</v>
      </c>
      <c r="E246" s="3">
        <v>3732</v>
      </c>
      <c r="F246" t="s">
        <v>1039</v>
      </c>
      <c r="G246" t="s">
        <v>687</v>
      </c>
      <c r="H246" s="9">
        <v>9.99</v>
      </c>
      <c r="I246" s="3">
        <v>2</v>
      </c>
      <c r="J246" s="5" t="s">
        <v>68</v>
      </c>
      <c r="K246" s="15">
        <v>41681.641250000001</v>
      </c>
      <c r="L246" s="20">
        <f t="shared" si="9"/>
        <v>41681</v>
      </c>
      <c r="M246" t="str">
        <f t="shared" si="10"/>
        <v>02-2014</v>
      </c>
      <c r="N246">
        <f t="shared" si="11"/>
        <v>19.98</v>
      </c>
    </row>
    <row r="247" spans="3:14" x14ac:dyDescent="0.25">
      <c r="C247" t="str">
        <f>IF(COUNTBLANK(E247:K247) = 7,"",IF(AND(NOT(ISBLANK(E247)),COUNTBLANK(E247:K247) = 6),"3 Delete",IF(ISBLANK(E247),"2 Add",IF(SHA1Range(E247:K247) = "58b0bc0d44151602be45e083f4808bc1212f7695","0 Original","1 Modify"))))</f>
        <v>0 Original</v>
      </c>
      <c r="D247" s="5" t="s">
        <v>2522</v>
      </c>
      <c r="E247" s="3">
        <v>3733</v>
      </c>
      <c r="F247" t="s">
        <v>1039</v>
      </c>
      <c r="G247" t="s">
        <v>373</v>
      </c>
      <c r="H247" s="9">
        <v>7.99</v>
      </c>
      <c r="I247" s="3">
        <v>1</v>
      </c>
      <c r="J247" s="5" t="s">
        <v>68</v>
      </c>
      <c r="K247" s="15">
        <v>41681.641250000001</v>
      </c>
      <c r="L247" s="20">
        <f t="shared" si="9"/>
        <v>41681</v>
      </c>
      <c r="M247" t="str">
        <f t="shared" si="10"/>
        <v>02-2014</v>
      </c>
      <c r="N247">
        <f t="shared" si="11"/>
        <v>7.99</v>
      </c>
    </row>
    <row r="248" spans="3:14" x14ac:dyDescent="0.25">
      <c r="C248" t="str">
        <f>IF(COUNTBLANK(E248:K248) = 7,"",IF(AND(NOT(ISBLANK(E248)),COUNTBLANK(E248:K248) = 6),"3 Delete",IF(ISBLANK(E248),"2 Add",IF(SHA1Range(E248:K248) = "02a6b6e4cf6ed1a0e775df6a7f560c5e72f04f90","0 Original","1 Modify"))))</f>
        <v>0 Original</v>
      </c>
      <c r="D248" s="5" t="s">
        <v>2523</v>
      </c>
      <c r="E248" s="3">
        <v>3734</v>
      </c>
      <c r="F248" t="s">
        <v>1039</v>
      </c>
      <c r="G248" t="s">
        <v>948</v>
      </c>
      <c r="H248" s="9">
        <v>4.99</v>
      </c>
      <c r="I248" s="3">
        <v>2</v>
      </c>
      <c r="J248" s="5" t="s">
        <v>68</v>
      </c>
      <c r="K248" s="15">
        <v>41681.641250000001</v>
      </c>
      <c r="L248" s="20">
        <f t="shared" si="9"/>
        <v>41681</v>
      </c>
      <c r="M248" t="str">
        <f t="shared" si="10"/>
        <v>02-2014</v>
      </c>
      <c r="N248">
        <f t="shared" si="11"/>
        <v>9.98</v>
      </c>
    </row>
    <row r="249" spans="3:14" x14ac:dyDescent="0.25">
      <c r="C249" t="str">
        <f>IF(COUNTBLANK(E249:K249) = 7,"",IF(AND(NOT(ISBLANK(E249)),COUNTBLANK(E249:K249) = 6),"3 Delete",IF(ISBLANK(E249),"2 Add",IF(SHA1Range(E249:K249) = "656ed23950158e09bd83d9c32210539b503a40c5","0 Original","1 Modify"))))</f>
        <v>0 Original</v>
      </c>
      <c r="D249" s="5" t="s">
        <v>2524</v>
      </c>
      <c r="E249" s="3">
        <v>2996</v>
      </c>
      <c r="F249" t="s">
        <v>1040</v>
      </c>
      <c r="G249" t="s">
        <v>687</v>
      </c>
      <c r="H249" s="9">
        <v>9.99</v>
      </c>
      <c r="I249" s="3">
        <v>1</v>
      </c>
      <c r="J249" s="5" t="s">
        <v>68</v>
      </c>
      <c r="K249" s="15">
        <v>41682.150914351849</v>
      </c>
      <c r="L249" s="20">
        <f t="shared" si="9"/>
        <v>41682</v>
      </c>
      <c r="M249" t="str">
        <f t="shared" si="10"/>
        <v>02-2014</v>
      </c>
      <c r="N249">
        <f t="shared" si="11"/>
        <v>9.99</v>
      </c>
    </row>
    <row r="250" spans="3:14" x14ac:dyDescent="0.25">
      <c r="C250" t="str">
        <f>IF(COUNTBLANK(E250:K250) = 7,"",IF(AND(NOT(ISBLANK(E250)),COUNTBLANK(E250:K250) = 6),"3 Delete",IF(ISBLANK(E250),"2 Add",IF(SHA1Range(E250:K250) = "2d1d614ce4f2307883b359731f9443a68b00ab54","0 Original","1 Modify"))))</f>
        <v>0 Original</v>
      </c>
      <c r="D250" s="5" t="s">
        <v>2525</v>
      </c>
      <c r="E250" s="3">
        <v>2997</v>
      </c>
      <c r="F250" t="s">
        <v>1040</v>
      </c>
      <c r="G250" t="s">
        <v>400</v>
      </c>
      <c r="H250" s="9">
        <v>4.99</v>
      </c>
      <c r="I250" s="3">
        <v>1</v>
      </c>
      <c r="J250" s="5" t="s">
        <v>68</v>
      </c>
      <c r="K250" s="15">
        <v>41682.150914351849</v>
      </c>
      <c r="L250" s="20">
        <f t="shared" si="9"/>
        <v>41682</v>
      </c>
      <c r="M250" t="str">
        <f t="shared" si="10"/>
        <v>02-2014</v>
      </c>
      <c r="N250">
        <f t="shared" si="11"/>
        <v>4.99</v>
      </c>
    </row>
    <row r="251" spans="3:14" x14ac:dyDescent="0.25">
      <c r="C251" t="str">
        <f>IF(COUNTBLANK(E251:K251) = 7,"",IF(AND(NOT(ISBLANK(E251)),COUNTBLANK(E251:K251) = 6),"3 Delete",IF(ISBLANK(E251),"2 Add",IF(SHA1Range(E251:K251) = "ec01f1d4b0014a237662334da0541dba2966a8b2","0 Original","1 Modify"))))</f>
        <v>0 Original</v>
      </c>
      <c r="D251" s="5" t="s">
        <v>2526</v>
      </c>
      <c r="E251" s="3">
        <v>2998</v>
      </c>
      <c r="F251" t="s">
        <v>1040</v>
      </c>
      <c r="G251" t="s">
        <v>948</v>
      </c>
      <c r="H251" s="9">
        <v>4.99</v>
      </c>
      <c r="I251" s="3">
        <v>2</v>
      </c>
      <c r="J251" s="5" t="s">
        <v>68</v>
      </c>
      <c r="K251" s="15">
        <v>41682.150914351849</v>
      </c>
      <c r="L251" s="20">
        <f t="shared" si="9"/>
        <v>41682</v>
      </c>
      <c r="M251" t="str">
        <f t="shared" si="10"/>
        <v>02-2014</v>
      </c>
      <c r="N251">
        <f t="shared" si="11"/>
        <v>9.98</v>
      </c>
    </row>
    <row r="252" spans="3:14" x14ac:dyDescent="0.25">
      <c r="C252" t="str">
        <f>IF(COUNTBLANK(E252:K252) = 7,"",IF(AND(NOT(ISBLANK(E252)),COUNTBLANK(E252:K252) = 6),"3 Delete",IF(ISBLANK(E252),"2 Add",IF(SHA1Range(E252:K252) = "461fb799a5f482c3c8c820ac73da7401cdf537dc","0 Original","1 Modify"))))</f>
        <v>0 Original</v>
      </c>
      <c r="D252" s="5" t="s">
        <v>2527</v>
      </c>
      <c r="E252" s="3">
        <v>2999</v>
      </c>
      <c r="F252" t="s">
        <v>1040</v>
      </c>
      <c r="G252" t="s">
        <v>642</v>
      </c>
      <c r="H252" s="9">
        <v>9.99</v>
      </c>
      <c r="I252" s="3">
        <v>1</v>
      </c>
      <c r="J252" s="5" t="s">
        <v>68</v>
      </c>
      <c r="K252" s="15">
        <v>41682.150914351849</v>
      </c>
      <c r="L252" s="20">
        <f t="shared" si="9"/>
        <v>41682</v>
      </c>
      <c r="M252" t="str">
        <f t="shared" si="10"/>
        <v>02-2014</v>
      </c>
      <c r="N252">
        <f t="shared" si="11"/>
        <v>9.99</v>
      </c>
    </row>
    <row r="253" spans="3:14" x14ac:dyDescent="0.25">
      <c r="C253" t="str">
        <f>IF(COUNTBLANK(E253:K253) = 7,"",IF(AND(NOT(ISBLANK(E253)),COUNTBLANK(E253:K253) = 6),"3 Delete",IF(ISBLANK(E253),"2 Add",IF(SHA1Range(E253:K253) = "6f63900884cc2c566aaf5c4b8bce7d9e1681861c","0 Original","1 Modify"))))</f>
        <v>0 Original</v>
      </c>
      <c r="D253" s="5" t="s">
        <v>53</v>
      </c>
      <c r="E253" s="3">
        <v>7</v>
      </c>
      <c r="F253" t="s">
        <v>1041</v>
      </c>
      <c r="G253" t="s">
        <v>642</v>
      </c>
      <c r="H253" s="9">
        <v>9.99</v>
      </c>
      <c r="I253" s="3">
        <v>2</v>
      </c>
      <c r="J253" s="5" t="s">
        <v>68</v>
      </c>
      <c r="K253" s="15">
        <v>41682.520208333335</v>
      </c>
      <c r="L253" s="20">
        <f t="shared" si="9"/>
        <v>41682</v>
      </c>
      <c r="M253" t="str">
        <f t="shared" si="10"/>
        <v>02-2014</v>
      </c>
      <c r="N253">
        <f t="shared" si="11"/>
        <v>19.98</v>
      </c>
    </row>
    <row r="254" spans="3:14" x14ac:dyDescent="0.25">
      <c r="C254" t="str">
        <f>IF(COUNTBLANK(E254:K254) = 7,"",IF(AND(NOT(ISBLANK(E254)),COUNTBLANK(E254:K254) = 6),"3 Delete",IF(ISBLANK(E254),"2 Add",IF(SHA1Range(E254:K254) = "195a50cfc6d67a9450c816ef87ec5ce806b6570f","0 Original","1 Modify"))))</f>
        <v>0 Original</v>
      </c>
      <c r="D254" s="5" t="s">
        <v>2528</v>
      </c>
      <c r="E254" s="3">
        <v>8</v>
      </c>
      <c r="F254" t="s">
        <v>1041</v>
      </c>
      <c r="G254" t="s">
        <v>642</v>
      </c>
      <c r="H254" s="9">
        <v>9.99</v>
      </c>
      <c r="I254" s="3">
        <v>1</v>
      </c>
      <c r="J254" s="5" t="s">
        <v>68</v>
      </c>
      <c r="K254" s="15">
        <v>41682.520208333335</v>
      </c>
      <c r="L254" s="20">
        <f t="shared" si="9"/>
        <v>41682</v>
      </c>
      <c r="M254" t="str">
        <f t="shared" si="10"/>
        <v>02-2014</v>
      </c>
      <c r="N254">
        <f t="shared" si="11"/>
        <v>9.99</v>
      </c>
    </row>
    <row r="255" spans="3:14" x14ac:dyDescent="0.25">
      <c r="C255" t="str">
        <f>IF(COUNTBLANK(E255:K255) = 7,"",IF(AND(NOT(ISBLANK(E255)),COUNTBLANK(E255:K255) = 6),"3 Delete",IF(ISBLANK(E255),"2 Add",IF(SHA1Range(E255:K255) = "6ebb12310a4d4772422f6a75df24046961417118","0 Original","1 Modify"))))</f>
        <v>0 Original</v>
      </c>
      <c r="D255" s="5" t="s">
        <v>2529</v>
      </c>
      <c r="E255" s="3">
        <v>569</v>
      </c>
      <c r="F255" t="s">
        <v>1042</v>
      </c>
      <c r="G255" t="s">
        <v>922</v>
      </c>
      <c r="H255" s="9">
        <v>5.99</v>
      </c>
      <c r="I255" s="3">
        <v>1</v>
      </c>
      <c r="J255" s="5" t="s">
        <v>68</v>
      </c>
      <c r="K255" s="15">
        <v>41682.855011574073</v>
      </c>
      <c r="L255" s="20">
        <f t="shared" si="9"/>
        <v>41682</v>
      </c>
      <c r="M255" t="str">
        <f t="shared" si="10"/>
        <v>02-2014</v>
      </c>
      <c r="N255">
        <f t="shared" si="11"/>
        <v>5.99</v>
      </c>
    </row>
    <row r="256" spans="3:14" x14ac:dyDescent="0.25">
      <c r="C256" t="str">
        <f>IF(COUNTBLANK(E256:K256) = 7,"",IF(AND(NOT(ISBLANK(E256)),COUNTBLANK(E256:K256) = 6),"3 Delete",IF(ISBLANK(E256),"2 Add",IF(SHA1Range(E256:K256) = "089516f41275e1589bdf0b5fc2e0bab2956ebdee","0 Original","1 Modify"))))</f>
        <v>0 Original</v>
      </c>
      <c r="D256" s="5" t="s">
        <v>2530</v>
      </c>
      <c r="E256" s="3">
        <v>570</v>
      </c>
      <c r="F256" t="s">
        <v>1042</v>
      </c>
      <c r="G256" t="s">
        <v>677</v>
      </c>
      <c r="H256" s="9">
        <v>8.99</v>
      </c>
      <c r="I256" s="3">
        <v>1</v>
      </c>
      <c r="J256" s="5" t="s">
        <v>68</v>
      </c>
      <c r="K256" s="15">
        <v>41682.855011574073</v>
      </c>
      <c r="L256" s="20">
        <f t="shared" si="9"/>
        <v>41682</v>
      </c>
      <c r="M256" t="str">
        <f t="shared" si="10"/>
        <v>02-2014</v>
      </c>
      <c r="N256">
        <f t="shared" si="11"/>
        <v>8.99</v>
      </c>
    </row>
    <row r="257" spans="3:14" x14ac:dyDescent="0.25">
      <c r="C257" t="str">
        <f>IF(COUNTBLANK(E257:K257) = 7,"",IF(AND(NOT(ISBLANK(E257)),COUNTBLANK(E257:K257) = 6),"3 Delete",IF(ISBLANK(E257),"2 Add",IF(SHA1Range(E257:K257) = "a1e6a8396a314132eeac872594f20ea3987c085c","0 Original","1 Modify"))))</f>
        <v>0 Original</v>
      </c>
      <c r="D257" s="5" t="s">
        <v>2531</v>
      </c>
      <c r="E257" s="3">
        <v>571</v>
      </c>
      <c r="F257" t="s">
        <v>1042</v>
      </c>
      <c r="G257" t="s">
        <v>897</v>
      </c>
      <c r="H257" s="9">
        <v>6.99</v>
      </c>
      <c r="I257" s="3">
        <v>1</v>
      </c>
      <c r="J257" s="5" t="s">
        <v>68</v>
      </c>
      <c r="K257" s="15">
        <v>41682.855011574073</v>
      </c>
      <c r="L257" s="20">
        <f t="shared" si="9"/>
        <v>41682</v>
      </c>
      <c r="M257" t="str">
        <f t="shared" si="10"/>
        <v>02-2014</v>
      </c>
      <c r="N257">
        <f t="shared" si="11"/>
        <v>6.99</v>
      </c>
    </row>
    <row r="258" spans="3:14" x14ac:dyDescent="0.25">
      <c r="C258" t="str">
        <f>IF(COUNTBLANK(E258:K258) = 7,"",IF(AND(NOT(ISBLANK(E258)),COUNTBLANK(E258:K258) = 6),"3 Delete",IF(ISBLANK(E258),"2 Add",IF(SHA1Range(E258:K258) = "5d3ed1f7b609bd2c888ec40c1650515d4676cd80","0 Original","1 Modify"))))</f>
        <v>0 Original</v>
      </c>
      <c r="D258" s="5" t="s">
        <v>2532</v>
      </c>
      <c r="E258" s="3">
        <v>2537</v>
      </c>
      <c r="F258" t="s">
        <v>1043</v>
      </c>
      <c r="G258" t="s">
        <v>579</v>
      </c>
      <c r="H258" s="9">
        <v>9.99</v>
      </c>
      <c r="I258" s="3">
        <v>2</v>
      </c>
      <c r="J258" s="5" t="s">
        <v>68</v>
      </c>
      <c r="K258" s="15">
        <v>41683.466331018521</v>
      </c>
      <c r="L258" s="20">
        <f t="shared" si="9"/>
        <v>41683</v>
      </c>
      <c r="M258" t="str">
        <f t="shared" si="10"/>
        <v>02-2014</v>
      </c>
      <c r="N258">
        <f t="shared" si="11"/>
        <v>19.98</v>
      </c>
    </row>
    <row r="259" spans="3:14" x14ac:dyDescent="0.25">
      <c r="C259" t="str">
        <f>IF(COUNTBLANK(E259:K259) = 7,"",IF(AND(NOT(ISBLANK(E259)),COUNTBLANK(E259:K259) = 6),"3 Delete",IF(ISBLANK(E259),"2 Add",IF(SHA1Range(E259:K259) = "4b12c70f803b3e967fa186755570168a6b087521","0 Original","1 Modify"))))</f>
        <v>0 Original</v>
      </c>
      <c r="D259" s="5" t="s">
        <v>2533</v>
      </c>
      <c r="E259" s="3">
        <v>2538</v>
      </c>
      <c r="F259" t="s">
        <v>1043</v>
      </c>
      <c r="G259" t="s">
        <v>514</v>
      </c>
      <c r="H259" s="9">
        <v>6.99</v>
      </c>
      <c r="I259" s="3">
        <v>1</v>
      </c>
      <c r="J259" s="5" t="s">
        <v>68</v>
      </c>
      <c r="K259" s="15">
        <v>41683.466331018521</v>
      </c>
      <c r="L259" s="20">
        <f t="shared" ref="L259:L322" si="12">DATEVALUE(LEFT(F259,10))</f>
        <v>41683</v>
      </c>
      <c r="M259" t="str">
        <f t="shared" ref="M259:M322" si="13">TEXT(L259,"mm-yyyy")</f>
        <v>02-2014</v>
      </c>
      <c r="N259">
        <f t="shared" ref="N259:N322" si="14">H259*I259</f>
        <v>6.99</v>
      </c>
    </row>
    <row r="260" spans="3:14" x14ac:dyDescent="0.25">
      <c r="C260" t="str">
        <f>IF(COUNTBLANK(E260:K260) = 7,"",IF(AND(NOT(ISBLANK(E260)),COUNTBLANK(E260:K260) = 6),"3 Delete",IF(ISBLANK(E260),"2 Add",IF(SHA1Range(E260:K260) = "9eb56d4cb78c46401e3162f10d90583697f69e6a","0 Original","1 Modify"))))</f>
        <v>0 Original</v>
      </c>
      <c r="D260" s="5" t="s">
        <v>2534</v>
      </c>
      <c r="E260" s="3">
        <v>240</v>
      </c>
      <c r="F260" t="s">
        <v>1044</v>
      </c>
      <c r="G260" t="s">
        <v>500</v>
      </c>
      <c r="H260" s="9">
        <v>6.99</v>
      </c>
      <c r="I260" s="3">
        <v>1</v>
      </c>
      <c r="J260" s="5" t="s">
        <v>68</v>
      </c>
      <c r="K260" s="15">
        <v>41684.557118055556</v>
      </c>
      <c r="L260" s="20">
        <f t="shared" si="12"/>
        <v>41684</v>
      </c>
      <c r="M260" t="str">
        <f t="shared" si="13"/>
        <v>02-2014</v>
      </c>
      <c r="N260">
        <f t="shared" si="14"/>
        <v>6.99</v>
      </c>
    </row>
    <row r="261" spans="3:14" x14ac:dyDescent="0.25">
      <c r="C261" t="str">
        <f>IF(COUNTBLANK(E261:K261) = 7,"",IF(AND(NOT(ISBLANK(E261)),COUNTBLANK(E261:K261) = 6),"3 Delete",IF(ISBLANK(E261),"2 Add",IF(SHA1Range(E261:K261) = "370685b70295bfcf205ab0ab8d56af7e45777cd1","0 Original","1 Modify"))))</f>
        <v>0 Original</v>
      </c>
      <c r="D261" s="5" t="s">
        <v>2535</v>
      </c>
      <c r="E261" s="3">
        <v>241</v>
      </c>
      <c r="F261" t="s">
        <v>1044</v>
      </c>
      <c r="G261" t="s">
        <v>576</v>
      </c>
      <c r="H261" s="9">
        <v>6.99</v>
      </c>
      <c r="I261" s="3">
        <v>1</v>
      </c>
      <c r="J261" s="5" t="s">
        <v>68</v>
      </c>
      <c r="K261" s="15">
        <v>41684.557118055556</v>
      </c>
      <c r="L261" s="20">
        <f t="shared" si="12"/>
        <v>41684</v>
      </c>
      <c r="M261" t="str">
        <f t="shared" si="13"/>
        <v>02-2014</v>
      </c>
      <c r="N261">
        <f t="shared" si="14"/>
        <v>6.99</v>
      </c>
    </row>
    <row r="262" spans="3:14" x14ac:dyDescent="0.25">
      <c r="C262" t="str">
        <f>IF(COUNTBLANK(E262:K262) = 7,"",IF(AND(NOT(ISBLANK(E262)),COUNTBLANK(E262:K262) = 6),"3 Delete",IF(ISBLANK(E262),"2 Add",IF(SHA1Range(E262:K262) = "83386899d2c3a12a14aaec361d3ab48298018489","0 Original","1 Modify"))))</f>
        <v>0 Original</v>
      </c>
      <c r="D262" s="5" t="s">
        <v>2536</v>
      </c>
      <c r="E262" s="3">
        <v>242</v>
      </c>
      <c r="F262" t="s">
        <v>1044</v>
      </c>
      <c r="G262" t="s">
        <v>500</v>
      </c>
      <c r="H262" s="9">
        <v>6.99</v>
      </c>
      <c r="I262" s="3">
        <v>1</v>
      </c>
      <c r="J262" s="5" t="s">
        <v>68</v>
      </c>
      <c r="K262" s="15">
        <v>41684.557118055556</v>
      </c>
      <c r="L262" s="20">
        <f t="shared" si="12"/>
        <v>41684</v>
      </c>
      <c r="M262" t="str">
        <f t="shared" si="13"/>
        <v>02-2014</v>
      </c>
      <c r="N262">
        <f t="shared" si="14"/>
        <v>6.99</v>
      </c>
    </row>
    <row r="263" spans="3:14" x14ac:dyDescent="0.25">
      <c r="C263" t="str">
        <f>IF(COUNTBLANK(E263:K263) = 7,"",IF(AND(NOT(ISBLANK(E263)),COUNTBLANK(E263:K263) = 6),"3 Delete",IF(ISBLANK(E263),"2 Add",IF(SHA1Range(E263:K263) = "4d7d2e860f7398dd22f5c739a57beb3e7f343292","0 Original","1 Modify"))))</f>
        <v>0 Original</v>
      </c>
      <c r="D263" s="5" t="s">
        <v>2537</v>
      </c>
      <c r="E263" s="3">
        <v>243</v>
      </c>
      <c r="F263" t="s">
        <v>1044</v>
      </c>
      <c r="G263" t="s">
        <v>651</v>
      </c>
      <c r="H263" s="9">
        <v>4.99</v>
      </c>
      <c r="I263" s="3">
        <v>1</v>
      </c>
      <c r="J263" s="5" t="s">
        <v>68</v>
      </c>
      <c r="K263" s="15">
        <v>41684.557118055556</v>
      </c>
      <c r="L263" s="20">
        <f t="shared" si="12"/>
        <v>41684</v>
      </c>
      <c r="M263" t="str">
        <f t="shared" si="13"/>
        <v>02-2014</v>
      </c>
      <c r="N263">
        <f t="shared" si="14"/>
        <v>4.99</v>
      </c>
    </row>
    <row r="264" spans="3:14" x14ac:dyDescent="0.25">
      <c r="C264" t="str">
        <f>IF(COUNTBLANK(E264:K264) = 7,"",IF(AND(NOT(ISBLANK(E264)),COUNTBLANK(E264:K264) = 6),"3 Delete",IF(ISBLANK(E264),"2 Add",IF(SHA1Range(E264:K264) = "21bfd9a9ab273bcdaec606b2d0d08c6608e44354","0 Original","1 Modify"))))</f>
        <v>0 Original</v>
      </c>
      <c r="D264" s="5" t="s">
        <v>2538</v>
      </c>
      <c r="E264" s="3">
        <v>244</v>
      </c>
      <c r="F264" t="s">
        <v>1044</v>
      </c>
      <c r="G264" t="s">
        <v>851</v>
      </c>
      <c r="H264" s="9">
        <v>7.99</v>
      </c>
      <c r="I264" s="3">
        <v>1</v>
      </c>
      <c r="J264" s="5" t="s">
        <v>68</v>
      </c>
      <c r="K264" s="15">
        <v>41684.557118055556</v>
      </c>
      <c r="L264" s="20">
        <f t="shared" si="12"/>
        <v>41684</v>
      </c>
      <c r="M264" t="str">
        <f t="shared" si="13"/>
        <v>02-2014</v>
      </c>
      <c r="N264">
        <f t="shared" si="14"/>
        <v>7.99</v>
      </c>
    </row>
    <row r="265" spans="3:14" x14ac:dyDescent="0.25">
      <c r="C265" t="str">
        <f>IF(COUNTBLANK(E265:K265) = 7,"",IF(AND(NOT(ISBLANK(E265)),COUNTBLANK(E265:K265) = 6),"3 Delete",IF(ISBLANK(E265),"2 Add",IF(SHA1Range(E265:K265) = "3a4bd35f3b5bfb933ae73c331775e43f5ceef148","0 Original","1 Modify"))))</f>
        <v>0 Original</v>
      </c>
      <c r="D265" s="5" t="s">
        <v>2539</v>
      </c>
      <c r="E265" s="3">
        <v>2054</v>
      </c>
      <c r="F265" t="s">
        <v>1045</v>
      </c>
      <c r="G265" t="s">
        <v>657</v>
      </c>
      <c r="H265" s="9">
        <v>9.99</v>
      </c>
      <c r="I265" s="3">
        <v>2</v>
      </c>
      <c r="J265" s="5" t="s">
        <v>68</v>
      </c>
      <c r="K265" s="15">
        <v>41685.461724537039</v>
      </c>
      <c r="L265" s="20">
        <f t="shared" si="12"/>
        <v>41685</v>
      </c>
      <c r="M265" t="str">
        <f t="shared" si="13"/>
        <v>02-2014</v>
      </c>
      <c r="N265">
        <f t="shared" si="14"/>
        <v>19.98</v>
      </c>
    </row>
    <row r="266" spans="3:14" x14ac:dyDescent="0.25">
      <c r="C266" t="str">
        <f>IF(COUNTBLANK(E266:K266) = 7,"",IF(AND(NOT(ISBLANK(E266)),COUNTBLANK(E266:K266) = 6),"3 Delete",IF(ISBLANK(E266),"2 Add",IF(SHA1Range(E266:K266) = "db6bebe12fbc03e4a6a599f48cc36044091e525b","0 Original","1 Modify"))))</f>
        <v>0 Original</v>
      </c>
      <c r="D266" s="5" t="s">
        <v>2540</v>
      </c>
      <c r="E266" s="3">
        <v>2055</v>
      </c>
      <c r="F266" t="s">
        <v>1045</v>
      </c>
      <c r="G266" t="s">
        <v>690</v>
      </c>
      <c r="H266" s="9">
        <v>7.99</v>
      </c>
      <c r="I266" s="3">
        <v>1</v>
      </c>
      <c r="J266" s="5" t="s">
        <v>68</v>
      </c>
      <c r="K266" s="15">
        <v>41685.461724537039</v>
      </c>
      <c r="L266" s="20">
        <f t="shared" si="12"/>
        <v>41685</v>
      </c>
      <c r="M266" t="str">
        <f t="shared" si="13"/>
        <v>02-2014</v>
      </c>
      <c r="N266">
        <f t="shared" si="14"/>
        <v>7.99</v>
      </c>
    </row>
    <row r="267" spans="3:14" x14ac:dyDescent="0.25">
      <c r="C267" t="str">
        <f>IF(COUNTBLANK(E267:K267) = 7,"",IF(AND(NOT(ISBLANK(E267)),COUNTBLANK(E267:K267) = 6),"3 Delete",IF(ISBLANK(E267),"2 Add",IF(SHA1Range(E267:K267) = "ff46861cd9e91062ec8530ac2b437ff3058adc90","0 Original","1 Modify"))))</f>
        <v>0 Original</v>
      </c>
      <c r="D267" s="5" t="s">
        <v>2541</v>
      </c>
      <c r="E267" s="3">
        <v>2056</v>
      </c>
      <c r="F267" t="s">
        <v>1045</v>
      </c>
      <c r="G267" t="s">
        <v>854</v>
      </c>
      <c r="H267" s="9">
        <v>8.99</v>
      </c>
      <c r="I267" s="3">
        <v>1</v>
      </c>
      <c r="J267" s="5" t="s">
        <v>68</v>
      </c>
      <c r="K267" s="15">
        <v>41685.461724537039</v>
      </c>
      <c r="L267" s="20">
        <f t="shared" si="12"/>
        <v>41685</v>
      </c>
      <c r="M267" t="str">
        <f t="shared" si="13"/>
        <v>02-2014</v>
      </c>
      <c r="N267">
        <f t="shared" si="14"/>
        <v>8.99</v>
      </c>
    </row>
    <row r="268" spans="3:14" x14ac:dyDescent="0.25">
      <c r="C268" t="str">
        <f>IF(COUNTBLANK(E268:K268) = 7,"",IF(AND(NOT(ISBLANK(E268)),COUNTBLANK(E268:K268) = 6),"3 Delete",IF(ISBLANK(E268),"2 Add",IF(SHA1Range(E268:K268) = "81fcb89bfc1102040940804ffd63fbc51ccccdc5","0 Original","1 Modify"))))</f>
        <v>0 Original</v>
      </c>
      <c r="D268" s="5" t="s">
        <v>2542</v>
      </c>
      <c r="E268" s="3">
        <v>2057</v>
      </c>
      <c r="F268" t="s">
        <v>1045</v>
      </c>
      <c r="G268" t="s">
        <v>869</v>
      </c>
      <c r="H268" s="9">
        <v>4.99</v>
      </c>
      <c r="I268" s="3">
        <v>1</v>
      </c>
      <c r="J268" s="5" t="s">
        <v>68</v>
      </c>
      <c r="K268" s="15">
        <v>41685.461724537039</v>
      </c>
      <c r="L268" s="20">
        <f t="shared" si="12"/>
        <v>41685</v>
      </c>
      <c r="M268" t="str">
        <f t="shared" si="13"/>
        <v>02-2014</v>
      </c>
      <c r="N268">
        <f t="shared" si="14"/>
        <v>4.99</v>
      </c>
    </row>
    <row r="269" spans="3:14" x14ac:dyDescent="0.25">
      <c r="C269" t="str">
        <f>IF(COUNTBLANK(E269:K269) = 7,"",IF(AND(NOT(ISBLANK(E269)),COUNTBLANK(E269:K269) = 6),"3 Delete",IF(ISBLANK(E269),"2 Add",IF(SHA1Range(E269:K269) = "e1cdf5f66472a5ae31f4dca9100174875b162ebe","0 Original","1 Modify"))))</f>
        <v>0 Original</v>
      </c>
      <c r="D269" s="5" t="s">
        <v>2543</v>
      </c>
      <c r="E269" s="3">
        <v>2058</v>
      </c>
      <c r="F269" t="s">
        <v>1045</v>
      </c>
      <c r="G269" t="s">
        <v>680</v>
      </c>
      <c r="H269" s="9">
        <v>8.99</v>
      </c>
      <c r="I269" s="3">
        <v>1</v>
      </c>
      <c r="J269" s="5" t="s">
        <v>68</v>
      </c>
      <c r="K269" s="15">
        <v>41685.461724537039</v>
      </c>
      <c r="L269" s="20">
        <f t="shared" si="12"/>
        <v>41685</v>
      </c>
      <c r="M269" t="str">
        <f t="shared" si="13"/>
        <v>02-2014</v>
      </c>
      <c r="N269">
        <f t="shared" si="14"/>
        <v>8.99</v>
      </c>
    </row>
    <row r="270" spans="3:14" x14ac:dyDescent="0.25">
      <c r="C270" t="str">
        <f>IF(COUNTBLANK(E270:K270) = 7,"",IF(AND(NOT(ISBLANK(E270)),COUNTBLANK(E270:K270) = 6),"3 Delete",IF(ISBLANK(E270),"2 Add",IF(SHA1Range(E270:K270) = "10a505cbf17880d1d5d6b148a440c7a83bbcb51c","0 Original","1 Modify"))))</f>
        <v>0 Original</v>
      </c>
      <c r="D270" s="5" t="s">
        <v>2544</v>
      </c>
      <c r="E270" s="3">
        <v>2059</v>
      </c>
      <c r="F270" t="s">
        <v>1045</v>
      </c>
      <c r="G270" t="s">
        <v>739</v>
      </c>
      <c r="H270" s="9">
        <v>8.99</v>
      </c>
      <c r="I270" s="3">
        <v>1</v>
      </c>
      <c r="J270" s="5" t="s">
        <v>68</v>
      </c>
      <c r="K270" s="15">
        <v>41685.461724537039</v>
      </c>
      <c r="L270" s="20">
        <f t="shared" si="12"/>
        <v>41685</v>
      </c>
      <c r="M270" t="str">
        <f t="shared" si="13"/>
        <v>02-2014</v>
      </c>
      <c r="N270">
        <f t="shared" si="14"/>
        <v>8.99</v>
      </c>
    </row>
    <row r="271" spans="3:14" x14ac:dyDescent="0.25">
      <c r="C271" t="str">
        <f>IF(COUNTBLANK(E271:K271) = 7,"",IF(AND(NOT(ISBLANK(E271)),COUNTBLANK(E271:K271) = 6),"3 Delete",IF(ISBLANK(E271),"2 Add",IF(SHA1Range(E271:K271) = "f90f4157ab84b7e30698395c8c65d395bc0d0f83","0 Original","1 Modify"))))</f>
        <v>0 Original</v>
      </c>
      <c r="D271" s="5" t="s">
        <v>2545</v>
      </c>
      <c r="E271" s="3">
        <v>1117</v>
      </c>
      <c r="F271" t="s">
        <v>1046</v>
      </c>
      <c r="G271" t="s">
        <v>739</v>
      </c>
      <c r="H271" s="9">
        <v>8.99</v>
      </c>
      <c r="I271" s="3">
        <v>1</v>
      </c>
      <c r="J271" s="5" t="s">
        <v>68</v>
      </c>
      <c r="K271" s="15">
        <v>41685.493819444448</v>
      </c>
      <c r="L271" s="20">
        <f t="shared" si="12"/>
        <v>41685</v>
      </c>
      <c r="M271" t="str">
        <f t="shared" si="13"/>
        <v>02-2014</v>
      </c>
      <c r="N271">
        <f t="shared" si="14"/>
        <v>8.99</v>
      </c>
    </row>
    <row r="272" spans="3:14" x14ac:dyDescent="0.25">
      <c r="C272" t="str">
        <f>IF(COUNTBLANK(E272:K272) = 7,"",IF(AND(NOT(ISBLANK(E272)),COUNTBLANK(E272:K272) = 6),"3 Delete",IF(ISBLANK(E272),"2 Add",IF(SHA1Range(E272:K272) = "8e4d09e8d8644c14e5049c45d15e3833602e66e7","0 Original","1 Modify"))))</f>
        <v>0 Original</v>
      </c>
      <c r="D272" s="5" t="s">
        <v>2546</v>
      </c>
      <c r="E272" s="3">
        <v>1118</v>
      </c>
      <c r="F272" t="s">
        <v>1046</v>
      </c>
      <c r="G272" t="s">
        <v>842</v>
      </c>
      <c r="H272" s="9">
        <v>4.99</v>
      </c>
      <c r="I272" s="3">
        <v>2</v>
      </c>
      <c r="J272" s="5" t="s">
        <v>68</v>
      </c>
      <c r="K272" s="15">
        <v>41685.493819444448</v>
      </c>
      <c r="L272" s="20">
        <f t="shared" si="12"/>
        <v>41685</v>
      </c>
      <c r="M272" t="str">
        <f t="shared" si="13"/>
        <v>02-2014</v>
      </c>
      <c r="N272">
        <f t="shared" si="14"/>
        <v>9.98</v>
      </c>
    </row>
    <row r="273" spans="3:14" x14ac:dyDescent="0.25">
      <c r="C273" t="str">
        <f>IF(COUNTBLANK(E273:K273) = 7,"",IF(AND(NOT(ISBLANK(E273)),COUNTBLANK(E273:K273) = 6),"3 Delete",IF(ISBLANK(E273),"2 Add",IF(SHA1Range(E273:K273) = "ce18b21fb1de3c47905a568049aa8ee2849b6b6c","0 Original","1 Modify"))))</f>
        <v>0 Original</v>
      </c>
      <c r="D273" s="5" t="s">
        <v>2547</v>
      </c>
      <c r="E273" s="3">
        <v>1119</v>
      </c>
      <c r="F273" t="s">
        <v>1046</v>
      </c>
      <c r="G273" t="s">
        <v>854</v>
      </c>
      <c r="H273" s="9">
        <v>8.99</v>
      </c>
      <c r="I273" s="3">
        <v>2</v>
      </c>
      <c r="J273" s="5" t="s">
        <v>68</v>
      </c>
      <c r="K273" s="15">
        <v>41685.493819444448</v>
      </c>
      <c r="L273" s="20">
        <f t="shared" si="12"/>
        <v>41685</v>
      </c>
      <c r="M273" t="str">
        <f t="shared" si="13"/>
        <v>02-2014</v>
      </c>
      <c r="N273">
        <f t="shared" si="14"/>
        <v>17.98</v>
      </c>
    </row>
    <row r="274" spans="3:14" x14ac:dyDescent="0.25">
      <c r="C274" t="str">
        <f>IF(COUNTBLANK(E274:K274) = 7,"",IF(AND(NOT(ISBLANK(E274)),COUNTBLANK(E274:K274) = 6),"3 Delete",IF(ISBLANK(E274),"2 Add",IF(SHA1Range(E274:K274) = "1618c6126be16a16d45403995a64a6a634387610","0 Original","1 Modify"))))</f>
        <v>0 Original</v>
      </c>
      <c r="D274" s="5" t="s">
        <v>2548</v>
      </c>
      <c r="E274" s="3">
        <v>1120</v>
      </c>
      <c r="F274" t="s">
        <v>1046</v>
      </c>
      <c r="G274" t="s">
        <v>642</v>
      </c>
      <c r="H274" s="9">
        <v>9.99</v>
      </c>
      <c r="I274" s="3">
        <v>1</v>
      </c>
      <c r="J274" s="5" t="s">
        <v>68</v>
      </c>
      <c r="K274" s="15">
        <v>41685.493819444448</v>
      </c>
      <c r="L274" s="20">
        <f t="shared" si="12"/>
        <v>41685</v>
      </c>
      <c r="M274" t="str">
        <f t="shared" si="13"/>
        <v>02-2014</v>
      </c>
      <c r="N274">
        <f t="shared" si="14"/>
        <v>9.99</v>
      </c>
    </row>
    <row r="275" spans="3:14" x14ac:dyDescent="0.25">
      <c r="C275" t="str">
        <f>IF(COUNTBLANK(E275:K275) = 7,"",IF(AND(NOT(ISBLANK(E275)),COUNTBLANK(E275:K275) = 6),"3 Delete",IF(ISBLANK(E275),"2 Add",IF(SHA1Range(E275:K275) = "498744a8904c53589c43253b3f30335054cdf598","0 Original","1 Modify"))))</f>
        <v>0 Original</v>
      </c>
      <c r="D275" s="5" t="s">
        <v>2549</v>
      </c>
      <c r="E275" s="3">
        <v>1121</v>
      </c>
      <c r="F275" t="s">
        <v>1046</v>
      </c>
      <c r="G275" t="s">
        <v>942</v>
      </c>
      <c r="H275" s="9">
        <v>6.99</v>
      </c>
      <c r="I275" s="3">
        <v>2</v>
      </c>
      <c r="J275" s="5" t="s">
        <v>68</v>
      </c>
      <c r="K275" s="15">
        <v>41685.493819444448</v>
      </c>
      <c r="L275" s="20">
        <f t="shared" si="12"/>
        <v>41685</v>
      </c>
      <c r="M275" t="str">
        <f t="shared" si="13"/>
        <v>02-2014</v>
      </c>
      <c r="N275">
        <f t="shared" si="14"/>
        <v>13.98</v>
      </c>
    </row>
    <row r="276" spans="3:14" x14ac:dyDescent="0.25">
      <c r="C276" t="str">
        <f>IF(COUNTBLANK(E276:K276) = 7,"",IF(AND(NOT(ISBLANK(E276)),COUNTBLANK(E276:K276) = 6),"3 Delete",IF(ISBLANK(E276),"2 Add",IF(SHA1Range(E276:K276) = "bc8a543c8f33602a4aff1e5253d35ed17bcefaa9","0 Original","1 Modify"))))</f>
        <v>0 Original</v>
      </c>
      <c r="D276" s="5" t="s">
        <v>2550</v>
      </c>
      <c r="E276" s="3">
        <v>1319</v>
      </c>
      <c r="F276" t="s">
        <v>1047</v>
      </c>
      <c r="G276" t="s">
        <v>560</v>
      </c>
      <c r="H276" s="9">
        <v>8.99</v>
      </c>
      <c r="I276" s="3">
        <v>1</v>
      </c>
      <c r="J276" s="5" t="s">
        <v>68</v>
      </c>
      <c r="K276" s="15">
        <v>41686.089826388888</v>
      </c>
      <c r="L276" s="20">
        <f t="shared" si="12"/>
        <v>41686</v>
      </c>
      <c r="M276" t="str">
        <f t="shared" si="13"/>
        <v>02-2014</v>
      </c>
      <c r="N276">
        <f t="shared" si="14"/>
        <v>8.99</v>
      </c>
    </row>
    <row r="277" spans="3:14" x14ac:dyDescent="0.25">
      <c r="C277" t="str">
        <f>IF(COUNTBLANK(E277:K277) = 7,"",IF(AND(NOT(ISBLANK(E277)),COUNTBLANK(E277:K277) = 6),"3 Delete",IF(ISBLANK(E277),"2 Add",IF(SHA1Range(E277:K277) = "2fe9ade55a2add4f7dbe1691fb2789cb3f6b8305","0 Original","1 Modify"))))</f>
        <v>0 Original</v>
      </c>
      <c r="D277" s="5" t="s">
        <v>2551</v>
      </c>
      <c r="E277" s="3">
        <v>1320</v>
      </c>
      <c r="F277" t="s">
        <v>1047</v>
      </c>
      <c r="G277" t="s">
        <v>739</v>
      </c>
      <c r="H277" s="9">
        <v>8.99</v>
      </c>
      <c r="I277" s="3">
        <v>2</v>
      </c>
      <c r="J277" s="5" t="s">
        <v>68</v>
      </c>
      <c r="K277" s="15">
        <v>41686.089826388888</v>
      </c>
      <c r="L277" s="20">
        <f t="shared" si="12"/>
        <v>41686</v>
      </c>
      <c r="M277" t="str">
        <f t="shared" si="13"/>
        <v>02-2014</v>
      </c>
      <c r="N277">
        <f t="shared" si="14"/>
        <v>17.98</v>
      </c>
    </row>
    <row r="278" spans="3:14" x14ac:dyDescent="0.25">
      <c r="C278" t="str">
        <f>IF(COUNTBLANK(E278:K278) = 7,"",IF(AND(NOT(ISBLANK(E278)),COUNTBLANK(E278:K278) = 6),"3 Delete",IF(ISBLANK(E278),"2 Add",IF(SHA1Range(E278:K278) = "7faafa661474e403bd7032d8e3aed2f678e2eb03","0 Original","1 Modify"))))</f>
        <v>0 Original</v>
      </c>
      <c r="D278" s="5" t="s">
        <v>2552</v>
      </c>
      <c r="E278" s="3">
        <v>1321</v>
      </c>
      <c r="F278" t="s">
        <v>1047</v>
      </c>
      <c r="G278" t="s">
        <v>503</v>
      </c>
      <c r="H278" s="9">
        <v>9.99</v>
      </c>
      <c r="I278" s="3">
        <v>2</v>
      </c>
      <c r="J278" s="5" t="s">
        <v>68</v>
      </c>
      <c r="K278" s="15">
        <v>41686.089826388888</v>
      </c>
      <c r="L278" s="20">
        <f t="shared" si="12"/>
        <v>41686</v>
      </c>
      <c r="M278" t="str">
        <f t="shared" si="13"/>
        <v>02-2014</v>
      </c>
      <c r="N278">
        <f t="shared" si="14"/>
        <v>19.98</v>
      </c>
    </row>
    <row r="279" spans="3:14" x14ac:dyDescent="0.25">
      <c r="C279" t="str">
        <f>IF(COUNTBLANK(E279:K279) = 7,"",IF(AND(NOT(ISBLANK(E279)),COUNTBLANK(E279:K279) = 6),"3 Delete",IF(ISBLANK(E279),"2 Add",IF(SHA1Range(E279:K279) = "a385fac5ca864c417aee585e36abb3ea11b22c9f","0 Original","1 Modify"))))</f>
        <v>0 Original</v>
      </c>
      <c r="D279" s="5" t="s">
        <v>2553</v>
      </c>
      <c r="E279" s="3">
        <v>489</v>
      </c>
      <c r="F279" t="s">
        <v>1048</v>
      </c>
      <c r="G279" t="s">
        <v>784</v>
      </c>
      <c r="H279" s="9">
        <v>5.99</v>
      </c>
      <c r="I279" s="3">
        <v>1</v>
      </c>
      <c r="J279" s="5" t="s">
        <v>68</v>
      </c>
      <c r="K279" s="15">
        <v>41687.117337962962</v>
      </c>
      <c r="L279" s="20">
        <f t="shared" si="12"/>
        <v>41687</v>
      </c>
      <c r="M279" t="str">
        <f t="shared" si="13"/>
        <v>02-2014</v>
      </c>
      <c r="N279">
        <f t="shared" si="14"/>
        <v>5.99</v>
      </c>
    </row>
    <row r="280" spans="3:14" x14ac:dyDescent="0.25">
      <c r="C280" t="str">
        <f>IF(COUNTBLANK(E280:K280) = 7,"",IF(AND(NOT(ISBLANK(E280)),COUNTBLANK(E280:K280) = 6),"3 Delete",IF(ISBLANK(E280),"2 Add",IF(SHA1Range(E280:K280) = "91776114af537d1df3398a05973c0c38ef3c21c2","0 Original","1 Modify"))))</f>
        <v>0 Original</v>
      </c>
      <c r="D280" s="5" t="s">
        <v>2554</v>
      </c>
      <c r="E280" s="3">
        <v>490</v>
      </c>
      <c r="F280" t="s">
        <v>1048</v>
      </c>
      <c r="G280" t="s">
        <v>596</v>
      </c>
      <c r="H280" s="9">
        <v>7.99</v>
      </c>
      <c r="I280" s="3">
        <v>1</v>
      </c>
      <c r="J280" s="5" t="s">
        <v>68</v>
      </c>
      <c r="K280" s="15">
        <v>41687.117337962962</v>
      </c>
      <c r="L280" s="20">
        <f t="shared" si="12"/>
        <v>41687</v>
      </c>
      <c r="M280" t="str">
        <f t="shared" si="13"/>
        <v>02-2014</v>
      </c>
      <c r="N280">
        <f t="shared" si="14"/>
        <v>7.99</v>
      </c>
    </row>
    <row r="281" spans="3:14" x14ac:dyDescent="0.25">
      <c r="C281" t="str">
        <f>IF(COUNTBLANK(E281:K281) = 7,"",IF(AND(NOT(ISBLANK(E281)),COUNTBLANK(E281:K281) = 6),"3 Delete",IF(ISBLANK(E281),"2 Add",IF(SHA1Range(E281:K281) = "dacc0f631a056ab43f6fcacdd7d890aff32d3040","0 Original","1 Modify"))))</f>
        <v>0 Original</v>
      </c>
      <c r="D281" s="5" t="s">
        <v>2555</v>
      </c>
      <c r="E281" s="3">
        <v>491</v>
      </c>
      <c r="F281" t="s">
        <v>1048</v>
      </c>
      <c r="G281" t="s">
        <v>854</v>
      </c>
      <c r="H281" s="9">
        <v>8.99</v>
      </c>
      <c r="I281" s="3">
        <v>1</v>
      </c>
      <c r="J281" s="5" t="s">
        <v>68</v>
      </c>
      <c r="K281" s="15">
        <v>41687.117337962962</v>
      </c>
      <c r="L281" s="20">
        <f t="shared" si="12"/>
        <v>41687</v>
      </c>
      <c r="M281" t="str">
        <f t="shared" si="13"/>
        <v>02-2014</v>
      </c>
      <c r="N281">
        <f t="shared" si="14"/>
        <v>8.99</v>
      </c>
    </row>
    <row r="282" spans="3:14" x14ac:dyDescent="0.25">
      <c r="C282" t="str">
        <f>IF(COUNTBLANK(E282:K282) = 7,"",IF(AND(NOT(ISBLANK(E282)),COUNTBLANK(E282:K282) = 6),"3 Delete",IF(ISBLANK(E282),"2 Add",IF(SHA1Range(E282:K282) = "0fba86197b1df82838bdda2a6edbeb3d7093c62e","0 Original","1 Modify"))))</f>
        <v>0 Original</v>
      </c>
      <c r="D282" s="5" t="s">
        <v>2556</v>
      </c>
      <c r="E282" s="3">
        <v>492</v>
      </c>
      <c r="F282" t="s">
        <v>1048</v>
      </c>
      <c r="G282" t="s">
        <v>707</v>
      </c>
      <c r="H282" s="9">
        <v>7.99</v>
      </c>
      <c r="I282" s="3">
        <v>2</v>
      </c>
      <c r="J282" s="5" t="s">
        <v>68</v>
      </c>
      <c r="K282" s="15">
        <v>41687.117337962962</v>
      </c>
      <c r="L282" s="20">
        <f t="shared" si="12"/>
        <v>41687</v>
      </c>
      <c r="M282" t="str">
        <f t="shared" si="13"/>
        <v>02-2014</v>
      </c>
      <c r="N282">
        <f t="shared" si="14"/>
        <v>15.98</v>
      </c>
    </row>
    <row r="283" spans="3:14" x14ac:dyDescent="0.25">
      <c r="C283" t="str">
        <f>IF(COUNTBLANK(E283:K283) = 7,"",IF(AND(NOT(ISBLANK(E283)),COUNTBLANK(E283:K283) = 6),"3 Delete",IF(ISBLANK(E283),"2 Add",IF(SHA1Range(E283:K283) = "e641ab772cd1bf939721239dafc4cce58050e84b","0 Original","1 Modify"))))</f>
        <v>0 Original</v>
      </c>
      <c r="D283" s="5" t="s">
        <v>2557</v>
      </c>
      <c r="E283" s="3">
        <v>3595</v>
      </c>
      <c r="F283" t="s">
        <v>1049</v>
      </c>
      <c r="G283" t="s">
        <v>642</v>
      </c>
      <c r="H283" s="9">
        <v>9.99</v>
      </c>
      <c r="I283" s="3">
        <v>1</v>
      </c>
      <c r="J283" s="5" t="s">
        <v>68</v>
      </c>
      <c r="K283" s="15">
        <v>41687.977430555555</v>
      </c>
      <c r="L283" s="20">
        <f t="shared" si="12"/>
        <v>41687</v>
      </c>
      <c r="M283" t="str">
        <f t="shared" si="13"/>
        <v>02-2014</v>
      </c>
      <c r="N283">
        <f t="shared" si="14"/>
        <v>9.99</v>
      </c>
    </row>
    <row r="284" spans="3:14" x14ac:dyDescent="0.25">
      <c r="C284" t="str">
        <f>IF(COUNTBLANK(E284:K284) = 7,"",IF(AND(NOT(ISBLANK(E284)),COUNTBLANK(E284:K284) = 6),"3 Delete",IF(ISBLANK(E284),"2 Add",IF(SHA1Range(E284:K284) = "4e2a5c34fb51f848adb44659c439ae10c6d8e540","0 Original","1 Modify"))))</f>
        <v>0 Original</v>
      </c>
      <c r="D284" s="5" t="s">
        <v>2558</v>
      </c>
      <c r="E284" s="3">
        <v>705</v>
      </c>
      <c r="F284" t="s">
        <v>1050</v>
      </c>
      <c r="G284" t="s">
        <v>875</v>
      </c>
      <c r="H284" s="9">
        <v>8.99</v>
      </c>
      <c r="I284" s="3">
        <v>1</v>
      </c>
      <c r="J284" s="5" t="s">
        <v>68</v>
      </c>
      <c r="K284" s="15">
        <v>41689.370532407411</v>
      </c>
      <c r="L284" s="20">
        <f t="shared" si="12"/>
        <v>41689</v>
      </c>
      <c r="M284" t="str">
        <f t="shared" si="13"/>
        <v>02-2014</v>
      </c>
      <c r="N284">
        <f t="shared" si="14"/>
        <v>8.99</v>
      </c>
    </row>
    <row r="285" spans="3:14" x14ac:dyDescent="0.25">
      <c r="C285" t="str">
        <f>IF(COUNTBLANK(E285:K285) = 7,"",IF(AND(NOT(ISBLANK(E285)),COUNTBLANK(E285:K285) = 6),"3 Delete",IF(ISBLANK(E285),"2 Add",IF(SHA1Range(E285:K285) = "12bc2c5ad8c14f364d45bb9750e4ed43fa00516c","0 Original","1 Modify"))))</f>
        <v>0 Original</v>
      </c>
      <c r="D285" s="5" t="s">
        <v>2559</v>
      </c>
      <c r="E285" s="3">
        <v>706</v>
      </c>
      <c r="F285" t="s">
        <v>1050</v>
      </c>
      <c r="G285" t="s">
        <v>510</v>
      </c>
      <c r="H285" s="9">
        <v>4.99</v>
      </c>
      <c r="I285" s="3">
        <v>2</v>
      </c>
      <c r="J285" s="5" t="s">
        <v>68</v>
      </c>
      <c r="K285" s="15">
        <v>41689.370532407411</v>
      </c>
      <c r="L285" s="20">
        <f t="shared" si="12"/>
        <v>41689</v>
      </c>
      <c r="M285" t="str">
        <f t="shared" si="13"/>
        <v>02-2014</v>
      </c>
      <c r="N285">
        <f t="shared" si="14"/>
        <v>9.98</v>
      </c>
    </row>
    <row r="286" spans="3:14" x14ac:dyDescent="0.25">
      <c r="C286" t="str">
        <f>IF(COUNTBLANK(E286:K286) = 7,"",IF(AND(NOT(ISBLANK(E286)),COUNTBLANK(E286:K286) = 6),"3 Delete",IF(ISBLANK(E286),"2 Add",IF(SHA1Range(E286:K286) = "1a9d153943c2feb76df89a5347ccd75061613e58","0 Original","1 Modify"))))</f>
        <v>0 Original</v>
      </c>
      <c r="D286" s="5" t="s">
        <v>2560</v>
      </c>
      <c r="E286" s="3">
        <v>707</v>
      </c>
      <c r="F286" t="s">
        <v>1050</v>
      </c>
      <c r="G286" t="s">
        <v>560</v>
      </c>
      <c r="H286" s="9">
        <v>8.99</v>
      </c>
      <c r="I286" s="3">
        <v>1</v>
      </c>
      <c r="J286" s="5" t="s">
        <v>68</v>
      </c>
      <c r="K286" s="15">
        <v>41689.370532407411</v>
      </c>
      <c r="L286" s="20">
        <f t="shared" si="12"/>
        <v>41689</v>
      </c>
      <c r="M286" t="str">
        <f t="shared" si="13"/>
        <v>02-2014</v>
      </c>
      <c r="N286">
        <f t="shared" si="14"/>
        <v>8.99</v>
      </c>
    </row>
    <row r="287" spans="3:14" x14ac:dyDescent="0.25">
      <c r="C287" t="str">
        <f>IF(COUNTBLANK(E287:K287) = 7,"",IF(AND(NOT(ISBLANK(E287)),COUNTBLANK(E287:K287) = 6),"3 Delete",IF(ISBLANK(E287),"2 Add",IF(SHA1Range(E287:K287) = "1bc1963b60c7ada0c3411e194ec94af94ddd217e","0 Original","1 Modify"))))</f>
        <v>0 Original</v>
      </c>
      <c r="D287" s="5" t="s">
        <v>2561</v>
      </c>
      <c r="E287" s="3">
        <v>708</v>
      </c>
      <c r="F287" t="s">
        <v>1050</v>
      </c>
      <c r="G287" t="s">
        <v>948</v>
      </c>
      <c r="H287" s="9">
        <v>4.99</v>
      </c>
      <c r="I287" s="3">
        <v>2</v>
      </c>
      <c r="J287" s="5" t="s">
        <v>68</v>
      </c>
      <c r="K287" s="15">
        <v>41689.370532407411</v>
      </c>
      <c r="L287" s="20">
        <f t="shared" si="12"/>
        <v>41689</v>
      </c>
      <c r="M287" t="str">
        <f t="shared" si="13"/>
        <v>02-2014</v>
      </c>
      <c r="N287">
        <f t="shared" si="14"/>
        <v>9.98</v>
      </c>
    </row>
    <row r="288" spans="3:14" x14ac:dyDescent="0.25">
      <c r="C288" t="str">
        <f>IF(COUNTBLANK(E288:K288) = 7,"",IF(AND(NOT(ISBLANK(E288)),COUNTBLANK(E288:K288) = 6),"3 Delete",IF(ISBLANK(E288),"2 Add",IF(SHA1Range(E288:K288) = "03eade57d20e756f8c59d63ea3b8afc0eb654f3a","0 Original","1 Modify"))))</f>
        <v>0 Original</v>
      </c>
      <c r="D288" s="5" t="s">
        <v>2562</v>
      </c>
      <c r="E288" s="3">
        <v>709</v>
      </c>
      <c r="F288" t="s">
        <v>1050</v>
      </c>
      <c r="G288" t="s">
        <v>952</v>
      </c>
      <c r="H288" s="9">
        <v>9.99</v>
      </c>
      <c r="I288" s="3">
        <v>1</v>
      </c>
      <c r="J288" s="5" t="s">
        <v>68</v>
      </c>
      <c r="K288" s="15">
        <v>41689.370532407411</v>
      </c>
      <c r="L288" s="20">
        <f t="shared" si="12"/>
        <v>41689</v>
      </c>
      <c r="M288" t="str">
        <f t="shared" si="13"/>
        <v>02-2014</v>
      </c>
      <c r="N288">
        <f t="shared" si="14"/>
        <v>9.99</v>
      </c>
    </row>
    <row r="289" spans="3:14" x14ac:dyDescent="0.25">
      <c r="C289" t="str">
        <f>IF(COUNTBLANK(E289:K289) = 7,"",IF(AND(NOT(ISBLANK(E289)),COUNTBLANK(E289:K289) = 6),"3 Delete",IF(ISBLANK(E289),"2 Add",IF(SHA1Range(E289:K289) = "f888e93d7d7c9fb77b7de7aedb4732a229134f4a","0 Original","1 Modify"))))</f>
        <v>0 Original</v>
      </c>
      <c r="D289" s="5" t="s">
        <v>2563</v>
      </c>
      <c r="E289" s="3">
        <v>710</v>
      </c>
      <c r="F289" t="s">
        <v>1050</v>
      </c>
      <c r="G289" t="s">
        <v>781</v>
      </c>
      <c r="H289" s="9">
        <v>5.99</v>
      </c>
      <c r="I289" s="3">
        <v>1</v>
      </c>
      <c r="J289" s="5" t="s">
        <v>68</v>
      </c>
      <c r="K289" s="15">
        <v>41689.370532407411</v>
      </c>
      <c r="L289" s="20">
        <f t="shared" si="12"/>
        <v>41689</v>
      </c>
      <c r="M289" t="str">
        <f t="shared" si="13"/>
        <v>02-2014</v>
      </c>
      <c r="N289">
        <f t="shared" si="14"/>
        <v>5.99</v>
      </c>
    </row>
    <row r="290" spans="3:14" x14ac:dyDescent="0.25">
      <c r="C290" t="str">
        <f>IF(COUNTBLANK(E290:K290) = 7,"",IF(AND(NOT(ISBLANK(E290)),COUNTBLANK(E290:K290) = 6),"3 Delete",IF(ISBLANK(E290),"2 Add",IF(SHA1Range(E290:K290) = "f60517b014699d8887fa58eac277b99e819b10b9","0 Original","1 Modify"))))</f>
        <v>0 Original</v>
      </c>
      <c r="D290" s="5" t="s">
        <v>2564</v>
      </c>
      <c r="E290" s="3">
        <v>711</v>
      </c>
      <c r="F290" t="s">
        <v>1050</v>
      </c>
      <c r="G290" t="s">
        <v>664</v>
      </c>
      <c r="H290" s="9">
        <v>7.99</v>
      </c>
      <c r="I290" s="3">
        <v>1</v>
      </c>
      <c r="J290" s="5" t="s">
        <v>68</v>
      </c>
      <c r="K290" s="15">
        <v>41689.370532407411</v>
      </c>
      <c r="L290" s="20">
        <f t="shared" si="12"/>
        <v>41689</v>
      </c>
      <c r="M290" t="str">
        <f t="shared" si="13"/>
        <v>02-2014</v>
      </c>
      <c r="N290">
        <f t="shared" si="14"/>
        <v>7.99</v>
      </c>
    </row>
    <row r="291" spans="3:14" x14ac:dyDescent="0.25">
      <c r="C291" t="str">
        <f>IF(COUNTBLANK(E291:K291) = 7,"",IF(AND(NOT(ISBLANK(E291)),COUNTBLANK(E291:K291) = 6),"3 Delete",IF(ISBLANK(E291),"2 Add",IF(SHA1Range(E291:K291) = "d4263bfb8604d5f2081205dbbeb05f02814c64d6","0 Original","1 Modify"))))</f>
        <v>0 Original</v>
      </c>
      <c r="D291" s="5" t="s">
        <v>2565</v>
      </c>
      <c r="E291" s="3">
        <v>639</v>
      </c>
      <c r="F291" t="s">
        <v>1051</v>
      </c>
      <c r="G291" t="s">
        <v>624</v>
      </c>
      <c r="H291" s="9">
        <v>9.99</v>
      </c>
      <c r="I291" s="3">
        <v>1</v>
      </c>
      <c r="J291" s="5" t="s">
        <v>68</v>
      </c>
      <c r="K291" s="15">
        <v>41689.836284722223</v>
      </c>
      <c r="L291" s="20">
        <f t="shared" si="12"/>
        <v>41689</v>
      </c>
      <c r="M291" t="str">
        <f t="shared" si="13"/>
        <v>02-2014</v>
      </c>
      <c r="N291">
        <f t="shared" si="14"/>
        <v>9.99</v>
      </c>
    </row>
    <row r="292" spans="3:14" x14ac:dyDescent="0.25">
      <c r="C292" t="str">
        <f>IF(COUNTBLANK(E292:K292) = 7,"",IF(AND(NOT(ISBLANK(E292)),COUNTBLANK(E292:K292) = 6),"3 Delete",IF(ISBLANK(E292),"2 Add",IF(SHA1Range(E292:K292) = "1eb5d470137f2bfc7f0e4d8c16f6548a65ecbe98","0 Original","1 Modify"))))</f>
        <v>0 Original</v>
      </c>
      <c r="D292" s="5" t="s">
        <v>2566</v>
      </c>
      <c r="E292" s="3">
        <v>640</v>
      </c>
      <c r="F292" t="s">
        <v>1051</v>
      </c>
      <c r="G292" t="s">
        <v>592</v>
      </c>
      <c r="H292" s="9">
        <v>8.99</v>
      </c>
      <c r="I292" s="3">
        <v>1</v>
      </c>
      <c r="J292" s="5" t="s">
        <v>68</v>
      </c>
      <c r="K292" s="15">
        <v>41689.836284722223</v>
      </c>
      <c r="L292" s="20">
        <f t="shared" si="12"/>
        <v>41689</v>
      </c>
      <c r="M292" t="str">
        <f t="shared" si="13"/>
        <v>02-2014</v>
      </c>
      <c r="N292">
        <f t="shared" si="14"/>
        <v>8.99</v>
      </c>
    </row>
    <row r="293" spans="3:14" x14ac:dyDescent="0.25">
      <c r="C293" t="str">
        <f>IF(COUNTBLANK(E293:K293) = 7,"",IF(AND(NOT(ISBLANK(E293)),COUNTBLANK(E293:K293) = 6),"3 Delete",IF(ISBLANK(E293),"2 Add",IF(SHA1Range(E293:K293) = "f4602a1954e4ad9c56afd55779fb2b1f6a862454","0 Original","1 Modify"))))</f>
        <v>0 Original</v>
      </c>
      <c r="D293" s="5" t="s">
        <v>2567</v>
      </c>
      <c r="E293" s="3">
        <v>641</v>
      </c>
      <c r="F293" t="s">
        <v>1051</v>
      </c>
      <c r="G293" t="s">
        <v>732</v>
      </c>
      <c r="H293" s="9">
        <v>9.99</v>
      </c>
      <c r="I293" s="3">
        <v>1</v>
      </c>
      <c r="J293" s="5" t="s">
        <v>68</v>
      </c>
      <c r="K293" s="15">
        <v>41689.836284722223</v>
      </c>
      <c r="L293" s="20">
        <f t="shared" si="12"/>
        <v>41689</v>
      </c>
      <c r="M293" t="str">
        <f t="shared" si="13"/>
        <v>02-2014</v>
      </c>
      <c r="N293">
        <f t="shared" si="14"/>
        <v>9.99</v>
      </c>
    </row>
    <row r="294" spans="3:14" x14ac:dyDescent="0.25">
      <c r="C294" t="str">
        <f>IF(COUNTBLANK(E294:K294) = 7,"",IF(AND(NOT(ISBLANK(E294)),COUNTBLANK(E294:K294) = 6),"3 Delete",IF(ISBLANK(E294),"2 Add",IF(SHA1Range(E294:K294) = "6e321d4e1250dfc98e4e9cc97032fa64f6751342","0 Original","1 Modify"))))</f>
        <v>0 Original</v>
      </c>
      <c r="D294" s="5" t="s">
        <v>2568</v>
      </c>
      <c r="E294" s="3">
        <v>642</v>
      </c>
      <c r="F294" t="s">
        <v>1051</v>
      </c>
      <c r="G294" t="s">
        <v>796</v>
      </c>
      <c r="H294" s="9">
        <v>8.99</v>
      </c>
      <c r="I294" s="3">
        <v>1</v>
      </c>
      <c r="J294" s="5" t="s">
        <v>68</v>
      </c>
      <c r="K294" s="15">
        <v>41689.836284722223</v>
      </c>
      <c r="L294" s="20">
        <f t="shared" si="12"/>
        <v>41689</v>
      </c>
      <c r="M294" t="str">
        <f t="shared" si="13"/>
        <v>02-2014</v>
      </c>
      <c r="N294">
        <f t="shared" si="14"/>
        <v>8.99</v>
      </c>
    </row>
    <row r="295" spans="3:14" x14ac:dyDescent="0.25">
      <c r="C295" t="str">
        <f>IF(COUNTBLANK(E295:K295) = 7,"",IF(AND(NOT(ISBLANK(E295)),COUNTBLANK(E295:K295) = 6),"3 Delete",IF(ISBLANK(E295),"2 Add",IF(SHA1Range(E295:K295) = "61e710bf805a93c6311568d36f6d85147908f00e","0 Original","1 Modify"))))</f>
        <v>0 Original</v>
      </c>
      <c r="D295" s="5" t="s">
        <v>2569</v>
      </c>
      <c r="E295" s="3">
        <v>643</v>
      </c>
      <c r="F295" t="s">
        <v>1051</v>
      </c>
      <c r="G295" t="s">
        <v>468</v>
      </c>
      <c r="H295" s="9">
        <v>5.99</v>
      </c>
      <c r="I295" s="3">
        <v>2</v>
      </c>
      <c r="J295" s="5" t="s">
        <v>68</v>
      </c>
      <c r="K295" s="15">
        <v>41689.836284722223</v>
      </c>
      <c r="L295" s="20">
        <f t="shared" si="12"/>
        <v>41689</v>
      </c>
      <c r="M295" t="str">
        <f t="shared" si="13"/>
        <v>02-2014</v>
      </c>
      <c r="N295">
        <f t="shared" si="14"/>
        <v>11.98</v>
      </c>
    </row>
    <row r="296" spans="3:14" x14ac:dyDescent="0.25">
      <c r="C296" t="str">
        <f>IF(COUNTBLANK(E296:K296) = 7,"",IF(AND(NOT(ISBLANK(E296)),COUNTBLANK(E296:K296) = 6),"3 Delete",IF(ISBLANK(E296),"2 Add",IF(SHA1Range(E296:K296) = "1c874937ca01f0428255735780df2529275e5a39","0 Original","1 Modify"))))</f>
        <v>0 Original</v>
      </c>
      <c r="D296" s="5" t="s">
        <v>2570</v>
      </c>
      <c r="E296" s="3">
        <v>2815</v>
      </c>
      <c r="F296" t="s">
        <v>1052</v>
      </c>
      <c r="G296" t="s">
        <v>373</v>
      </c>
      <c r="H296" s="9">
        <v>7.99</v>
      </c>
      <c r="I296" s="3">
        <v>1</v>
      </c>
      <c r="J296" s="5" t="s">
        <v>68</v>
      </c>
      <c r="K296" s="15">
        <v>41691.16982638889</v>
      </c>
      <c r="L296" s="20">
        <f t="shared" si="12"/>
        <v>41691</v>
      </c>
      <c r="M296" t="str">
        <f t="shared" si="13"/>
        <v>02-2014</v>
      </c>
      <c r="N296">
        <f t="shared" si="14"/>
        <v>7.99</v>
      </c>
    </row>
    <row r="297" spans="3:14" x14ac:dyDescent="0.25">
      <c r="C297" t="str">
        <f>IF(COUNTBLANK(E297:K297) = 7,"",IF(AND(NOT(ISBLANK(E297)),COUNTBLANK(E297:K297) = 6),"3 Delete",IF(ISBLANK(E297),"2 Add",IF(SHA1Range(E297:K297) = "75d2a7bd080de352e8a5293806d8f4ece1742af0","0 Original","1 Modify"))))</f>
        <v>0 Original</v>
      </c>
      <c r="D297" s="5" t="s">
        <v>2571</v>
      </c>
      <c r="E297" s="3">
        <v>2816</v>
      </c>
      <c r="F297" t="s">
        <v>1052</v>
      </c>
      <c r="G297" t="s">
        <v>514</v>
      </c>
      <c r="H297" s="9">
        <v>6.99</v>
      </c>
      <c r="I297" s="3">
        <v>1</v>
      </c>
      <c r="J297" s="5" t="s">
        <v>68</v>
      </c>
      <c r="K297" s="15">
        <v>41691.16982638889</v>
      </c>
      <c r="L297" s="20">
        <f t="shared" si="12"/>
        <v>41691</v>
      </c>
      <c r="M297" t="str">
        <f t="shared" si="13"/>
        <v>02-2014</v>
      </c>
      <c r="N297">
        <f t="shared" si="14"/>
        <v>6.99</v>
      </c>
    </row>
    <row r="298" spans="3:14" x14ac:dyDescent="0.25">
      <c r="C298" t="str">
        <f>IF(COUNTBLANK(E298:K298) = 7,"",IF(AND(NOT(ISBLANK(E298)),COUNTBLANK(E298:K298) = 6),"3 Delete",IF(ISBLANK(E298),"2 Add",IF(SHA1Range(E298:K298) = "50066cc84322e93292c0ecafd1a248917ba1fbe6","0 Original","1 Modify"))))</f>
        <v>0 Original</v>
      </c>
      <c r="D298" s="5" t="s">
        <v>2572</v>
      </c>
      <c r="E298" s="3">
        <v>3485</v>
      </c>
      <c r="F298" t="s">
        <v>1053</v>
      </c>
      <c r="G298" t="s">
        <v>373</v>
      </c>
      <c r="H298" s="9">
        <v>7.99</v>
      </c>
      <c r="I298" s="3">
        <v>2</v>
      </c>
      <c r="J298" s="5" t="s">
        <v>68</v>
      </c>
      <c r="K298" s="15">
        <v>41691.615254629629</v>
      </c>
      <c r="L298" s="20">
        <f t="shared" si="12"/>
        <v>41691</v>
      </c>
      <c r="M298" t="str">
        <f t="shared" si="13"/>
        <v>02-2014</v>
      </c>
      <c r="N298">
        <f t="shared" si="14"/>
        <v>15.98</v>
      </c>
    </row>
    <row r="299" spans="3:14" x14ac:dyDescent="0.25">
      <c r="C299" t="str">
        <f>IF(COUNTBLANK(E299:K299) = 7,"",IF(AND(NOT(ISBLANK(E299)),COUNTBLANK(E299:K299) = 6),"3 Delete",IF(ISBLANK(E299),"2 Add",IF(SHA1Range(E299:K299) = "1e4f0d6834bf200e5b521a104b78462d4c961d1c","0 Original","1 Modify"))))</f>
        <v>0 Original</v>
      </c>
      <c r="D299" s="5" t="s">
        <v>2573</v>
      </c>
      <c r="E299" s="3">
        <v>3486</v>
      </c>
      <c r="F299" t="s">
        <v>1053</v>
      </c>
      <c r="G299" t="s">
        <v>373</v>
      </c>
      <c r="H299" s="9">
        <v>7.99</v>
      </c>
      <c r="I299" s="3">
        <v>2</v>
      </c>
      <c r="J299" s="5" t="s">
        <v>68</v>
      </c>
      <c r="K299" s="15">
        <v>41691.615254629629</v>
      </c>
      <c r="L299" s="20">
        <f t="shared" si="12"/>
        <v>41691</v>
      </c>
      <c r="M299" t="str">
        <f t="shared" si="13"/>
        <v>02-2014</v>
      </c>
      <c r="N299">
        <f t="shared" si="14"/>
        <v>15.98</v>
      </c>
    </row>
    <row r="300" spans="3:14" x14ac:dyDescent="0.25">
      <c r="C300" t="str">
        <f>IF(COUNTBLANK(E300:K300) = 7,"",IF(AND(NOT(ISBLANK(E300)),COUNTBLANK(E300:K300) = 6),"3 Delete",IF(ISBLANK(E300),"2 Add",IF(SHA1Range(E300:K300) = "346b7c69baf95e1b2999f8283cf5340c54112cfe","0 Original","1 Modify"))))</f>
        <v>0 Original</v>
      </c>
      <c r="D300" s="5" t="s">
        <v>2574</v>
      </c>
      <c r="E300" s="3">
        <v>1028</v>
      </c>
      <c r="F300" t="s">
        <v>1054</v>
      </c>
      <c r="G300" t="s">
        <v>657</v>
      </c>
      <c r="H300" s="9">
        <v>9.99</v>
      </c>
      <c r="I300" s="3">
        <v>2</v>
      </c>
      <c r="J300" s="5" t="s">
        <v>68</v>
      </c>
      <c r="K300" s="15">
        <v>41692.487824074073</v>
      </c>
      <c r="L300" s="20">
        <f t="shared" si="12"/>
        <v>41692</v>
      </c>
      <c r="M300" t="str">
        <f t="shared" si="13"/>
        <v>02-2014</v>
      </c>
      <c r="N300">
        <f t="shared" si="14"/>
        <v>19.98</v>
      </c>
    </row>
    <row r="301" spans="3:14" x14ac:dyDescent="0.25">
      <c r="C301" t="str">
        <f>IF(COUNTBLANK(E301:K301) = 7,"",IF(AND(NOT(ISBLANK(E301)),COUNTBLANK(E301:K301) = 6),"3 Delete",IF(ISBLANK(E301),"2 Add",IF(SHA1Range(E301:K301) = "56a4786d8b4c436b88fb40b0daa00dc1937fec72","0 Original","1 Modify"))))</f>
        <v>0 Original</v>
      </c>
      <c r="D301" s="5" t="s">
        <v>2575</v>
      </c>
      <c r="E301" s="3">
        <v>1029</v>
      </c>
      <c r="F301" t="s">
        <v>1054</v>
      </c>
      <c r="G301" t="s">
        <v>642</v>
      </c>
      <c r="H301" s="9">
        <v>9.99</v>
      </c>
      <c r="I301" s="3">
        <v>2</v>
      </c>
      <c r="J301" s="5" t="s">
        <v>68</v>
      </c>
      <c r="K301" s="15">
        <v>41692.487824074073</v>
      </c>
      <c r="L301" s="20">
        <f t="shared" si="12"/>
        <v>41692</v>
      </c>
      <c r="M301" t="str">
        <f t="shared" si="13"/>
        <v>02-2014</v>
      </c>
      <c r="N301">
        <f t="shared" si="14"/>
        <v>19.98</v>
      </c>
    </row>
    <row r="302" spans="3:14" x14ac:dyDescent="0.25">
      <c r="C302" t="str">
        <f>IF(COUNTBLANK(E302:K302) = 7,"",IF(AND(NOT(ISBLANK(E302)),COUNTBLANK(E302:K302) = 6),"3 Delete",IF(ISBLANK(E302),"2 Add",IF(SHA1Range(E302:K302) = "754c56cd8e09b623475af8e8f3b27179d20ab746","0 Original","1 Modify"))))</f>
        <v>0 Original</v>
      </c>
      <c r="D302" s="5" t="s">
        <v>2576</v>
      </c>
      <c r="E302" s="3">
        <v>1030</v>
      </c>
      <c r="F302" t="s">
        <v>1054</v>
      </c>
      <c r="G302" t="s">
        <v>563</v>
      </c>
      <c r="H302" s="9">
        <v>6.99</v>
      </c>
      <c r="I302" s="3">
        <v>1</v>
      </c>
      <c r="J302" s="5" t="s">
        <v>68</v>
      </c>
      <c r="K302" s="15">
        <v>41692.487824074073</v>
      </c>
      <c r="L302" s="20">
        <f t="shared" si="12"/>
        <v>41692</v>
      </c>
      <c r="M302" t="str">
        <f t="shared" si="13"/>
        <v>02-2014</v>
      </c>
      <c r="N302">
        <f t="shared" si="14"/>
        <v>6.99</v>
      </c>
    </row>
    <row r="303" spans="3:14" x14ac:dyDescent="0.25">
      <c r="C303" t="str">
        <f>IF(COUNTBLANK(E303:K303) = 7,"",IF(AND(NOT(ISBLANK(E303)),COUNTBLANK(E303:K303) = 6),"3 Delete",IF(ISBLANK(E303),"2 Add",IF(SHA1Range(E303:K303) = "755d226827777c4edaa56bd979e6ea25ed12fa03","0 Original","1 Modify"))))</f>
        <v>0 Original</v>
      </c>
      <c r="D303" s="5" t="s">
        <v>2577</v>
      </c>
      <c r="E303" s="3">
        <v>1031</v>
      </c>
      <c r="F303" t="s">
        <v>1054</v>
      </c>
      <c r="G303" t="s">
        <v>396</v>
      </c>
      <c r="H303" s="9">
        <v>8.99</v>
      </c>
      <c r="I303" s="3">
        <v>2</v>
      </c>
      <c r="J303" s="5" t="s">
        <v>68</v>
      </c>
      <c r="K303" s="15">
        <v>41692.487824074073</v>
      </c>
      <c r="L303" s="20">
        <f t="shared" si="12"/>
        <v>41692</v>
      </c>
      <c r="M303" t="str">
        <f t="shared" si="13"/>
        <v>02-2014</v>
      </c>
      <c r="N303">
        <f t="shared" si="14"/>
        <v>17.98</v>
      </c>
    </row>
    <row r="304" spans="3:14" x14ac:dyDescent="0.25">
      <c r="C304" t="str">
        <f>IF(COUNTBLANK(E304:K304) = 7,"",IF(AND(NOT(ISBLANK(E304)),COUNTBLANK(E304:K304) = 6),"3 Delete",IF(ISBLANK(E304),"2 Add",IF(SHA1Range(E304:K304) = "281f087236cc5ea64f11c685d9ceccf80c0d9f2c","0 Original","1 Modify"))))</f>
        <v>0 Original</v>
      </c>
      <c r="D304" s="5" t="s">
        <v>2578</v>
      </c>
      <c r="E304" s="3">
        <v>1032</v>
      </c>
      <c r="F304" t="s">
        <v>1054</v>
      </c>
      <c r="G304" t="s">
        <v>389</v>
      </c>
      <c r="H304" s="9">
        <v>4.99</v>
      </c>
      <c r="I304" s="3">
        <v>1</v>
      </c>
      <c r="J304" s="5" t="s">
        <v>68</v>
      </c>
      <c r="K304" s="15">
        <v>41692.487824074073</v>
      </c>
      <c r="L304" s="20">
        <f t="shared" si="12"/>
        <v>41692</v>
      </c>
      <c r="M304" t="str">
        <f t="shared" si="13"/>
        <v>02-2014</v>
      </c>
      <c r="N304">
        <f t="shared" si="14"/>
        <v>4.99</v>
      </c>
    </row>
    <row r="305" spans="3:14" x14ac:dyDescent="0.25">
      <c r="C305" t="str">
        <f>IF(COUNTBLANK(E305:K305) = 7,"",IF(AND(NOT(ISBLANK(E305)),COUNTBLANK(E305:K305) = 6),"3 Delete",IF(ISBLANK(E305),"2 Add",IF(SHA1Range(E305:K305) = "4bd7b199267412852f704766e35245641bb1865a","0 Original","1 Modify"))))</f>
        <v>0 Original</v>
      </c>
      <c r="D305" s="5" t="s">
        <v>2579</v>
      </c>
      <c r="E305" s="3">
        <v>2760</v>
      </c>
      <c r="F305" t="s">
        <v>1055</v>
      </c>
      <c r="G305" t="s">
        <v>707</v>
      </c>
      <c r="H305" s="9">
        <v>7.99</v>
      </c>
      <c r="I305" s="3">
        <v>1</v>
      </c>
      <c r="J305" s="5" t="s">
        <v>68</v>
      </c>
      <c r="K305" s="15">
        <v>41693.2421875</v>
      </c>
      <c r="L305" s="20">
        <f t="shared" si="12"/>
        <v>41693</v>
      </c>
      <c r="M305" t="str">
        <f t="shared" si="13"/>
        <v>02-2014</v>
      </c>
      <c r="N305">
        <f t="shared" si="14"/>
        <v>7.99</v>
      </c>
    </row>
    <row r="306" spans="3:14" x14ac:dyDescent="0.25">
      <c r="C306" t="str">
        <f>IF(COUNTBLANK(E306:K306) = 7,"",IF(AND(NOT(ISBLANK(E306)),COUNTBLANK(E306:K306) = 6),"3 Delete",IF(ISBLANK(E306),"2 Add",IF(SHA1Range(E306:K306) = "387dba0656cc998ed7ce68a9adfeb865ea395d16","0 Original","1 Modify"))))</f>
        <v>0 Original</v>
      </c>
      <c r="D306" s="5" t="s">
        <v>2580</v>
      </c>
      <c r="E306" s="3">
        <v>2761</v>
      </c>
      <c r="F306" t="s">
        <v>1055</v>
      </c>
      <c r="G306" t="s">
        <v>400</v>
      </c>
      <c r="H306" s="9">
        <v>4.99</v>
      </c>
      <c r="I306" s="3">
        <v>2</v>
      </c>
      <c r="J306" s="5" t="s">
        <v>68</v>
      </c>
      <c r="K306" s="15">
        <v>41693.2421875</v>
      </c>
      <c r="L306" s="20">
        <f t="shared" si="12"/>
        <v>41693</v>
      </c>
      <c r="M306" t="str">
        <f t="shared" si="13"/>
        <v>02-2014</v>
      </c>
      <c r="N306">
        <f t="shared" si="14"/>
        <v>9.98</v>
      </c>
    </row>
    <row r="307" spans="3:14" x14ac:dyDescent="0.25">
      <c r="C307" t="str">
        <f>IF(COUNTBLANK(E307:K307) = 7,"",IF(AND(NOT(ISBLANK(E307)),COUNTBLANK(E307:K307) = 6),"3 Delete",IF(ISBLANK(E307),"2 Add",IF(SHA1Range(E307:K307) = "d4632cf874b8b6ba8c0066d5898ccbe177d22954","0 Original","1 Modify"))))</f>
        <v>0 Original</v>
      </c>
      <c r="D307" s="5" t="s">
        <v>2581</v>
      </c>
      <c r="E307" s="3">
        <v>2519</v>
      </c>
      <c r="F307" t="s">
        <v>1056</v>
      </c>
      <c r="G307" t="s">
        <v>552</v>
      </c>
      <c r="H307" s="9">
        <v>6.99</v>
      </c>
      <c r="I307" s="3">
        <v>1</v>
      </c>
      <c r="J307" s="5" t="s">
        <v>68</v>
      </c>
      <c r="K307" s="15">
        <v>41693.332152777781</v>
      </c>
      <c r="L307" s="20">
        <f t="shared" si="12"/>
        <v>41693</v>
      </c>
      <c r="M307" t="str">
        <f t="shared" si="13"/>
        <v>02-2014</v>
      </c>
      <c r="N307">
        <f t="shared" si="14"/>
        <v>6.99</v>
      </c>
    </row>
    <row r="308" spans="3:14" x14ac:dyDescent="0.25">
      <c r="C308" t="str">
        <f>IF(COUNTBLANK(E308:K308) = 7,"",IF(AND(NOT(ISBLANK(E308)),COUNTBLANK(E308:K308) = 6),"3 Delete",IF(ISBLANK(E308),"2 Add",IF(SHA1Range(E308:K308) = "830ace9f86a1d2157a38df32326511df1c71b820","0 Original","1 Modify"))))</f>
        <v>0 Original</v>
      </c>
      <c r="D308" s="5" t="s">
        <v>2582</v>
      </c>
      <c r="E308" s="3">
        <v>2520</v>
      </c>
      <c r="F308" t="s">
        <v>1056</v>
      </c>
      <c r="G308" t="s">
        <v>373</v>
      </c>
      <c r="H308" s="9">
        <v>7.99</v>
      </c>
      <c r="I308" s="3">
        <v>1</v>
      </c>
      <c r="J308" s="5" t="s">
        <v>68</v>
      </c>
      <c r="K308" s="15">
        <v>41693.332152777781</v>
      </c>
      <c r="L308" s="20">
        <f t="shared" si="12"/>
        <v>41693</v>
      </c>
      <c r="M308" t="str">
        <f t="shared" si="13"/>
        <v>02-2014</v>
      </c>
      <c r="N308">
        <f t="shared" si="14"/>
        <v>7.99</v>
      </c>
    </row>
    <row r="309" spans="3:14" x14ac:dyDescent="0.25">
      <c r="C309" t="str">
        <f>IF(COUNTBLANK(E309:K309) = 7,"",IF(AND(NOT(ISBLANK(E309)),COUNTBLANK(E309:K309) = 6),"3 Delete",IF(ISBLANK(E309),"2 Add",IF(SHA1Range(E309:K309) = "1f883644b5f6daa653e7ec4f76d2e316fd63d1b4","0 Original","1 Modify"))))</f>
        <v>0 Original</v>
      </c>
      <c r="D309" s="5" t="s">
        <v>2583</v>
      </c>
      <c r="E309" s="3">
        <v>813</v>
      </c>
      <c r="F309" t="s">
        <v>1057</v>
      </c>
      <c r="G309" t="s">
        <v>482</v>
      </c>
      <c r="H309" s="9">
        <v>8.99</v>
      </c>
      <c r="I309" s="3">
        <v>2</v>
      </c>
      <c r="J309" s="5" t="s">
        <v>68</v>
      </c>
      <c r="K309" s="15">
        <v>41693.71371527778</v>
      </c>
      <c r="L309" s="20">
        <f t="shared" si="12"/>
        <v>41693</v>
      </c>
      <c r="M309" t="str">
        <f t="shared" si="13"/>
        <v>02-2014</v>
      </c>
      <c r="N309">
        <f t="shared" si="14"/>
        <v>17.98</v>
      </c>
    </row>
    <row r="310" spans="3:14" x14ac:dyDescent="0.25">
      <c r="C310" t="str">
        <f>IF(COUNTBLANK(E310:K310) = 7,"",IF(AND(NOT(ISBLANK(E310)),COUNTBLANK(E310:K310) = 6),"3 Delete",IF(ISBLANK(E310),"2 Add",IF(SHA1Range(E310:K310) = "b07b179d289fa00b2daec5b4566e7710851817a0","0 Original","1 Modify"))))</f>
        <v>0 Original</v>
      </c>
      <c r="D310" s="5" t="s">
        <v>2584</v>
      </c>
      <c r="E310" s="3">
        <v>814</v>
      </c>
      <c r="F310" t="s">
        <v>1057</v>
      </c>
      <c r="G310" t="s">
        <v>610</v>
      </c>
      <c r="H310" s="9">
        <v>9.99</v>
      </c>
      <c r="I310" s="3">
        <v>2</v>
      </c>
      <c r="J310" s="5" t="s">
        <v>68</v>
      </c>
      <c r="K310" s="15">
        <v>41693.71371527778</v>
      </c>
      <c r="L310" s="20">
        <f t="shared" si="12"/>
        <v>41693</v>
      </c>
      <c r="M310" t="str">
        <f t="shared" si="13"/>
        <v>02-2014</v>
      </c>
      <c r="N310">
        <f t="shared" si="14"/>
        <v>19.98</v>
      </c>
    </row>
    <row r="311" spans="3:14" x14ac:dyDescent="0.25">
      <c r="C311" t="str">
        <f>IF(COUNTBLANK(E311:K311) = 7,"",IF(AND(NOT(ISBLANK(E311)),COUNTBLANK(E311:K311) = 6),"3 Delete",IF(ISBLANK(E311),"2 Add",IF(SHA1Range(E311:K311) = "f8be128209b8310f366f43783f88b7f329970329","0 Original","1 Modify"))))</f>
        <v>0 Original</v>
      </c>
      <c r="D311" s="5" t="s">
        <v>2585</v>
      </c>
      <c r="E311" s="3">
        <v>815</v>
      </c>
      <c r="F311" t="s">
        <v>1057</v>
      </c>
      <c r="G311" t="s">
        <v>671</v>
      </c>
      <c r="H311" s="9">
        <v>6.99</v>
      </c>
      <c r="I311" s="3">
        <v>2</v>
      </c>
      <c r="J311" s="5" t="s">
        <v>68</v>
      </c>
      <c r="K311" s="15">
        <v>41693.71371527778</v>
      </c>
      <c r="L311" s="20">
        <f t="shared" si="12"/>
        <v>41693</v>
      </c>
      <c r="M311" t="str">
        <f t="shared" si="13"/>
        <v>02-2014</v>
      </c>
      <c r="N311">
        <f t="shared" si="14"/>
        <v>13.98</v>
      </c>
    </row>
    <row r="312" spans="3:14" x14ac:dyDescent="0.25">
      <c r="C312" t="str">
        <f>IF(COUNTBLANK(E312:K312) = 7,"",IF(AND(NOT(ISBLANK(E312)),COUNTBLANK(E312:K312) = 6),"3 Delete",IF(ISBLANK(E312),"2 Add",IF(SHA1Range(E312:K312) = "a3bfe95f3ad817042a18889a08e6720924fb68fa","0 Original","1 Modify"))))</f>
        <v>0 Original</v>
      </c>
      <c r="D312" s="5" t="s">
        <v>2586</v>
      </c>
      <c r="E312" s="3">
        <v>816</v>
      </c>
      <c r="F312" t="s">
        <v>1057</v>
      </c>
      <c r="G312" t="s">
        <v>749</v>
      </c>
      <c r="H312" s="9">
        <v>5.99</v>
      </c>
      <c r="I312" s="3">
        <v>1</v>
      </c>
      <c r="J312" s="5" t="s">
        <v>68</v>
      </c>
      <c r="K312" s="15">
        <v>41693.71371527778</v>
      </c>
      <c r="L312" s="20">
        <f t="shared" si="12"/>
        <v>41693</v>
      </c>
      <c r="M312" t="str">
        <f t="shared" si="13"/>
        <v>02-2014</v>
      </c>
      <c r="N312">
        <f t="shared" si="14"/>
        <v>5.99</v>
      </c>
    </row>
    <row r="313" spans="3:14" x14ac:dyDescent="0.25">
      <c r="C313" t="str">
        <f>IF(COUNTBLANK(E313:K313) = 7,"",IF(AND(NOT(ISBLANK(E313)),COUNTBLANK(E313:K313) = 6),"3 Delete",IF(ISBLANK(E313),"2 Add",IF(SHA1Range(E313:K313) = "11c89e5888f70d7aa375e5b14839c5b1fe5c84a8","0 Original","1 Modify"))))</f>
        <v>0 Original</v>
      </c>
      <c r="D313" s="5" t="s">
        <v>2587</v>
      </c>
      <c r="E313" s="3">
        <v>2317</v>
      </c>
      <c r="F313" t="s">
        <v>1058</v>
      </c>
      <c r="G313" t="s">
        <v>642</v>
      </c>
      <c r="H313" s="9">
        <v>9.99</v>
      </c>
      <c r="I313" s="3">
        <v>2</v>
      </c>
      <c r="J313" s="5" t="s">
        <v>68</v>
      </c>
      <c r="K313" s="15">
        <v>41693.89130787037</v>
      </c>
      <c r="L313" s="20">
        <f t="shared" si="12"/>
        <v>41693</v>
      </c>
      <c r="M313" t="str">
        <f t="shared" si="13"/>
        <v>02-2014</v>
      </c>
      <c r="N313">
        <f t="shared" si="14"/>
        <v>19.98</v>
      </c>
    </row>
    <row r="314" spans="3:14" x14ac:dyDescent="0.25">
      <c r="C314" t="str">
        <f>IF(COUNTBLANK(E314:K314) = 7,"",IF(AND(NOT(ISBLANK(E314)),COUNTBLANK(E314:K314) = 6),"3 Delete",IF(ISBLANK(E314),"2 Add",IF(SHA1Range(E314:K314) = "05b7bc21daafea0857a19566c6e829af4432c408","0 Original","1 Modify"))))</f>
        <v>0 Original</v>
      </c>
      <c r="D314" s="5" t="s">
        <v>2588</v>
      </c>
      <c r="E314" s="3">
        <v>2318</v>
      </c>
      <c r="F314" t="s">
        <v>1058</v>
      </c>
      <c r="G314" t="s">
        <v>507</v>
      </c>
      <c r="H314" s="9">
        <v>6.99</v>
      </c>
      <c r="I314" s="3">
        <v>2</v>
      </c>
      <c r="J314" s="5" t="s">
        <v>68</v>
      </c>
      <c r="K314" s="15">
        <v>41693.89130787037</v>
      </c>
      <c r="L314" s="20">
        <f t="shared" si="12"/>
        <v>41693</v>
      </c>
      <c r="M314" t="str">
        <f t="shared" si="13"/>
        <v>02-2014</v>
      </c>
      <c r="N314">
        <f t="shared" si="14"/>
        <v>13.98</v>
      </c>
    </row>
    <row r="315" spans="3:14" x14ac:dyDescent="0.25">
      <c r="C315" t="str">
        <f>IF(COUNTBLANK(E315:K315) = 7,"",IF(AND(NOT(ISBLANK(E315)),COUNTBLANK(E315:K315) = 6),"3 Delete",IF(ISBLANK(E315),"2 Add",IF(SHA1Range(E315:K315) = "be9f51136ff94b7afab1267234a9a7033c267f77","0 Original","1 Modify"))))</f>
        <v>0 Original</v>
      </c>
      <c r="D315" s="5" t="s">
        <v>2589</v>
      </c>
      <c r="E315" s="3">
        <v>2319</v>
      </c>
      <c r="F315" t="s">
        <v>1058</v>
      </c>
      <c r="G315" t="s">
        <v>642</v>
      </c>
      <c r="H315" s="9">
        <v>9.99</v>
      </c>
      <c r="I315" s="3">
        <v>1</v>
      </c>
      <c r="J315" s="5" t="s">
        <v>68</v>
      </c>
      <c r="K315" s="15">
        <v>41693.89130787037</v>
      </c>
      <c r="L315" s="20">
        <f t="shared" si="12"/>
        <v>41693</v>
      </c>
      <c r="M315" t="str">
        <f t="shared" si="13"/>
        <v>02-2014</v>
      </c>
      <c r="N315">
        <f t="shared" si="14"/>
        <v>9.99</v>
      </c>
    </row>
    <row r="316" spans="3:14" x14ac:dyDescent="0.25">
      <c r="C316" t="str">
        <f>IF(COUNTBLANK(E316:K316) = 7,"",IF(AND(NOT(ISBLANK(E316)),COUNTBLANK(E316:K316) = 6),"3 Delete",IF(ISBLANK(E316),"2 Add",IF(SHA1Range(E316:K316) = "9eb36a7880565707ffc470352bd6eec8b09b0c16","0 Original","1 Modify"))))</f>
        <v>0 Original</v>
      </c>
      <c r="D316" s="5" t="s">
        <v>2590</v>
      </c>
      <c r="E316" s="3">
        <v>2320</v>
      </c>
      <c r="F316" t="s">
        <v>1058</v>
      </c>
      <c r="G316" t="s">
        <v>373</v>
      </c>
      <c r="H316" s="9">
        <v>7.99</v>
      </c>
      <c r="I316" s="3">
        <v>2</v>
      </c>
      <c r="J316" s="5" t="s">
        <v>68</v>
      </c>
      <c r="K316" s="15">
        <v>41693.89130787037</v>
      </c>
      <c r="L316" s="20">
        <f t="shared" si="12"/>
        <v>41693</v>
      </c>
      <c r="M316" t="str">
        <f t="shared" si="13"/>
        <v>02-2014</v>
      </c>
      <c r="N316">
        <f t="shared" si="14"/>
        <v>15.98</v>
      </c>
    </row>
    <row r="317" spans="3:14" x14ac:dyDescent="0.25">
      <c r="C317" t="str">
        <f>IF(COUNTBLANK(E317:K317) = 7,"",IF(AND(NOT(ISBLANK(E317)),COUNTBLANK(E317:K317) = 6),"3 Delete",IF(ISBLANK(E317),"2 Add",IF(SHA1Range(E317:K317) = "50d06c42c6bbd99b3925cbfb0eced327df32940e","0 Original","1 Modify"))))</f>
        <v>0 Original</v>
      </c>
      <c r="D317" s="5" t="s">
        <v>2591</v>
      </c>
      <c r="E317" s="3">
        <v>2321</v>
      </c>
      <c r="F317" t="s">
        <v>1058</v>
      </c>
      <c r="G317" t="s">
        <v>687</v>
      </c>
      <c r="H317" s="9">
        <v>9.99</v>
      </c>
      <c r="I317" s="3">
        <v>1</v>
      </c>
      <c r="J317" s="5" t="s">
        <v>68</v>
      </c>
      <c r="K317" s="15">
        <v>41693.89130787037</v>
      </c>
      <c r="L317" s="20">
        <f t="shared" si="12"/>
        <v>41693</v>
      </c>
      <c r="M317" t="str">
        <f t="shared" si="13"/>
        <v>02-2014</v>
      </c>
      <c r="N317">
        <f t="shared" si="14"/>
        <v>9.99</v>
      </c>
    </row>
    <row r="318" spans="3:14" x14ac:dyDescent="0.25">
      <c r="C318" t="str">
        <f>IF(COUNTBLANK(E318:K318) = 7,"",IF(AND(NOT(ISBLANK(E318)),COUNTBLANK(E318:K318) = 6),"3 Delete",IF(ISBLANK(E318),"2 Add",IF(SHA1Range(E318:K318) = "556f97c09455279ef54011cfd7f183e7ae8ae1c7","0 Original","1 Modify"))))</f>
        <v>0 Original</v>
      </c>
      <c r="D318" s="5" t="s">
        <v>2592</v>
      </c>
      <c r="E318" s="3">
        <v>1046</v>
      </c>
      <c r="F318" t="s">
        <v>1059</v>
      </c>
      <c r="G318" t="s">
        <v>854</v>
      </c>
      <c r="H318" s="9">
        <v>8.99</v>
      </c>
      <c r="I318" s="3">
        <v>1</v>
      </c>
      <c r="J318" s="5" t="s">
        <v>68</v>
      </c>
      <c r="K318" s="15">
        <v>41694.320289351854</v>
      </c>
      <c r="L318" s="20">
        <f t="shared" si="12"/>
        <v>41694</v>
      </c>
      <c r="M318" t="str">
        <f t="shared" si="13"/>
        <v>02-2014</v>
      </c>
      <c r="N318">
        <f t="shared" si="14"/>
        <v>8.99</v>
      </c>
    </row>
    <row r="319" spans="3:14" x14ac:dyDescent="0.25">
      <c r="C319" t="str">
        <f>IF(COUNTBLANK(E319:K319) = 7,"",IF(AND(NOT(ISBLANK(E319)),COUNTBLANK(E319:K319) = 6),"3 Delete",IF(ISBLANK(E319),"2 Add",IF(SHA1Range(E319:K319) = "8b73e2febc7c9c8e344c327cb2876d161208f7f6","0 Original","1 Modify"))))</f>
        <v>0 Original</v>
      </c>
      <c r="D319" s="5" t="s">
        <v>2593</v>
      </c>
      <c r="E319" s="3">
        <v>517</v>
      </c>
      <c r="F319" t="s">
        <v>1060</v>
      </c>
      <c r="G319" t="s">
        <v>664</v>
      </c>
      <c r="H319" s="9">
        <v>7.99</v>
      </c>
      <c r="I319" s="3">
        <v>1</v>
      </c>
      <c r="J319" s="5" t="s">
        <v>68</v>
      </c>
      <c r="K319" s="15">
        <v>41695.579224537039</v>
      </c>
      <c r="L319" s="20">
        <f t="shared" si="12"/>
        <v>41695</v>
      </c>
      <c r="M319" t="str">
        <f t="shared" si="13"/>
        <v>02-2014</v>
      </c>
      <c r="N319">
        <f t="shared" si="14"/>
        <v>7.99</v>
      </c>
    </row>
    <row r="320" spans="3:14" x14ac:dyDescent="0.25">
      <c r="C320" t="str">
        <f>IF(COUNTBLANK(E320:K320) = 7,"",IF(AND(NOT(ISBLANK(E320)),COUNTBLANK(E320:K320) = 6),"3 Delete",IF(ISBLANK(E320),"2 Add",IF(SHA1Range(E320:K320) = "639ccfd566669b3400f05397a7a922421e607293","0 Original","1 Modify"))))</f>
        <v>0 Original</v>
      </c>
      <c r="D320" s="5" t="s">
        <v>2594</v>
      </c>
      <c r="E320" s="3">
        <v>2840</v>
      </c>
      <c r="F320" t="s">
        <v>1061</v>
      </c>
      <c r="G320" t="s">
        <v>579</v>
      </c>
      <c r="H320" s="9">
        <v>9.99</v>
      </c>
      <c r="I320" s="3">
        <v>2</v>
      </c>
      <c r="J320" s="5" t="s">
        <v>68</v>
      </c>
      <c r="K320" s="15">
        <v>41696.178564814814</v>
      </c>
      <c r="L320" s="20">
        <f t="shared" si="12"/>
        <v>41696</v>
      </c>
      <c r="M320" t="str">
        <f t="shared" si="13"/>
        <v>02-2014</v>
      </c>
      <c r="N320">
        <f t="shared" si="14"/>
        <v>19.98</v>
      </c>
    </row>
    <row r="321" spans="3:14" x14ac:dyDescent="0.25">
      <c r="C321" t="str">
        <f>IF(COUNTBLANK(E321:K321) = 7,"",IF(AND(NOT(ISBLANK(E321)),COUNTBLANK(E321:K321) = 6),"3 Delete",IF(ISBLANK(E321),"2 Add",IF(SHA1Range(E321:K321) = "6c2da248f871fc8e9737886129102411777b3870","0 Original","1 Modify"))))</f>
        <v>0 Original</v>
      </c>
      <c r="D321" s="5" t="s">
        <v>2595</v>
      </c>
      <c r="E321" s="3">
        <v>2841</v>
      </c>
      <c r="F321" t="s">
        <v>1061</v>
      </c>
      <c r="G321" t="s">
        <v>400</v>
      </c>
      <c r="H321" s="9">
        <v>4.99</v>
      </c>
      <c r="I321" s="3">
        <v>1</v>
      </c>
      <c r="J321" s="5" t="s">
        <v>68</v>
      </c>
      <c r="K321" s="15">
        <v>41696.178564814814</v>
      </c>
      <c r="L321" s="20">
        <f t="shared" si="12"/>
        <v>41696</v>
      </c>
      <c r="M321" t="str">
        <f t="shared" si="13"/>
        <v>02-2014</v>
      </c>
      <c r="N321">
        <f t="shared" si="14"/>
        <v>4.99</v>
      </c>
    </row>
    <row r="322" spans="3:14" x14ac:dyDescent="0.25">
      <c r="C322" t="str">
        <f>IF(COUNTBLANK(E322:K322) = 7,"",IF(AND(NOT(ISBLANK(E322)),COUNTBLANK(E322:K322) = 6),"3 Delete",IF(ISBLANK(E322),"2 Add",IF(SHA1Range(E322:K322) = "47400b2526ec364f41a4f3b71b982c9e8be188d5","0 Original","1 Modify"))))</f>
        <v>0 Original</v>
      </c>
      <c r="D322" s="5" t="s">
        <v>2596</v>
      </c>
      <c r="E322" s="3">
        <v>3687</v>
      </c>
      <c r="F322" t="s">
        <v>1062</v>
      </c>
      <c r="G322" t="s">
        <v>707</v>
      </c>
      <c r="H322" s="9">
        <v>7.99</v>
      </c>
      <c r="I322" s="3">
        <v>1</v>
      </c>
      <c r="J322" s="5" t="s">
        <v>68</v>
      </c>
      <c r="K322" s="15">
        <v>41698.079861111109</v>
      </c>
      <c r="L322" s="20">
        <f t="shared" si="12"/>
        <v>41698</v>
      </c>
      <c r="M322" t="str">
        <f t="shared" si="13"/>
        <v>02-2014</v>
      </c>
      <c r="N322">
        <f t="shared" si="14"/>
        <v>7.99</v>
      </c>
    </row>
    <row r="323" spans="3:14" x14ac:dyDescent="0.25">
      <c r="C323" t="str">
        <f>IF(COUNTBLANK(E323:K323) = 7,"",IF(AND(NOT(ISBLANK(E323)),COUNTBLANK(E323:K323) = 6),"3 Delete",IF(ISBLANK(E323),"2 Add",IF(SHA1Range(E323:K323) = "9aa813d0bbfefc1225d281678839837482a28820","0 Original","1 Modify"))))</f>
        <v>0 Original</v>
      </c>
      <c r="D323" s="5" t="s">
        <v>2597</v>
      </c>
      <c r="E323" s="3">
        <v>3688</v>
      </c>
      <c r="F323" t="s">
        <v>1062</v>
      </c>
      <c r="G323" t="s">
        <v>707</v>
      </c>
      <c r="H323" s="9">
        <v>7.99</v>
      </c>
      <c r="I323" s="3">
        <v>1</v>
      </c>
      <c r="J323" s="5" t="s">
        <v>68</v>
      </c>
      <c r="K323" s="15">
        <v>41698.079861111109</v>
      </c>
      <c r="L323" s="20">
        <f t="shared" ref="L323:L386" si="15">DATEVALUE(LEFT(F323,10))</f>
        <v>41698</v>
      </c>
      <c r="M323" t="str">
        <f t="shared" ref="M323:M386" si="16">TEXT(L323,"mm-yyyy")</f>
        <v>02-2014</v>
      </c>
      <c r="N323">
        <f t="shared" ref="N323:N386" si="17">H323*I323</f>
        <v>7.99</v>
      </c>
    </row>
    <row r="324" spans="3:14" x14ac:dyDescent="0.25">
      <c r="C324" t="str">
        <f>IF(COUNTBLANK(E324:K324) = 7,"",IF(AND(NOT(ISBLANK(E324)),COUNTBLANK(E324:K324) = 6),"3 Delete",IF(ISBLANK(E324),"2 Add",IF(SHA1Range(E324:K324) = "9fdbc5b482d0524309b90edd48c4429305df54a8","0 Original","1 Modify"))))</f>
        <v>0 Original</v>
      </c>
      <c r="D324" s="5" t="s">
        <v>2598</v>
      </c>
      <c r="E324" s="3">
        <v>3689</v>
      </c>
      <c r="F324" t="s">
        <v>1062</v>
      </c>
      <c r="G324" t="s">
        <v>687</v>
      </c>
      <c r="H324" s="9">
        <v>9.99</v>
      </c>
      <c r="I324" s="3">
        <v>1</v>
      </c>
      <c r="J324" s="5" t="s">
        <v>68</v>
      </c>
      <c r="K324" s="15">
        <v>41698.079861111109</v>
      </c>
      <c r="L324" s="20">
        <f t="shared" si="15"/>
        <v>41698</v>
      </c>
      <c r="M324" t="str">
        <f t="shared" si="16"/>
        <v>02-2014</v>
      </c>
      <c r="N324">
        <f t="shared" si="17"/>
        <v>9.99</v>
      </c>
    </row>
    <row r="325" spans="3:14" x14ac:dyDescent="0.25">
      <c r="C325" t="str">
        <f>IF(COUNTBLANK(E325:K325) = 7,"",IF(AND(NOT(ISBLANK(E325)),COUNTBLANK(E325:K325) = 6),"3 Delete",IF(ISBLANK(E325),"2 Add",IF(SHA1Range(E325:K325) = "45f583a0d5dc1f79e490bec4e172f487f168b2f5","0 Original","1 Modify"))))</f>
        <v>0 Original</v>
      </c>
      <c r="D325" s="5" t="s">
        <v>2599</v>
      </c>
      <c r="E325" s="3">
        <v>3690</v>
      </c>
      <c r="F325" t="s">
        <v>1062</v>
      </c>
      <c r="G325" t="s">
        <v>642</v>
      </c>
      <c r="H325" s="9">
        <v>9.99</v>
      </c>
      <c r="I325" s="3">
        <v>1</v>
      </c>
      <c r="J325" s="5" t="s">
        <v>68</v>
      </c>
      <c r="K325" s="15">
        <v>41698.079861111109</v>
      </c>
      <c r="L325" s="20">
        <f t="shared" si="15"/>
        <v>41698</v>
      </c>
      <c r="M325" t="str">
        <f t="shared" si="16"/>
        <v>02-2014</v>
      </c>
      <c r="N325">
        <f t="shared" si="17"/>
        <v>9.99</v>
      </c>
    </row>
    <row r="326" spans="3:14" x14ac:dyDescent="0.25">
      <c r="C326" t="str">
        <f>IF(COUNTBLANK(E326:K326) = 7,"",IF(AND(NOT(ISBLANK(E326)),COUNTBLANK(E326:K326) = 6),"3 Delete",IF(ISBLANK(E326),"2 Add",IF(SHA1Range(E326:K326) = "4211425d4bab3c2731f5d5dbc94128e45aac4f34","0 Original","1 Modify"))))</f>
        <v>0 Original</v>
      </c>
      <c r="D326" s="5" t="s">
        <v>2600</v>
      </c>
      <c r="E326" s="3">
        <v>3691</v>
      </c>
      <c r="F326" t="s">
        <v>1062</v>
      </c>
      <c r="G326" t="s">
        <v>579</v>
      </c>
      <c r="H326" s="9">
        <v>9.99</v>
      </c>
      <c r="I326" s="3">
        <v>1</v>
      </c>
      <c r="J326" s="5" t="s">
        <v>68</v>
      </c>
      <c r="K326" s="15">
        <v>41698.079861111109</v>
      </c>
      <c r="L326" s="20">
        <f t="shared" si="15"/>
        <v>41698</v>
      </c>
      <c r="M326" t="str">
        <f t="shared" si="16"/>
        <v>02-2014</v>
      </c>
      <c r="N326">
        <f t="shared" si="17"/>
        <v>9.99</v>
      </c>
    </row>
    <row r="327" spans="3:14" x14ac:dyDescent="0.25">
      <c r="C327" t="str">
        <f>IF(COUNTBLANK(E327:K327) = 7,"",IF(AND(NOT(ISBLANK(E327)),COUNTBLANK(E327:K327) = 6),"3 Delete",IF(ISBLANK(E327),"2 Add",IF(SHA1Range(E327:K327) = "d75b21a50dd701de989f4c788f6ded30c74785c1","0 Original","1 Modify"))))</f>
        <v>0 Original</v>
      </c>
      <c r="D327" s="5" t="s">
        <v>2601</v>
      </c>
      <c r="E327" s="3">
        <v>3692</v>
      </c>
      <c r="F327" t="s">
        <v>1062</v>
      </c>
      <c r="G327" t="s">
        <v>749</v>
      </c>
      <c r="H327" s="9">
        <v>5.99</v>
      </c>
      <c r="I327" s="3">
        <v>1</v>
      </c>
      <c r="J327" s="5" t="s">
        <v>68</v>
      </c>
      <c r="K327" s="15">
        <v>41698.079861111109</v>
      </c>
      <c r="L327" s="20">
        <f t="shared" si="15"/>
        <v>41698</v>
      </c>
      <c r="M327" t="str">
        <f t="shared" si="16"/>
        <v>02-2014</v>
      </c>
      <c r="N327">
        <f t="shared" si="17"/>
        <v>5.99</v>
      </c>
    </row>
    <row r="328" spans="3:14" x14ac:dyDescent="0.25">
      <c r="C328" t="str">
        <f>IF(COUNTBLANK(E328:K328) = 7,"",IF(AND(NOT(ISBLANK(E328)),COUNTBLANK(E328:K328) = 6),"3 Delete",IF(ISBLANK(E328),"2 Add",IF(SHA1Range(E328:K328) = "d1c56722f9d3c7aa6af050e3af119b1fdcaa30e3","0 Original","1 Modify"))))</f>
        <v>0 Original</v>
      </c>
      <c r="D328" s="5" t="s">
        <v>2602</v>
      </c>
      <c r="E328" s="3">
        <v>2176</v>
      </c>
      <c r="F328" t="s">
        <v>1063</v>
      </c>
      <c r="G328" t="s">
        <v>610</v>
      </c>
      <c r="H328" s="9">
        <v>9.99</v>
      </c>
      <c r="I328" s="3">
        <v>2</v>
      </c>
      <c r="J328" s="5" t="s">
        <v>68</v>
      </c>
      <c r="K328" s="15">
        <v>41698.301041666666</v>
      </c>
      <c r="L328" s="20">
        <f t="shared" si="15"/>
        <v>41698</v>
      </c>
      <c r="M328" t="str">
        <f t="shared" si="16"/>
        <v>02-2014</v>
      </c>
      <c r="N328">
        <f t="shared" si="17"/>
        <v>19.98</v>
      </c>
    </row>
    <row r="329" spans="3:14" x14ac:dyDescent="0.25">
      <c r="C329" t="str">
        <f>IF(COUNTBLANK(E329:K329) = 7,"",IF(AND(NOT(ISBLANK(E329)),COUNTBLANK(E329:K329) = 6),"3 Delete",IF(ISBLANK(E329),"2 Add",IF(SHA1Range(E329:K329) = "4ce4b8d12733f7ce2038336bb147dad30e978d7f","0 Original","1 Modify"))))</f>
        <v>0 Original</v>
      </c>
      <c r="D329" s="5" t="s">
        <v>2603</v>
      </c>
      <c r="E329" s="3">
        <v>2177</v>
      </c>
      <c r="F329" t="s">
        <v>1063</v>
      </c>
      <c r="G329" t="s">
        <v>507</v>
      </c>
      <c r="H329" s="9">
        <v>6.99</v>
      </c>
      <c r="I329" s="3">
        <v>2</v>
      </c>
      <c r="J329" s="5" t="s">
        <v>68</v>
      </c>
      <c r="K329" s="15">
        <v>41698.301041666666</v>
      </c>
      <c r="L329" s="20">
        <f t="shared" si="15"/>
        <v>41698</v>
      </c>
      <c r="M329" t="str">
        <f t="shared" si="16"/>
        <v>02-2014</v>
      </c>
      <c r="N329">
        <f t="shared" si="17"/>
        <v>13.98</v>
      </c>
    </row>
    <row r="330" spans="3:14" x14ac:dyDescent="0.25">
      <c r="C330" t="str">
        <f>IF(COUNTBLANK(E330:K330) = 7,"",IF(AND(NOT(ISBLANK(E330)),COUNTBLANK(E330:K330) = 6),"3 Delete",IF(ISBLANK(E330),"2 Add",IF(SHA1Range(E330:K330) = "f507e0a3c2fc2adab13348256fd6adbbe35da1c8","0 Original","1 Modify"))))</f>
        <v>0 Original</v>
      </c>
      <c r="D330" s="5" t="s">
        <v>2604</v>
      </c>
      <c r="E330" s="3">
        <v>2178</v>
      </c>
      <c r="F330" t="s">
        <v>1063</v>
      </c>
      <c r="G330" t="s">
        <v>548</v>
      </c>
      <c r="H330" s="9">
        <v>5.99</v>
      </c>
      <c r="I330" s="3">
        <v>1</v>
      </c>
      <c r="J330" s="5" t="s">
        <v>68</v>
      </c>
      <c r="K330" s="15">
        <v>41698.301041666666</v>
      </c>
      <c r="L330" s="20">
        <f t="shared" si="15"/>
        <v>41698</v>
      </c>
      <c r="M330" t="str">
        <f t="shared" si="16"/>
        <v>02-2014</v>
      </c>
      <c r="N330">
        <f t="shared" si="17"/>
        <v>5.99</v>
      </c>
    </row>
    <row r="331" spans="3:14" x14ac:dyDescent="0.25">
      <c r="C331" t="str">
        <f>IF(COUNTBLANK(E331:K331) = 7,"",IF(AND(NOT(ISBLANK(E331)),COUNTBLANK(E331:K331) = 6),"3 Delete",IF(ISBLANK(E331),"2 Add",IF(SHA1Range(E331:K331) = "64b9fa0e2c4c73c352faa175879857e8436b58f8","0 Original","1 Modify"))))</f>
        <v>0 Original</v>
      </c>
      <c r="D331" s="5" t="s">
        <v>2605</v>
      </c>
      <c r="E331" s="3">
        <v>2179</v>
      </c>
      <c r="F331" t="s">
        <v>1063</v>
      </c>
      <c r="G331" t="s">
        <v>654</v>
      </c>
      <c r="H331" s="9">
        <v>5.99</v>
      </c>
      <c r="I331" s="3">
        <v>1</v>
      </c>
      <c r="J331" s="5" t="s">
        <v>68</v>
      </c>
      <c r="K331" s="15">
        <v>41698.301041666666</v>
      </c>
      <c r="L331" s="20">
        <f t="shared" si="15"/>
        <v>41698</v>
      </c>
      <c r="M331" t="str">
        <f t="shared" si="16"/>
        <v>02-2014</v>
      </c>
      <c r="N331">
        <f t="shared" si="17"/>
        <v>5.99</v>
      </c>
    </row>
    <row r="332" spans="3:14" x14ac:dyDescent="0.25">
      <c r="C332" t="str">
        <f>IF(COUNTBLANK(E332:K332) = 7,"",IF(AND(NOT(ISBLANK(E332)),COUNTBLANK(E332:K332) = 6),"3 Delete",IF(ISBLANK(E332),"2 Add",IF(SHA1Range(E332:K332) = "1ae9c275d6370f271249a5e4c02b107d61780df0","0 Original","1 Modify"))))</f>
        <v>0 Original</v>
      </c>
      <c r="D332" s="5" t="s">
        <v>2606</v>
      </c>
      <c r="E332" s="3">
        <v>557</v>
      </c>
      <c r="F332" t="s">
        <v>1064</v>
      </c>
      <c r="G332" t="s">
        <v>704</v>
      </c>
      <c r="H332" s="9">
        <v>4.99</v>
      </c>
      <c r="I332" s="3">
        <v>2</v>
      </c>
      <c r="J332" s="5" t="s">
        <v>68</v>
      </c>
      <c r="K332" s="15">
        <v>41698.485173611109</v>
      </c>
      <c r="L332" s="20">
        <f t="shared" si="15"/>
        <v>41698</v>
      </c>
      <c r="M332" t="str">
        <f t="shared" si="16"/>
        <v>02-2014</v>
      </c>
      <c r="N332">
        <f t="shared" si="17"/>
        <v>9.98</v>
      </c>
    </row>
    <row r="333" spans="3:14" x14ac:dyDescent="0.25">
      <c r="C333" t="str">
        <f>IF(COUNTBLANK(E333:K333) = 7,"",IF(AND(NOT(ISBLANK(E333)),COUNTBLANK(E333:K333) = 6),"3 Delete",IF(ISBLANK(E333),"2 Add",IF(SHA1Range(E333:K333) = "5eb437c20e6f79dcab4b3744cfdfe68c64e7168c","0 Original","1 Modify"))))</f>
        <v>0 Original</v>
      </c>
      <c r="D333" s="5" t="s">
        <v>2607</v>
      </c>
      <c r="E333" s="3">
        <v>558</v>
      </c>
      <c r="F333" t="s">
        <v>1064</v>
      </c>
      <c r="G333" t="s">
        <v>948</v>
      </c>
      <c r="H333" s="9">
        <v>4.99</v>
      </c>
      <c r="I333" s="3">
        <v>1</v>
      </c>
      <c r="J333" s="5" t="s">
        <v>68</v>
      </c>
      <c r="K333" s="15">
        <v>41698.485173611109</v>
      </c>
      <c r="L333" s="20">
        <f t="shared" si="15"/>
        <v>41698</v>
      </c>
      <c r="M333" t="str">
        <f t="shared" si="16"/>
        <v>02-2014</v>
      </c>
      <c r="N333">
        <f t="shared" si="17"/>
        <v>4.99</v>
      </c>
    </row>
    <row r="334" spans="3:14" x14ac:dyDescent="0.25">
      <c r="C334" t="str">
        <f>IF(COUNTBLANK(E334:K334) = 7,"",IF(AND(NOT(ISBLANK(E334)),COUNTBLANK(E334:K334) = 6),"3 Delete",IF(ISBLANK(E334),"2 Add",IF(SHA1Range(E334:K334) = "700e3108c1cc26f4d1095450ea60dc867eb1a0ac","0 Original","1 Modify"))))</f>
        <v>0 Original</v>
      </c>
      <c r="D334" s="5" t="s">
        <v>2608</v>
      </c>
      <c r="E334" s="3">
        <v>559</v>
      </c>
      <c r="F334" t="s">
        <v>1064</v>
      </c>
      <c r="G334" t="s">
        <v>697</v>
      </c>
      <c r="H334" s="9">
        <v>5.99</v>
      </c>
      <c r="I334" s="3">
        <v>1</v>
      </c>
      <c r="J334" s="5" t="s">
        <v>68</v>
      </c>
      <c r="K334" s="15">
        <v>41698.485173611109</v>
      </c>
      <c r="L334" s="20">
        <f t="shared" si="15"/>
        <v>41698</v>
      </c>
      <c r="M334" t="str">
        <f t="shared" si="16"/>
        <v>02-2014</v>
      </c>
      <c r="N334">
        <f t="shared" si="17"/>
        <v>5.99</v>
      </c>
    </row>
    <row r="335" spans="3:14" x14ac:dyDescent="0.25">
      <c r="C335" t="str">
        <f>IF(COUNTBLANK(E335:K335) = 7,"",IF(AND(NOT(ISBLANK(E335)),COUNTBLANK(E335:K335) = 6),"3 Delete",IF(ISBLANK(E335),"2 Add",IF(SHA1Range(E335:K335) = "bb8707a6d885b295477e006f68f70600b4e6994c","0 Original","1 Modify"))))</f>
        <v>0 Original</v>
      </c>
      <c r="D335" s="5" t="s">
        <v>2609</v>
      </c>
      <c r="E335" s="3">
        <v>560</v>
      </c>
      <c r="F335" t="s">
        <v>1064</v>
      </c>
      <c r="G335" t="s">
        <v>404</v>
      </c>
      <c r="H335" s="9">
        <v>5.99</v>
      </c>
      <c r="I335" s="3">
        <v>1</v>
      </c>
      <c r="J335" s="5" t="s">
        <v>68</v>
      </c>
      <c r="K335" s="15">
        <v>41698.485173611109</v>
      </c>
      <c r="L335" s="20">
        <f t="shared" si="15"/>
        <v>41698</v>
      </c>
      <c r="M335" t="str">
        <f t="shared" si="16"/>
        <v>02-2014</v>
      </c>
      <c r="N335">
        <f t="shared" si="17"/>
        <v>5.99</v>
      </c>
    </row>
    <row r="336" spans="3:14" x14ac:dyDescent="0.25">
      <c r="C336" t="str">
        <f>IF(COUNTBLANK(E336:K336) = 7,"",IF(AND(NOT(ISBLANK(E336)),COUNTBLANK(E336:K336) = 6),"3 Delete",IF(ISBLANK(E336),"2 Add",IF(SHA1Range(E336:K336) = "bc8db730fa2dc114a983fb537f496bdebd197674","0 Original","1 Modify"))))</f>
        <v>0 Original</v>
      </c>
      <c r="D336" s="5" t="s">
        <v>2610</v>
      </c>
      <c r="E336" s="3">
        <v>2262</v>
      </c>
      <c r="F336" t="s">
        <v>1065</v>
      </c>
      <c r="G336" t="s">
        <v>842</v>
      </c>
      <c r="H336" s="9">
        <v>4.99</v>
      </c>
      <c r="I336" s="3">
        <v>1</v>
      </c>
      <c r="J336" s="5" t="s">
        <v>68</v>
      </c>
      <c r="K336" s="15">
        <v>41698.528020833335</v>
      </c>
      <c r="L336" s="20">
        <f t="shared" si="15"/>
        <v>41698</v>
      </c>
      <c r="M336" t="str">
        <f t="shared" si="16"/>
        <v>02-2014</v>
      </c>
      <c r="N336">
        <f t="shared" si="17"/>
        <v>4.99</v>
      </c>
    </row>
    <row r="337" spans="3:14" x14ac:dyDescent="0.25">
      <c r="C337" t="str">
        <f>IF(COUNTBLANK(E337:K337) = 7,"",IF(AND(NOT(ISBLANK(E337)),COUNTBLANK(E337:K337) = 6),"3 Delete",IF(ISBLANK(E337),"2 Add",IF(SHA1Range(E337:K337) = "d782288ac2f0ea74c8fd03809049af013fcdcdff","0 Original","1 Modify"))))</f>
        <v>0 Original</v>
      </c>
      <c r="D337" s="5" t="s">
        <v>2611</v>
      </c>
      <c r="E337" s="3">
        <v>2263</v>
      </c>
      <c r="F337" t="s">
        <v>1065</v>
      </c>
      <c r="G337" t="s">
        <v>514</v>
      </c>
      <c r="H337" s="9">
        <v>6.99</v>
      </c>
      <c r="I337" s="3">
        <v>1</v>
      </c>
      <c r="J337" s="5" t="s">
        <v>68</v>
      </c>
      <c r="K337" s="15">
        <v>41698.528020833335</v>
      </c>
      <c r="L337" s="20">
        <f t="shared" si="15"/>
        <v>41698</v>
      </c>
      <c r="M337" t="str">
        <f t="shared" si="16"/>
        <v>02-2014</v>
      </c>
      <c r="N337">
        <f t="shared" si="17"/>
        <v>6.99</v>
      </c>
    </row>
    <row r="338" spans="3:14" x14ac:dyDescent="0.25">
      <c r="C338" t="str">
        <f>IF(COUNTBLANK(E338:K338) = 7,"",IF(AND(NOT(ISBLANK(E338)),COUNTBLANK(E338:K338) = 6),"3 Delete",IF(ISBLANK(E338),"2 Add",IF(SHA1Range(E338:K338) = "101c398d833cb57899cc852d575bc8f8f88b2be8","0 Original","1 Modify"))))</f>
        <v>0 Original</v>
      </c>
      <c r="D338" s="5" t="s">
        <v>2612</v>
      </c>
      <c r="E338" s="3">
        <v>1780</v>
      </c>
      <c r="F338" t="s">
        <v>1066</v>
      </c>
      <c r="G338" t="s">
        <v>588</v>
      </c>
      <c r="H338" s="9">
        <v>4.99</v>
      </c>
      <c r="I338" s="3">
        <v>1</v>
      </c>
      <c r="J338" s="5" t="s">
        <v>68</v>
      </c>
      <c r="K338" s="15">
        <v>41698.574155092596</v>
      </c>
      <c r="L338" s="20">
        <f t="shared" si="15"/>
        <v>41698</v>
      </c>
      <c r="M338" t="str">
        <f t="shared" si="16"/>
        <v>02-2014</v>
      </c>
      <c r="N338">
        <f t="shared" si="17"/>
        <v>4.99</v>
      </c>
    </row>
    <row r="339" spans="3:14" x14ac:dyDescent="0.25">
      <c r="C339" t="str">
        <f>IF(COUNTBLANK(E339:K339) = 7,"",IF(AND(NOT(ISBLANK(E339)),COUNTBLANK(E339:K339) = 6),"3 Delete",IF(ISBLANK(E339),"2 Add",IF(SHA1Range(E339:K339) = "1fa61cd3712db392653b1ba44074000b0d0d9f1d","0 Original","1 Modify"))))</f>
        <v>0 Original</v>
      </c>
      <c r="D339" s="5" t="s">
        <v>2613</v>
      </c>
      <c r="E339" s="3">
        <v>1781</v>
      </c>
      <c r="F339" t="s">
        <v>1066</v>
      </c>
      <c r="G339" t="s">
        <v>771</v>
      </c>
      <c r="H339" s="9">
        <v>9.99</v>
      </c>
      <c r="I339" s="3">
        <v>2</v>
      </c>
      <c r="J339" s="5" t="s">
        <v>68</v>
      </c>
      <c r="K339" s="15">
        <v>41698.574155092596</v>
      </c>
      <c r="L339" s="20">
        <f t="shared" si="15"/>
        <v>41698</v>
      </c>
      <c r="M339" t="str">
        <f t="shared" si="16"/>
        <v>02-2014</v>
      </c>
      <c r="N339">
        <f t="shared" si="17"/>
        <v>19.98</v>
      </c>
    </row>
    <row r="340" spans="3:14" x14ac:dyDescent="0.25">
      <c r="C340" t="str">
        <f>IF(COUNTBLANK(E340:K340) = 7,"",IF(AND(NOT(ISBLANK(E340)),COUNTBLANK(E340:K340) = 6),"3 Delete",IF(ISBLANK(E340),"2 Add",IF(SHA1Range(E340:K340) = "fa053d48197a1fd4edad72b6ae3ffc34434b8cde","0 Original","1 Modify"))))</f>
        <v>0 Original</v>
      </c>
      <c r="D340" s="5" t="s">
        <v>2614</v>
      </c>
      <c r="E340" s="3">
        <v>1782</v>
      </c>
      <c r="F340" t="s">
        <v>1066</v>
      </c>
      <c r="G340" t="s">
        <v>514</v>
      </c>
      <c r="H340" s="9">
        <v>6.99</v>
      </c>
      <c r="I340" s="3">
        <v>2</v>
      </c>
      <c r="J340" s="5" t="s">
        <v>68</v>
      </c>
      <c r="K340" s="15">
        <v>41698.574155092596</v>
      </c>
      <c r="L340" s="20">
        <f t="shared" si="15"/>
        <v>41698</v>
      </c>
      <c r="M340" t="str">
        <f t="shared" si="16"/>
        <v>02-2014</v>
      </c>
      <c r="N340">
        <f t="shared" si="17"/>
        <v>13.98</v>
      </c>
    </row>
    <row r="341" spans="3:14" x14ac:dyDescent="0.25">
      <c r="C341" t="str">
        <f>IF(COUNTBLANK(E341:K341) = 7,"",IF(AND(NOT(ISBLANK(E341)),COUNTBLANK(E341:K341) = 6),"3 Delete",IF(ISBLANK(E341),"2 Add",IF(SHA1Range(E341:K341) = "3b60cf7d15c408b8985d8e2275040bc6dc8de242","0 Original","1 Modify"))))</f>
        <v>0 Original</v>
      </c>
      <c r="D341" s="5" t="s">
        <v>2615</v>
      </c>
      <c r="E341" s="3">
        <v>1783</v>
      </c>
      <c r="F341" t="s">
        <v>1066</v>
      </c>
      <c r="G341" t="s">
        <v>482</v>
      </c>
      <c r="H341" s="9">
        <v>8.99</v>
      </c>
      <c r="I341" s="3">
        <v>2</v>
      </c>
      <c r="J341" s="5" t="s">
        <v>68</v>
      </c>
      <c r="K341" s="15">
        <v>41698.574155092596</v>
      </c>
      <c r="L341" s="20">
        <f t="shared" si="15"/>
        <v>41698</v>
      </c>
      <c r="M341" t="str">
        <f t="shared" si="16"/>
        <v>02-2014</v>
      </c>
      <c r="N341">
        <f t="shared" si="17"/>
        <v>17.98</v>
      </c>
    </row>
    <row r="342" spans="3:14" x14ac:dyDescent="0.25">
      <c r="C342" t="str">
        <f>IF(COUNTBLANK(E342:K342) = 7,"",IF(AND(NOT(ISBLANK(E342)),COUNTBLANK(E342:K342) = 6),"3 Delete",IF(ISBLANK(E342),"2 Add",IF(SHA1Range(E342:K342) = "de9481a6f35a1bfee34e724b3aef0d4c260681c6","0 Original","1 Modify"))))</f>
        <v>0 Original</v>
      </c>
      <c r="D342" s="5" t="s">
        <v>2616</v>
      </c>
      <c r="E342" s="3">
        <v>1784</v>
      </c>
      <c r="F342" t="s">
        <v>1066</v>
      </c>
      <c r="G342" t="s">
        <v>600</v>
      </c>
      <c r="H342" s="9">
        <v>5.99</v>
      </c>
      <c r="I342" s="3">
        <v>1</v>
      </c>
      <c r="J342" s="5" t="s">
        <v>68</v>
      </c>
      <c r="K342" s="15">
        <v>41698.574155092596</v>
      </c>
      <c r="L342" s="20">
        <f t="shared" si="15"/>
        <v>41698</v>
      </c>
      <c r="M342" t="str">
        <f t="shared" si="16"/>
        <v>02-2014</v>
      </c>
      <c r="N342">
        <f t="shared" si="17"/>
        <v>5.99</v>
      </c>
    </row>
    <row r="343" spans="3:14" x14ac:dyDescent="0.25">
      <c r="C343" t="str">
        <f>IF(COUNTBLANK(E343:K343) = 7,"",IF(AND(NOT(ISBLANK(E343)),COUNTBLANK(E343:K343) = 6),"3 Delete",IF(ISBLANK(E343),"2 Add",IF(SHA1Range(E343:K343) = "82ff6bb0c2166f2e7f2714ef9647bcbb78967cb7","0 Original","1 Modify"))))</f>
        <v>0 Original</v>
      </c>
      <c r="D343" s="5" t="s">
        <v>2617</v>
      </c>
      <c r="E343" s="3">
        <v>1210</v>
      </c>
      <c r="F343" t="s">
        <v>1067</v>
      </c>
      <c r="G343" t="s">
        <v>671</v>
      </c>
      <c r="H343" s="9">
        <v>6.99</v>
      </c>
      <c r="I343" s="3">
        <v>1</v>
      </c>
      <c r="J343" s="5" t="s">
        <v>68</v>
      </c>
      <c r="K343" s="15">
        <v>41698.672129629631</v>
      </c>
      <c r="L343" s="20">
        <f t="shared" si="15"/>
        <v>41698</v>
      </c>
      <c r="M343" t="str">
        <f t="shared" si="16"/>
        <v>02-2014</v>
      </c>
      <c r="N343">
        <f t="shared" si="17"/>
        <v>6.99</v>
      </c>
    </row>
    <row r="344" spans="3:14" x14ac:dyDescent="0.25">
      <c r="C344" t="str">
        <f>IF(COUNTBLANK(E344:K344) = 7,"",IF(AND(NOT(ISBLANK(E344)),COUNTBLANK(E344:K344) = 6),"3 Delete",IF(ISBLANK(E344),"2 Add",IF(SHA1Range(E344:K344) = "6c20ee73659716a7875374c101a6969744ab2eaf","0 Original","1 Modify"))))</f>
        <v>0 Original</v>
      </c>
      <c r="D344" s="5" t="s">
        <v>2618</v>
      </c>
      <c r="E344" s="3">
        <v>1211</v>
      </c>
      <c r="F344" t="s">
        <v>1067</v>
      </c>
      <c r="G344" t="s">
        <v>842</v>
      </c>
      <c r="H344" s="9">
        <v>4.99</v>
      </c>
      <c r="I344" s="3">
        <v>1</v>
      </c>
      <c r="J344" s="5" t="s">
        <v>68</v>
      </c>
      <c r="K344" s="15">
        <v>41698.672129629631</v>
      </c>
      <c r="L344" s="20">
        <f t="shared" si="15"/>
        <v>41698</v>
      </c>
      <c r="M344" t="str">
        <f t="shared" si="16"/>
        <v>02-2014</v>
      </c>
      <c r="N344">
        <f t="shared" si="17"/>
        <v>4.99</v>
      </c>
    </row>
    <row r="345" spans="3:14" x14ac:dyDescent="0.25">
      <c r="C345" t="str">
        <f>IF(COUNTBLANK(E345:K345) = 7,"",IF(AND(NOT(ISBLANK(E345)),COUNTBLANK(E345:K345) = 6),"3 Delete",IF(ISBLANK(E345),"2 Add",IF(SHA1Range(E345:K345) = "77402375dfd0c1db4ace1b185536052613219ab1","0 Original","1 Modify"))))</f>
        <v>0 Original</v>
      </c>
      <c r="D345" s="5" t="s">
        <v>2619</v>
      </c>
      <c r="E345" s="3">
        <v>1212</v>
      </c>
      <c r="F345" t="s">
        <v>1067</v>
      </c>
      <c r="G345" t="s">
        <v>820</v>
      </c>
      <c r="H345" s="9">
        <v>9.99</v>
      </c>
      <c r="I345" s="3">
        <v>1</v>
      </c>
      <c r="J345" s="5" t="s">
        <v>68</v>
      </c>
      <c r="K345" s="15">
        <v>41698.672129629631</v>
      </c>
      <c r="L345" s="20">
        <f t="shared" si="15"/>
        <v>41698</v>
      </c>
      <c r="M345" t="str">
        <f t="shared" si="16"/>
        <v>02-2014</v>
      </c>
      <c r="N345">
        <f t="shared" si="17"/>
        <v>9.99</v>
      </c>
    </row>
    <row r="346" spans="3:14" x14ac:dyDescent="0.25">
      <c r="C346" t="str">
        <f>IF(COUNTBLANK(E346:K346) = 7,"",IF(AND(NOT(ISBLANK(E346)),COUNTBLANK(E346:K346) = 6),"3 Delete",IF(ISBLANK(E346),"2 Add",IF(SHA1Range(E346:K346) = "f1dfe071036dc1abeb13815de062c4297b709670","0 Original","1 Modify"))))</f>
        <v>0 Original</v>
      </c>
      <c r="D346" s="5" t="s">
        <v>2620</v>
      </c>
      <c r="E346" s="3">
        <v>3014</v>
      </c>
      <c r="F346" t="s">
        <v>1068</v>
      </c>
      <c r="G346" t="s">
        <v>749</v>
      </c>
      <c r="H346" s="9">
        <v>5.99</v>
      </c>
      <c r="I346" s="3">
        <v>2</v>
      </c>
      <c r="J346" s="5" t="s">
        <v>68</v>
      </c>
      <c r="K346" s="15">
        <v>41699.33803240741</v>
      </c>
      <c r="L346" s="20">
        <f t="shared" si="15"/>
        <v>41699</v>
      </c>
      <c r="M346" t="str">
        <f t="shared" si="16"/>
        <v>03-2014</v>
      </c>
      <c r="N346">
        <f t="shared" si="17"/>
        <v>11.98</v>
      </c>
    </row>
    <row r="347" spans="3:14" x14ac:dyDescent="0.25">
      <c r="C347" t="str">
        <f>IF(COUNTBLANK(E347:K347) = 7,"",IF(AND(NOT(ISBLANK(E347)),COUNTBLANK(E347:K347) = 6),"3 Delete",IF(ISBLANK(E347),"2 Add",IF(SHA1Range(E347:K347) = "95649c6a551ee8e67bbb7bb90a7e743796b3fc30","0 Original","1 Modify"))))</f>
        <v>0 Original</v>
      </c>
      <c r="D347" s="5" t="s">
        <v>2621</v>
      </c>
      <c r="E347" s="3">
        <v>3015</v>
      </c>
      <c r="F347" t="s">
        <v>1068</v>
      </c>
      <c r="G347" t="s">
        <v>400</v>
      </c>
      <c r="H347" s="9">
        <v>4.99</v>
      </c>
      <c r="I347" s="3">
        <v>1</v>
      </c>
      <c r="J347" s="5" t="s">
        <v>68</v>
      </c>
      <c r="K347" s="15">
        <v>41699.33803240741</v>
      </c>
      <c r="L347" s="20">
        <f t="shared" si="15"/>
        <v>41699</v>
      </c>
      <c r="M347" t="str">
        <f t="shared" si="16"/>
        <v>03-2014</v>
      </c>
      <c r="N347">
        <f t="shared" si="17"/>
        <v>4.99</v>
      </c>
    </row>
    <row r="348" spans="3:14" x14ac:dyDescent="0.25">
      <c r="C348" t="str">
        <f>IF(COUNTBLANK(E348:K348) = 7,"",IF(AND(NOT(ISBLANK(E348)),COUNTBLANK(E348:K348) = 6),"3 Delete",IF(ISBLANK(E348),"2 Add",IF(SHA1Range(E348:K348) = "8acb8bbcf9edf8b6d626124fa98e46d6b80335b3","0 Original","1 Modify"))))</f>
        <v>0 Original</v>
      </c>
      <c r="D348" s="5" t="s">
        <v>2622</v>
      </c>
      <c r="E348" s="3">
        <v>3016</v>
      </c>
      <c r="F348" t="s">
        <v>1068</v>
      </c>
      <c r="G348" t="s">
        <v>749</v>
      </c>
      <c r="H348" s="9">
        <v>5.99</v>
      </c>
      <c r="I348" s="3">
        <v>1</v>
      </c>
      <c r="J348" s="5" t="s">
        <v>68</v>
      </c>
      <c r="K348" s="15">
        <v>41699.33803240741</v>
      </c>
      <c r="L348" s="20">
        <f t="shared" si="15"/>
        <v>41699</v>
      </c>
      <c r="M348" t="str">
        <f t="shared" si="16"/>
        <v>03-2014</v>
      </c>
      <c r="N348">
        <f t="shared" si="17"/>
        <v>5.99</v>
      </c>
    </row>
    <row r="349" spans="3:14" x14ac:dyDescent="0.25">
      <c r="C349" t="str">
        <f>IF(COUNTBLANK(E349:K349) = 7,"",IF(AND(NOT(ISBLANK(E349)),COUNTBLANK(E349:K349) = 6),"3 Delete",IF(ISBLANK(E349),"2 Add",IF(SHA1Range(E349:K349) = "f53da800d2fedc7b4037e2bb80146a5f432055d9","0 Original","1 Modify"))))</f>
        <v>0 Original</v>
      </c>
      <c r="D349" s="5" t="s">
        <v>2623</v>
      </c>
      <c r="E349" s="3">
        <v>3017</v>
      </c>
      <c r="F349" t="s">
        <v>1068</v>
      </c>
      <c r="G349" t="s">
        <v>552</v>
      </c>
      <c r="H349" s="9">
        <v>6.99</v>
      </c>
      <c r="I349" s="3">
        <v>1</v>
      </c>
      <c r="J349" s="5" t="s">
        <v>68</v>
      </c>
      <c r="K349" s="15">
        <v>41699.33803240741</v>
      </c>
      <c r="L349" s="20">
        <f t="shared" si="15"/>
        <v>41699</v>
      </c>
      <c r="M349" t="str">
        <f t="shared" si="16"/>
        <v>03-2014</v>
      </c>
      <c r="N349">
        <f t="shared" si="17"/>
        <v>6.99</v>
      </c>
    </row>
    <row r="350" spans="3:14" x14ac:dyDescent="0.25">
      <c r="C350" t="str">
        <f>IF(COUNTBLANK(E350:K350) = 7,"",IF(AND(NOT(ISBLANK(E350)),COUNTBLANK(E350:K350) = 6),"3 Delete",IF(ISBLANK(E350),"2 Add",IF(SHA1Range(E350:K350) = "56a8c2049e5df09ec51de607158a28adb8486de9","0 Original","1 Modify"))))</f>
        <v>0 Original</v>
      </c>
      <c r="D350" s="5" t="s">
        <v>2624</v>
      </c>
      <c r="E350" s="3">
        <v>3018</v>
      </c>
      <c r="F350" t="s">
        <v>1068</v>
      </c>
      <c r="G350" t="s">
        <v>642</v>
      </c>
      <c r="H350" s="9">
        <v>9.99</v>
      </c>
      <c r="I350" s="3">
        <v>1</v>
      </c>
      <c r="J350" s="5" t="s">
        <v>68</v>
      </c>
      <c r="K350" s="15">
        <v>41699.33803240741</v>
      </c>
      <c r="L350" s="20">
        <f t="shared" si="15"/>
        <v>41699</v>
      </c>
      <c r="M350" t="str">
        <f t="shared" si="16"/>
        <v>03-2014</v>
      </c>
      <c r="N350">
        <f t="shared" si="17"/>
        <v>9.99</v>
      </c>
    </row>
    <row r="351" spans="3:14" x14ac:dyDescent="0.25">
      <c r="C351" t="str">
        <f>IF(COUNTBLANK(E351:K351) = 7,"",IF(AND(NOT(ISBLANK(E351)),COUNTBLANK(E351:K351) = 6),"3 Delete",IF(ISBLANK(E351),"2 Add",IF(SHA1Range(E351:K351) = "07f06fc3707ad4e40e6a2fe87c4713c9209b5470","0 Original","1 Modify"))))</f>
        <v>0 Original</v>
      </c>
      <c r="D351" s="5" t="s">
        <v>2625</v>
      </c>
      <c r="E351" s="3">
        <v>245</v>
      </c>
      <c r="F351" t="s">
        <v>1069</v>
      </c>
      <c r="G351" t="s">
        <v>746</v>
      </c>
      <c r="H351" s="9">
        <v>7.99</v>
      </c>
      <c r="I351" s="3">
        <v>1</v>
      </c>
      <c r="J351" s="5" t="s">
        <v>68</v>
      </c>
      <c r="K351" s="15">
        <v>41702.374247685184</v>
      </c>
      <c r="L351" s="20">
        <f t="shared" si="15"/>
        <v>41702</v>
      </c>
      <c r="M351" t="str">
        <f t="shared" si="16"/>
        <v>03-2014</v>
      </c>
      <c r="N351">
        <f t="shared" si="17"/>
        <v>7.99</v>
      </c>
    </row>
    <row r="352" spans="3:14" x14ac:dyDescent="0.25">
      <c r="C352" t="str">
        <f>IF(COUNTBLANK(E352:K352) = 7,"",IF(AND(NOT(ISBLANK(E352)),COUNTBLANK(E352:K352) = 6),"3 Delete",IF(ISBLANK(E352),"2 Add",IF(SHA1Range(E352:K352) = "a8335fdfdb312632303c742b9daf308f685fecf0","0 Original","1 Modify"))))</f>
        <v>0 Original</v>
      </c>
      <c r="D352" s="5" t="s">
        <v>2626</v>
      </c>
      <c r="E352" s="3">
        <v>246</v>
      </c>
      <c r="F352" t="s">
        <v>1069</v>
      </c>
      <c r="G352" t="s">
        <v>503</v>
      </c>
      <c r="H352" s="9">
        <v>9.99</v>
      </c>
      <c r="I352" s="3">
        <v>2</v>
      </c>
      <c r="J352" s="5" t="s">
        <v>68</v>
      </c>
      <c r="K352" s="15">
        <v>41702.374247685184</v>
      </c>
      <c r="L352" s="20">
        <f t="shared" si="15"/>
        <v>41702</v>
      </c>
      <c r="M352" t="str">
        <f t="shared" si="16"/>
        <v>03-2014</v>
      </c>
      <c r="N352">
        <f t="shared" si="17"/>
        <v>19.98</v>
      </c>
    </row>
    <row r="353" spans="3:14" x14ac:dyDescent="0.25">
      <c r="C353" t="str">
        <f>IF(COUNTBLANK(E353:K353) = 7,"",IF(AND(NOT(ISBLANK(E353)),COUNTBLANK(E353:K353) = 6),"3 Delete",IF(ISBLANK(E353),"2 Add",IF(SHA1Range(E353:K353) = "4044d3cf545ed492343afcef6fffd1208d804097","0 Original","1 Modify"))))</f>
        <v>0 Original</v>
      </c>
      <c r="D353" s="5" t="s">
        <v>2627</v>
      </c>
      <c r="E353" s="3">
        <v>247</v>
      </c>
      <c r="F353" t="s">
        <v>1069</v>
      </c>
      <c r="G353" t="s">
        <v>479</v>
      </c>
      <c r="H353" s="9">
        <v>6.99</v>
      </c>
      <c r="I353" s="3">
        <v>2</v>
      </c>
      <c r="J353" s="5" t="s">
        <v>68</v>
      </c>
      <c r="K353" s="15">
        <v>41702.374247685184</v>
      </c>
      <c r="L353" s="20">
        <f t="shared" si="15"/>
        <v>41702</v>
      </c>
      <c r="M353" t="str">
        <f t="shared" si="16"/>
        <v>03-2014</v>
      </c>
      <c r="N353">
        <f t="shared" si="17"/>
        <v>13.98</v>
      </c>
    </row>
    <row r="354" spans="3:14" x14ac:dyDescent="0.25">
      <c r="C354" t="str">
        <f>IF(COUNTBLANK(E354:K354) = 7,"",IF(AND(NOT(ISBLANK(E354)),COUNTBLANK(E354:K354) = 6),"3 Delete",IF(ISBLANK(E354),"2 Add",IF(SHA1Range(E354:K354) = "fd62179fed14c8a9517ebaf54e6ca363c60a3f32","0 Original","1 Modify"))))</f>
        <v>0 Original</v>
      </c>
      <c r="D354" s="5" t="s">
        <v>2628</v>
      </c>
      <c r="E354" s="3">
        <v>3942</v>
      </c>
      <c r="F354" t="s">
        <v>1070</v>
      </c>
      <c r="G354" t="s">
        <v>400</v>
      </c>
      <c r="H354" s="9">
        <v>4.99</v>
      </c>
      <c r="I354" s="3">
        <v>2</v>
      </c>
      <c r="J354" s="5" t="s">
        <v>68</v>
      </c>
      <c r="K354" s="15">
        <v>41703.113067129627</v>
      </c>
      <c r="L354" s="20">
        <f t="shared" si="15"/>
        <v>41703</v>
      </c>
      <c r="M354" t="str">
        <f t="shared" si="16"/>
        <v>03-2014</v>
      </c>
      <c r="N354">
        <f t="shared" si="17"/>
        <v>9.98</v>
      </c>
    </row>
    <row r="355" spans="3:14" x14ac:dyDescent="0.25">
      <c r="C355" t="str">
        <f>IF(COUNTBLANK(E355:K355) = 7,"",IF(AND(NOT(ISBLANK(E355)),COUNTBLANK(E355:K355) = 6),"3 Delete",IF(ISBLANK(E355),"2 Add",IF(SHA1Range(E355:K355) = "59140e32fd3ff2915464d2e73e0e7ebb44f0c9e1","0 Original","1 Modify"))))</f>
        <v>0 Original</v>
      </c>
      <c r="D355" s="5" t="s">
        <v>2629</v>
      </c>
      <c r="E355" s="3">
        <v>141</v>
      </c>
      <c r="F355" t="s">
        <v>1071</v>
      </c>
      <c r="G355" t="s">
        <v>817</v>
      </c>
      <c r="H355" s="9">
        <v>5.99</v>
      </c>
      <c r="I355" s="3">
        <v>2</v>
      </c>
      <c r="J355" s="5" t="s">
        <v>68</v>
      </c>
      <c r="K355" s="15">
        <v>41703.663472222222</v>
      </c>
      <c r="L355" s="20">
        <f t="shared" si="15"/>
        <v>41703</v>
      </c>
      <c r="M355" t="str">
        <f t="shared" si="16"/>
        <v>03-2014</v>
      </c>
      <c r="N355">
        <f t="shared" si="17"/>
        <v>11.98</v>
      </c>
    </row>
    <row r="356" spans="3:14" x14ac:dyDescent="0.25">
      <c r="C356" t="str">
        <f>IF(COUNTBLANK(E356:K356) = 7,"",IF(AND(NOT(ISBLANK(E356)),COUNTBLANK(E356:K356) = 6),"3 Delete",IF(ISBLANK(E356),"2 Add",IF(SHA1Range(E356:K356) = "8da5d20ab62cd3ccf3cc9f885bb2cf5e53b3e2fe","0 Original","1 Modify"))))</f>
        <v>0 Original</v>
      </c>
      <c r="D356" s="5" t="s">
        <v>2630</v>
      </c>
      <c r="E356" s="3">
        <v>142</v>
      </c>
      <c r="F356" t="s">
        <v>1071</v>
      </c>
      <c r="G356" t="s">
        <v>482</v>
      </c>
      <c r="H356" s="9">
        <v>8.99</v>
      </c>
      <c r="I356" s="3">
        <v>1</v>
      </c>
      <c r="J356" s="5" t="s">
        <v>68</v>
      </c>
      <c r="K356" s="15">
        <v>41703.663472222222</v>
      </c>
      <c r="L356" s="20">
        <f t="shared" si="15"/>
        <v>41703</v>
      </c>
      <c r="M356" t="str">
        <f t="shared" si="16"/>
        <v>03-2014</v>
      </c>
      <c r="N356">
        <f t="shared" si="17"/>
        <v>8.99</v>
      </c>
    </row>
    <row r="357" spans="3:14" x14ac:dyDescent="0.25">
      <c r="C357" t="str">
        <f>IF(COUNTBLANK(E357:K357) = 7,"",IF(AND(NOT(ISBLANK(E357)),COUNTBLANK(E357:K357) = 6),"3 Delete",IF(ISBLANK(E357),"2 Add",IF(SHA1Range(E357:K357) = "00907c30a7791b7f875e1828ffb6bcf30289e4bc","0 Original","1 Modify"))))</f>
        <v>0 Original</v>
      </c>
      <c r="D357" s="5" t="s">
        <v>2631</v>
      </c>
      <c r="E357" s="3">
        <v>143</v>
      </c>
      <c r="F357" t="s">
        <v>1071</v>
      </c>
      <c r="G357" t="s">
        <v>729</v>
      </c>
      <c r="H357" s="9">
        <v>8.99</v>
      </c>
      <c r="I357" s="3">
        <v>1</v>
      </c>
      <c r="J357" s="5" t="s">
        <v>68</v>
      </c>
      <c r="K357" s="15">
        <v>41703.663472222222</v>
      </c>
      <c r="L357" s="20">
        <f t="shared" si="15"/>
        <v>41703</v>
      </c>
      <c r="M357" t="str">
        <f t="shared" si="16"/>
        <v>03-2014</v>
      </c>
      <c r="N357">
        <f t="shared" si="17"/>
        <v>8.99</v>
      </c>
    </row>
    <row r="358" spans="3:14" x14ac:dyDescent="0.25">
      <c r="C358" t="str">
        <f>IF(COUNTBLANK(E358:K358) = 7,"",IF(AND(NOT(ISBLANK(E358)),COUNTBLANK(E358:K358) = 6),"3 Delete",IF(ISBLANK(E358),"2 Add",IF(SHA1Range(E358:K358) = "9cb2d25ddf1706eb92c78226e78d26d057aa8ad7","0 Original","1 Modify"))))</f>
        <v>0 Original</v>
      </c>
      <c r="D358" s="5" t="s">
        <v>2632</v>
      </c>
      <c r="E358" s="3">
        <v>144</v>
      </c>
      <c r="F358" t="s">
        <v>1071</v>
      </c>
      <c r="G358" t="s">
        <v>416</v>
      </c>
      <c r="H358" s="9">
        <v>7.99</v>
      </c>
      <c r="I358" s="3">
        <v>1</v>
      </c>
      <c r="J358" s="5" t="s">
        <v>68</v>
      </c>
      <c r="K358" s="15">
        <v>41703.663472222222</v>
      </c>
      <c r="L358" s="20">
        <f t="shared" si="15"/>
        <v>41703</v>
      </c>
      <c r="M358" t="str">
        <f t="shared" si="16"/>
        <v>03-2014</v>
      </c>
      <c r="N358">
        <f t="shared" si="17"/>
        <v>7.99</v>
      </c>
    </row>
    <row r="359" spans="3:14" x14ac:dyDescent="0.25">
      <c r="C359" t="str">
        <f>IF(COUNTBLANK(E359:K359) = 7,"",IF(AND(NOT(ISBLANK(E359)),COUNTBLANK(E359:K359) = 6),"3 Delete",IF(ISBLANK(E359),"2 Add",IF(SHA1Range(E359:K359) = "feddae3aaf3b0ada28bef63bbdebe07e1be9a7ab","0 Original","1 Modify"))))</f>
        <v>0 Original</v>
      </c>
      <c r="D359" s="5" t="s">
        <v>2633</v>
      </c>
      <c r="E359" s="3">
        <v>145</v>
      </c>
      <c r="F359" t="s">
        <v>1071</v>
      </c>
      <c r="G359" t="s">
        <v>799</v>
      </c>
      <c r="H359" s="9">
        <v>7.99</v>
      </c>
      <c r="I359" s="3">
        <v>2</v>
      </c>
      <c r="J359" s="5" t="s">
        <v>68</v>
      </c>
      <c r="K359" s="15">
        <v>41703.663472222222</v>
      </c>
      <c r="L359" s="20">
        <f t="shared" si="15"/>
        <v>41703</v>
      </c>
      <c r="M359" t="str">
        <f t="shared" si="16"/>
        <v>03-2014</v>
      </c>
      <c r="N359">
        <f t="shared" si="17"/>
        <v>15.98</v>
      </c>
    </row>
    <row r="360" spans="3:14" x14ac:dyDescent="0.25">
      <c r="C360" t="str">
        <f>IF(COUNTBLANK(E360:K360) = 7,"",IF(AND(NOT(ISBLANK(E360)),COUNTBLANK(E360:K360) = 6),"3 Delete",IF(ISBLANK(E360),"2 Add",IF(SHA1Range(E360:K360) = "a9f277d8c54c0e1fde69f40458a1e4d4ca4a6c33","0 Original","1 Modify"))))</f>
        <v>0 Original</v>
      </c>
      <c r="D360" s="5" t="s">
        <v>2634</v>
      </c>
      <c r="E360" s="3">
        <v>3041</v>
      </c>
      <c r="F360" t="s">
        <v>1072</v>
      </c>
      <c r="G360" t="s">
        <v>552</v>
      </c>
      <c r="H360" s="9">
        <v>6.99</v>
      </c>
      <c r="I360" s="3">
        <v>1</v>
      </c>
      <c r="J360" s="5" t="s">
        <v>68</v>
      </c>
      <c r="K360" s="15">
        <v>41707.917546296296</v>
      </c>
      <c r="L360" s="20">
        <f t="shared" si="15"/>
        <v>41707</v>
      </c>
      <c r="M360" t="str">
        <f t="shared" si="16"/>
        <v>03-2014</v>
      </c>
      <c r="N360">
        <f t="shared" si="17"/>
        <v>6.99</v>
      </c>
    </row>
    <row r="361" spans="3:14" x14ac:dyDescent="0.25">
      <c r="C361" t="str">
        <f>IF(COUNTBLANK(E361:K361) = 7,"",IF(AND(NOT(ISBLANK(E361)),COUNTBLANK(E361:K361) = 6),"3 Delete",IF(ISBLANK(E361),"2 Add",IF(SHA1Range(E361:K361) = "75bf1516f9e5d2976a0e67d0a3b796b024a8ef9a","0 Original","1 Modify"))))</f>
        <v>0 Original</v>
      </c>
      <c r="D361" s="5" t="s">
        <v>2635</v>
      </c>
      <c r="E361" s="3">
        <v>3042</v>
      </c>
      <c r="F361" t="s">
        <v>1072</v>
      </c>
      <c r="G361" t="s">
        <v>687</v>
      </c>
      <c r="H361" s="9">
        <v>9.99</v>
      </c>
      <c r="I361" s="3">
        <v>1</v>
      </c>
      <c r="J361" s="5" t="s">
        <v>68</v>
      </c>
      <c r="K361" s="15">
        <v>41707.917546296296</v>
      </c>
      <c r="L361" s="20">
        <f t="shared" si="15"/>
        <v>41707</v>
      </c>
      <c r="M361" t="str">
        <f t="shared" si="16"/>
        <v>03-2014</v>
      </c>
      <c r="N361">
        <f t="shared" si="17"/>
        <v>9.99</v>
      </c>
    </row>
    <row r="362" spans="3:14" x14ac:dyDescent="0.25">
      <c r="C362" t="str">
        <f>IF(COUNTBLANK(E362:K362) = 7,"",IF(AND(NOT(ISBLANK(E362)),COUNTBLANK(E362:K362) = 6),"3 Delete",IF(ISBLANK(E362),"2 Add",IF(SHA1Range(E362:K362) = "d7cc1ffdfa808bd1c71b834e7a19ee57103e105d","0 Original","1 Modify"))))</f>
        <v>0 Original</v>
      </c>
      <c r="D362" s="5" t="s">
        <v>2636</v>
      </c>
      <c r="E362" s="3">
        <v>2891</v>
      </c>
      <c r="F362" t="s">
        <v>1073</v>
      </c>
      <c r="G362" t="s">
        <v>552</v>
      </c>
      <c r="H362" s="9">
        <v>6.99</v>
      </c>
      <c r="I362" s="3">
        <v>1</v>
      </c>
      <c r="J362" s="5" t="s">
        <v>68</v>
      </c>
      <c r="K362" s="15">
        <v>41707.938715277778</v>
      </c>
      <c r="L362" s="20">
        <f t="shared" si="15"/>
        <v>41707</v>
      </c>
      <c r="M362" t="str">
        <f t="shared" si="16"/>
        <v>03-2014</v>
      </c>
      <c r="N362">
        <f t="shared" si="17"/>
        <v>6.99</v>
      </c>
    </row>
    <row r="363" spans="3:14" x14ac:dyDescent="0.25">
      <c r="C363" t="str">
        <f>IF(COUNTBLANK(E363:K363) = 7,"",IF(AND(NOT(ISBLANK(E363)),COUNTBLANK(E363:K363) = 6),"3 Delete",IF(ISBLANK(E363),"2 Add",IF(SHA1Range(E363:K363) = "d7e732a0061fe0dbb1cf2e41724ec28152addd80","0 Original","1 Modify"))))</f>
        <v>0 Original</v>
      </c>
      <c r="D363" s="5" t="s">
        <v>2637</v>
      </c>
      <c r="E363" s="3">
        <v>2892</v>
      </c>
      <c r="F363" t="s">
        <v>1073</v>
      </c>
      <c r="G363" t="s">
        <v>749</v>
      </c>
      <c r="H363" s="9">
        <v>5.99</v>
      </c>
      <c r="I363" s="3">
        <v>2</v>
      </c>
      <c r="J363" s="5" t="s">
        <v>68</v>
      </c>
      <c r="K363" s="15">
        <v>41707.938715277778</v>
      </c>
      <c r="L363" s="20">
        <f t="shared" si="15"/>
        <v>41707</v>
      </c>
      <c r="M363" t="str">
        <f t="shared" si="16"/>
        <v>03-2014</v>
      </c>
      <c r="N363">
        <f t="shared" si="17"/>
        <v>11.98</v>
      </c>
    </row>
    <row r="364" spans="3:14" x14ac:dyDescent="0.25">
      <c r="C364" t="str">
        <f>IF(COUNTBLANK(E364:K364) = 7,"",IF(AND(NOT(ISBLANK(E364)),COUNTBLANK(E364:K364) = 6),"3 Delete",IF(ISBLANK(E364),"2 Add",IF(SHA1Range(E364:K364) = "dea2071ff5c26108d5e7cb65b36a54bdec171162","0 Original","1 Modify"))))</f>
        <v>0 Original</v>
      </c>
      <c r="D364" s="5" t="s">
        <v>2638</v>
      </c>
      <c r="E364" s="3">
        <v>2893</v>
      </c>
      <c r="F364" t="s">
        <v>1073</v>
      </c>
      <c r="G364" t="s">
        <v>400</v>
      </c>
      <c r="H364" s="9">
        <v>4.99</v>
      </c>
      <c r="I364" s="3">
        <v>1</v>
      </c>
      <c r="J364" s="5" t="s">
        <v>68</v>
      </c>
      <c r="K364" s="15">
        <v>41707.938715277778</v>
      </c>
      <c r="L364" s="20">
        <f t="shared" si="15"/>
        <v>41707</v>
      </c>
      <c r="M364" t="str">
        <f t="shared" si="16"/>
        <v>03-2014</v>
      </c>
      <c r="N364">
        <f t="shared" si="17"/>
        <v>4.99</v>
      </c>
    </row>
    <row r="365" spans="3:14" x14ac:dyDescent="0.25">
      <c r="C365" t="str">
        <f>IF(COUNTBLANK(E365:K365) = 7,"",IF(AND(NOT(ISBLANK(E365)),COUNTBLANK(E365:K365) = 6),"3 Delete",IF(ISBLANK(E365),"2 Add",IF(SHA1Range(E365:K365) = "fe81b436e40606c07b8b811f1faa4ecf282e154c","0 Original","1 Modify"))))</f>
        <v>0 Original</v>
      </c>
      <c r="D365" s="5" t="s">
        <v>2639</v>
      </c>
      <c r="E365" s="3">
        <v>2894</v>
      </c>
      <c r="F365" t="s">
        <v>1073</v>
      </c>
      <c r="G365" t="s">
        <v>579</v>
      </c>
      <c r="H365" s="9">
        <v>9.99</v>
      </c>
      <c r="I365" s="3">
        <v>1</v>
      </c>
      <c r="J365" s="5" t="s">
        <v>68</v>
      </c>
      <c r="K365" s="15">
        <v>41707.938715277778</v>
      </c>
      <c r="L365" s="20">
        <f t="shared" si="15"/>
        <v>41707</v>
      </c>
      <c r="M365" t="str">
        <f t="shared" si="16"/>
        <v>03-2014</v>
      </c>
      <c r="N365">
        <f t="shared" si="17"/>
        <v>9.99</v>
      </c>
    </row>
    <row r="366" spans="3:14" x14ac:dyDescent="0.25">
      <c r="C366" t="str">
        <f>IF(COUNTBLANK(E366:K366) = 7,"",IF(AND(NOT(ISBLANK(E366)),COUNTBLANK(E366:K366) = 6),"3 Delete",IF(ISBLANK(E366),"2 Add",IF(SHA1Range(E366:K366) = "1a78a5fc2fdfe32e8e06e3a6d557915acf056076","0 Original","1 Modify"))))</f>
        <v>0 Original</v>
      </c>
      <c r="D366" s="5" t="s">
        <v>2640</v>
      </c>
      <c r="E366" s="3">
        <v>1800</v>
      </c>
      <c r="F366" t="s">
        <v>1074</v>
      </c>
      <c r="G366" t="s">
        <v>942</v>
      </c>
      <c r="H366" s="9">
        <v>6.99</v>
      </c>
      <c r="I366" s="3">
        <v>1</v>
      </c>
      <c r="J366" s="5" t="s">
        <v>68</v>
      </c>
      <c r="K366" s="15">
        <v>41709.208703703705</v>
      </c>
      <c r="L366" s="20">
        <f t="shared" si="15"/>
        <v>41709</v>
      </c>
      <c r="M366" t="str">
        <f t="shared" si="16"/>
        <v>03-2014</v>
      </c>
      <c r="N366">
        <f t="shared" si="17"/>
        <v>6.99</v>
      </c>
    </row>
    <row r="367" spans="3:14" x14ac:dyDescent="0.25">
      <c r="C367" t="str">
        <f>IF(COUNTBLANK(E367:K367) = 7,"",IF(AND(NOT(ISBLANK(E367)),COUNTBLANK(E367:K367) = 6),"3 Delete",IF(ISBLANK(E367),"2 Add",IF(SHA1Range(E367:K367) = "3f34cfa339c94c47a281abfa243a4cc50ea95d14","0 Original","1 Modify"))))</f>
        <v>0 Original</v>
      </c>
      <c r="D367" s="5" t="s">
        <v>2641</v>
      </c>
      <c r="E367" s="3">
        <v>1801</v>
      </c>
      <c r="F367" t="s">
        <v>1074</v>
      </c>
      <c r="G367" t="s">
        <v>820</v>
      </c>
      <c r="H367" s="9">
        <v>9.99</v>
      </c>
      <c r="I367" s="3">
        <v>1</v>
      </c>
      <c r="J367" s="5" t="s">
        <v>68</v>
      </c>
      <c r="K367" s="15">
        <v>41709.208703703705</v>
      </c>
      <c r="L367" s="20">
        <f t="shared" si="15"/>
        <v>41709</v>
      </c>
      <c r="M367" t="str">
        <f t="shared" si="16"/>
        <v>03-2014</v>
      </c>
      <c r="N367">
        <f t="shared" si="17"/>
        <v>9.99</v>
      </c>
    </row>
    <row r="368" spans="3:14" x14ac:dyDescent="0.25">
      <c r="C368" t="str">
        <f>IF(COUNTBLANK(E368:K368) = 7,"",IF(AND(NOT(ISBLANK(E368)),COUNTBLANK(E368:K368) = 6),"3 Delete",IF(ISBLANK(E368),"2 Add",IF(SHA1Range(E368:K368) = "f8f9b52ed403d54ed2959f8a0e42e58248ef058a","0 Original","1 Modify"))))</f>
        <v>0 Original</v>
      </c>
      <c r="D368" s="5" t="s">
        <v>2642</v>
      </c>
      <c r="E368" s="3">
        <v>1802</v>
      </c>
      <c r="F368" t="s">
        <v>1074</v>
      </c>
      <c r="G368" t="s">
        <v>600</v>
      </c>
      <c r="H368" s="9">
        <v>5.99</v>
      </c>
      <c r="I368" s="3">
        <v>1</v>
      </c>
      <c r="J368" s="5" t="s">
        <v>68</v>
      </c>
      <c r="K368" s="15">
        <v>41709.208703703705</v>
      </c>
      <c r="L368" s="20">
        <f t="shared" si="15"/>
        <v>41709</v>
      </c>
      <c r="M368" t="str">
        <f t="shared" si="16"/>
        <v>03-2014</v>
      </c>
      <c r="N368">
        <f t="shared" si="17"/>
        <v>5.99</v>
      </c>
    </row>
    <row r="369" spans="3:14" x14ac:dyDescent="0.25">
      <c r="C369" t="str">
        <f>IF(COUNTBLANK(E369:K369) = 7,"",IF(AND(NOT(ISBLANK(E369)),COUNTBLANK(E369:K369) = 6),"3 Delete",IF(ISBLANK(E369),"2 Add",IF(SHA1Range(E369:K369) = "dd53272be1d70d46a25fa818fbc87d8daf5934b7","0 Original","1 Modify"))))</f>
        <v>0 Original</v>
      </c>
      <c r="D369" s="5" t="s">
        <v>2643</v>
      </c>
      <c r="E369" s="3">
        <v>3212</v>
      </c>
      <c r="F369" t="s">
        <v>1075</v>
      </c>
      <c r="G369" t="s">
        <v>373</v>
      </c>
      <c r="H369" s="9">
        <v>7.99</v>
      </c>
      <c r="I369" s="3">
        <v>1</v>
      </c>
      <c r="J369" s="5" t="s">
        <v>68</v>
      </c>
      <c r="K369" s="15">
        <v>41709.576377314814</v>
      </c>
      <c r="L369" s="20">
        <f t="shared" si="15"/>
        <v>41709</v>
      </c>
      <c r="M369" t="str">
        <f t="shared" si="16"/>
        <v>03-2014</v>
      </c>
      <c r="N369">
        <f t="shared" si="17"/>
        <v>7.99</v>
      </c>
    </row>
    <row r="370" spans="3:14" x14ac:dyDescent="0.25">
      <c r="C370" t="str">
        <f>IF(COUNTBLANK(E370:K370) = 7,"",IF(AND(NOT(ISBLANK(E370)),COUNTBLANK(E370:K370) = 6),"3 Delete",IF(ISBLANK(E370),"2 Add",IF(SHA1Range(E370:K370) = "2c5563ee0f211765cf89a67b382088c71be018f2","0 Original","1 Modify"))))</f>
        <v>0 Original</v>
      </c>
      <c r="D370" s="5" t="s">
        <v>2644</v>
      </c>
      <c r="E370" s="3">
        <v>3213</v>
      </c>
      <c r="F370" t="s">
        <v>1075</v>
      </c>
      <c r="G370" t="s">
        <v>642</v>
      </c>
      <c r="H370" s="9">
        <v>9.99</v>
      </c>
      <c r="I370" s="3">
        <v>1</v>
      </c>
      <c r="J370" s="5" t="s">
        <v>68</v>
      </c>
      <c r="K370" s="15">
        <v>41709.576377314814</v>
      </c>
      <c r="L370" s="20">
        <f t="shared" si="15"/>
        <v>41709</v>
      </c>
      <c r="M370" t="str">
        <f t="shared" si="16"/>
        <v>03-2014</v>
      </c>
      <c r="N370">
        <f t="shared" si="17"/>
        <v>9.99</v>
      </c>
    </row>
    <row r="371" spans="3:14" x14ac:dyDescent="0.25">
      <c r="C371" t="str">
        <f>IF(COUNTBLANK(E371:K371) = 7,"",IF(AND(NOT(ISBLANK(E371)),COUNTBLANK(E371:K371) = 6),"3 Delete",IF(ISBLANK(E371),"2 Add",IF(SHA1Range(E371:K371) = "05966fb56be38912c5a1037e136763fccdee007c","0 Original","1 Modify"))))</f>
        <v>0 Original</v>
      </c>
      <c r="D371" s="5" t="s">
        <v>2645</v>
      </c>
      <c r="E371" s="3">
        <v>3214</v>
      </c>
      <c r="F371" t="s">
        <v>1075</v>
      </c>
      <c r="G371" t="s">
        <v>400</v>
      </c>
      <c r="H371" s="9">
        <v>4.99</v>
      </c>
      <c r="I371" s="3">
        <v>1</v>
      </c>
      <c r="J371" s="5" t="s">
        <v>68</v>
      </c>
      <c r="K371" s="15">
        <v>41709.576377314814</v>
      </c>
      <c r="L371" s="20">
        <f t="shared" si="15"/>
        <v>41709</v>
      </c>
      <c r="M371" t="str">
        <f t="shared" si="16"/>
        <v>03-2014</v>
      </c>
      <c r="N371">
        <f t="shared" si="17"/>
        <v>4.99</v>
      </c>
    </row>
    <row r="372" spans="3:14" x14ac:dyDescent="0.25">
      <c r="C372" t="str">
        <f>IF(COUNTBLANK(E372:K372) = 7,"",IF(AND(NOT(ISBLANK(E372)),COUNTBLANK(E372:K372) = 6),"3 Delete",IF(ISBLANK(E372),"2 Add",IF(SHA1Range(E372:K372) = "78ea95f4073a05b611e78fed474ba6d7323863a6","0 Original","1 Modify"))))</f>
        <v>0 Original</v>
      </c>
      <c r="D372" s="5" t="s">
        <v>2646</v>
      </c>
      <c r="E372" s="3">
        <v>3215</v>
      </c>
      <c r="F372" t="s">
        <v>1075</v>
      </c>
      <c r="G372" t="s">
        <v>552</v>
      </c>
      <c r="H372" s="9">
        <v>6.99</v>
      </c>
      <c r="I372" s="3">
        <v>2</v>
      </c>
      <c r="J372" s="5" t="s">
        <v>68</v>
      </c>
      <c r="K372" s="15">
        <v>41709.576377314814</v>
      </c>
      <c r="L372" s="20">
        <f t="shared" si="15"/>
        <v>41709</v>
      </c>
      <c r="M372" t="str">
        <f t="shared" si="16"/>
        <v>03-2014</v>
      </c>
      <c r="N372">
        <f t="shared" si="17"/>
        <v>13.98</v>
      </c>
    </row>
    <row r="373" spans="3:14" x14ac:dyDescent="0.25">
      <c r="C373" t="str">
        <f>IF(COUNTBLANK(E373:K373) = 7,"",IF(AND(NOT(ISBLANK(E373)),COUNTBLANK(E373:K373) = 6),"3 Delete",IF(ISBLANK(E373),"2 Add",IF(SHA1Range(E373:K373) = "4e6bc1e758ca704ce187f61878a937a936f5080e","0 Original","1 Modify"))))</f>
        <v>0 Original</v>
      </c>
      <c r="D373" s="5" t="s">
        <v>2647</v>
      </c>
      <c r="E373" s="3">
        <v>3216</v>
      </c>
      <c r="F373" t="s">
        <v>1075</v>
      </c>
      <c r="G373" t="s">
        <v>687</v>
      </c>
      <c r="H373" s="9">
        <v>9.99</v>
      </c>
      <c r="I373" s="3">
        <v>1</v>
      </c>
      <c r="J373" s="5" t="s">
        <v>68</v>
      </c>
      <c r="K373" s="15">
        <v>41709.576377314814</v>
      </c>
      <c r="L373" s="20">
        <f t="shared" si="15"/>
        <v>41709</v>
      </c>
      <c r="M373" t="str">
        <f t="shared" si="16"/>
        <v>03-2014</v>
      </c>
      <c r="N373">
        <f t="shared" si="17"/>
        <v>9.99</v>
      </c>
    </row>
    <row r="374" spans="3:14" x14ac:dyDescent="0.25">
      <c r="C374" t="str">
        <f>IF(COUNTBLANK(E374:K374) = 7,"",IF(AND(NOT(ISBLANK(E374)),COUNTBLANK(E374:K374) = 6),"3 Delete",IF(ISBLANK(E374),"2 Add",IF(SHA1Range(E374:K374) = "0a9587d55524b8d17cf6e1907e56e43f4240083b","0 Original","1 Modify"))))</f>
        <v>0 Original</v>
      </c>
      <c r="D374" s="5" t="s">
        <v>2648</v>
      </c>
      <c r="E374" s="3">
        <v>1322</v>
      </c>
      <c r="F374" t="s">
        <v>1076</v>
      </c>
      <c r="G374" t="s">
        <v>704</v>
      </c>
      <c r="H374" s="9">
        <v>4.99</v>
      </c>
      <c r="I374" s="3">
        <v>1</v>
      </c>
      <c r="J374" s="5" t="s">
        <v>68</v>
      </c>
      <c r="K374" s="15">
        <v>41711.109282407408</v>
      </c>
      <c r="L374" s="20">
        <f t="shared" si="15"/>
        <v>41711</v>
      </c>
      <c r="M374" t="str">
        <f t="shared" si="16"/>
        <v>03-2014</v>
      </c>
      <c r="N374">
        <f t="shared" si="17"/>
        <v>4.99</v>
      </c>
    </row>
    <row r="375" spans="3:14" x14ac:dyDescent="0.25">
      <c r="C375" t="str">
        <f>IF(COUNTBLANK(E375:K375) = 7,"",IF(AND(NOT(ISBLANK(E375)),COUNTBLANK(E375:K375) = 6),"3 Delete",IF(ISBLANK(E375),"2 Add",IF(SHA1Range(E375:K375) = "91aa70947c9b0cbac8b2a9cc54316c0c2236f865","0 Original","1 Modify"))))</f>
        <v>0 Original</v>
      </c>
      <c r="D375" s="5" t="s">
        <v>2649</v>
      </c>
      <c r="E375" s="3">
        <v>1323</v>
      </c>
      <c r="F375" t="s">
        <v>1076</v>
      </c>
      <c r="G375" t="s">
        <v>482</v>
      </c>
      <c r="H375" s="9">
        <v>8.99</v>
      </c>
      <c r="I375" s="3">
        <v>2</v>
      </c>
      <c r="J375" s="5" t="s">
        <v>68</v>
      </c>
      <c r="K375" s="15">
        <v>41711.109282407408</v>
      </c>
      <c r="L375" s="20">
        <f t="shared" si="15"/>
        <v>41711</v>
      </c>
      <c r="M375" t="str">
        <f t="shared" si="16"/>
        <v>03-2014</v>
      </c>
      <c r="N375">
        <f t="shared" si="17"/>
        <v>17.98</v>
      </c>
    </row>
    <row r="376" spans="3:14" x14ac:dyDescent="0.25">
      <c r="C376" t="str">
        <f>IF(COUNTBLANK(E376:K376) = 7,"",IF(AND(NOT(ISBLANK(E376)),COUNTBLANK(E376:K376) = 6),"3 Delete",IF(ISBLANK(E376),"2 Add",IF(SHA1Range(E376:K376) = "96200e938d98b24168b90bd13af7de71e90f0213","0 Original","1 Modify"))))</f>
        <v>0 Original</v>
      </c>
      <c r="D376" s="5" t="s">
        <v>2650</v>
      </c>
      <c r="E376" s="3">
        <v>1324</v>
      </c>
      <c r="F376" t="s">
        <v>1076</v>
      </c>
      <c r="G376" t="s">
        <v>771</v>
      </c>
      <c r="H376" s="9">
        <v>9.99</v>
      </c>
      <c r="I376" s="3">
        <v>2</v>
      </c>
      <c r="J376" s="5" t="s">
        <v>68</v>
      </c>
      <c r="K376" s="15">
        <v>41711.109282407408</v>
      </c>
      <c r="L376" s="20">
        <f t="shared" si="15"/>
        <v>41711</v>
      </c>
      <c r="M376" t="str">
        <f t="shared" si="16"/>
        <v>03-2014</v>
      </c>
      <c r="N376">
        <f t="shared" si="17"/>
        <v>19.98</v>
      </c>
    </row>
    <row r="377" spans="3:14" x14ac:dyDescent="0.25">
      <c r="C377" t="str">
        <f>IF(COUNTBLANK(E377:K377) = 7,"",IF(AND(NOT(ISBLANK(E377)),COUNTBLANK(E377:K377) = 6),"3 Delete",IF(ISBLANK(E377),"2 Add",IF(SHA1Range(E377:K377) = "bd3a58d2052025f57998b9576257972543654541","0 Original","1 Modify"))))</f>
        <v>0 Original</v>
      </c>
      <c r="D377" s="5" t="s">
        <v>2651</v>
      </c>
      <c r="E377" s="3">
        <v>1325</v>
      </c>
      <c r="F377" t="s">
        <v>1076</v>
      </c>
      <c r="G377" t="s">
        <v>781</v>
      </c>
      <c r="H377" s="9">
        <v>5.99</v>
      </c>
      <c r="I377" s="3">
        <v>2</v>
      </c>
      <c r="J377" s="5" t="s">
        <v>68</v>
      </c>
      <c r="K377" s="15">
        <v>41711.109282407408</v>
      </c>
      <c r="L377" s="20">
        <f t="shared" si="15"/>
        <v>41711</v>
      </c>
      <c r="M377" t="str">
        <f t="shared" si="16"/>
        <v>03-2014</v>
      </c>
      <c r="N377">
        <f t="shared" si="17"/>
        <v>11.98</v>
      </c>
    </row>
    <row r="378" spans="3:14" x14ac:dyDescent="0.25">
      <c r="C378" t="str">
        <f>IF(COUNTBLANK(E378:K378) = 7,"",IF(AND(NOT(ISBLANK(E378)),COUNTBLANK(E378:K378) = 6),"3 Delete",IF(ISBLANK(E378),"2 Add",IF(SHA1Range(E378:K378) = "3a020cb5a8f0fe005b2b93592b7eba15aefbb0a7","0 Original","1 Modify"))))</f>
        <v>0 Original</v>
      </c>
      <c r="D378" s="5" t="s">
        <v>2652</v>
      </c>
      <c r="E378" s="3">
        <v>328</v>
      </c>
      <c r="F378" t="s">
        <v>1077</v>
      </c>
      <c r="G378" t="s">
        <v>543</v>
      </c>
      <c r="H378" s="9">
        <v>4.99</v>
      </c>
      <c r="I378" s="3">
        <v>1</v>
      </c>
      <c r="J378" s="5" t="s">
        <v>68</v>
      </c>
      <c r="K378" s="15">
        <v>41711.893645833334</v>
      </c>
      <c r="L378" s="20">
        <f t="shared" si="15"/>
        <v>41711</v>
      </c>
      <c r="M378" t="str">
        <f t="shared" si="16"/>
        <v>03-2014</v>
      </c>
      <c r="N378">
        <f t="shared" si="17"/>
        <v>4.99</v>
      </c>
    </row>
    <row r="379" spans="3:14" x14ac:dyDescent="0.25">
      <c r="C379" t="str">
        <f>IF(COUNTBLANK(E379:K379) = 7,"",IF(AND(NOT(ISBLANK(E379)),COUNTBLANK(E379:K379) = 6),"3 Delete",IF(ISBLANK(E379),"2 Add",IF(SHA1Range(E379:K379) = "060ff5bb154a4afc404bf4f756f31b6bbd7a5e1c","0 Original","1 Modify"))))</f>
        <v>0 Original</v>
      </c>
      <c r="D379" s="5" t="s">
        <v>2653</v>
      </c>
      <c r="E379" s="3">
        <v>329</v>
      </c>
      <c r="F379" t="s">
        <v>1077</v>
      </c>
      <c r="G379" t="s">
        <v>777</v>
      </c>
      <c r="H379" s="9">
        <v>4.99</v>
      </c>
      <c r="I379" s="3">
        <v>2</v>
      </c>
      <c r="J379" s="5" t="s">
        <v>68</v>
      </c>
      <c r="K379" s="15">
        <v>41711.893645833334</v>
      </c>
      <c r="L379" s="20">
        <f t="shared" si="15"/>
        <v>41711</v>
      </c>
      <c r="M379" t="str">
        <f t="shared" si="16"/>
        <v>03-2014</v>
      </c>
      <c r="N379">
        <f t="shared" si="17"/>
        <v>9.98</v>
      </c>
    </row>
    <row r="380" spans="3:14" x14ac:dyDescent="0.25">
      <c r="C380" t="str">
        <f>IF(COUNTBLANK(E380:K380) = 7,"",IF(AND(NOT(ISBLANK(E380)),COUNTBLANK(E380:K380) = 6),"3 Delete",IF(ISBLANK(E380),"2 Add",IF(SHA1Range(E380:K380) = "e7813e07fe524c3459421e2f0d86162aa59632fc","0 Original","1 Modify"))))</f>
        <v>0 Original</v>
      </c>
      <c r="D380" s="5" t="s">
        <v>2654</v>
      </c>
      <c r="E380" s="3">
        <v>3080</v>
      </c>
      <c r="F380" t="s">
        <v>1078</v>
      </c>
      <c r="G380" t="s">
        <v>373</v>
      </c>
      <c r="H380" s="9">
        <v>7.99</v>
      </c>
      <c r="I380" s="3">
        <v>2</v>
      </c>
      <c r="J380" s="5" t="s">
        <v>68</v>
      </c>
      <c r="K380" s="15">
        <v>41712.240081018521</v>
      </c>
      <c r="L380" s="20">
        <f t="shared" si="15"/>
        <v>41712</v>
      </c>
      <c r="M380" t="str">
        <f t="shared" si="16"/>
        <v>03-2014</v>
      </c>
      <c r="N380">
        <f t="shared" si="17"/>
        <v>15.98</v>
      </c>
    </row>
    <row r="381" spans="3:14" x14ac:dyDescent="0.25">
      <c r="C381" t="str">
        <f>IF(COUNTBLANK(E381:K381) = 7,"",IF(AND(NOT(ISBLANK(E381)),COUNTBLANK(E381:K381) = 6),"3 Delete",IF(ISBLANK(E381),"2 Add",IF(SHA1Range(E381:K381) = "23a96ab1de94274985c34543840c83f9010f1975","0 Original","1 Modify"))))</f>
        <v>0 Original</v>
      </c>
      <c r="D381" s="5" t="s">
        <v>2655</v>
      </c>
      <c r="E381" s="3">
        <v>3081</v>
      </c>
      <c r="F381" t="s">
        <v>1078</v>
      </c>
      <c r="G381" t="s">
        <v>373</v>
      </c>
      <c r="H381" s="9">
        <v>7.99</v>
      </c>
      <c r="I381" s="3">
        <v>2</v>
      </c>
      <c r="J381" s="5" t="s">
        <v>68</v>
      </c>
      <c r="K381" s="15">
        <v>41712.240081018521</v>
      </c>
      <c r="L381" s="20">
        <f t="shared" si="15"/>
        <v>41712</v>
      </c>
      <c r="M381" t="str">
        <f t="shared" si="16"/>
        <v>03-2014</v>
      </c>
      <c r="N381">
        <f t="shared" si="17"/>
        <v>15.98</v>
      </c>
    </row>
    <row r="382" spans="3:14" x14ac:dyDescent="0.25">
      <c r="C382" t="str">
        <f>IF(COUNTBLANK(E382:K382) = 7,"",IF(AND(NOT(ISBLANK(E382)),COUNTBLANK(E382:K382) = 6),"3 Delete",IF(ISBLANK(E382),"2 Add",IF(SHA1Range(E382:K382) = "3d9c4f3e46dcdce572ddd1f4987bbcfcb86efe56","0 Original","1 Modify"))))</f>
        <v>0 Original</v>
      </c>
      <c r="D382" s="5" t="s">
        <v>2656</v>
      </c>
      <c r="E382" s="3">
        <v>3082</v>
      </c>
      <c r="F382" t="s">
        <v>1078</v>
      </c>
      <c r="G382" t="s">
        <v>373</v>
      </c>
      <c r="H382" s="9">
        <v>7.99</v>
      </c>
      <c r="I382" s="3">
        <v>1</v>
      </c>
      <c r="J382" s="5" t="s">
        <v>68</v>
      </c>
      <c r="K382" s="15">
        <v>41712.240081018521</v>
      </c>
      <c r="L382" s="20">
        <f t="shared" si="15"/>
        <v>41712</v>
      </c>
      <c r="M382" t="str">
        <f t="shared" si="16"/>
        <v>03-2014</v>
      </c>
      <c r="N382">
        <f t="shared" si="17"/>
        <v>7.99</v>
      </c>
    </row>
    <row r="383" spans="3:14" x14ac:dyDescent="0.25">
      <c r="C383" t="str">
        <f>IF(COUNTBLANK(E383:K383) = 7,"",IF(AND(NOT(ISBLANK(E383)),COUNTBLANK(E383:K383) = 6),"3 Delete",IF(ISBLANK(E383),"2 Add",IF(SHA1Range(E383:K383) = "01e22a0012328bb131f8a09fa27afd1a8ebea3d9","0 Original","1 Modify"))))</f>
        <v>0 Original</v>
      </c>
      <c r="D383" s="5" t="s">
        <v>2657</v>
      </c>
      <c r="E383" s="3">
        <v>3083</v>
      </c>
      <c r="F383" t="s">
        <v>1078</v>
      </c>
      <c r="G383" t="s">
        <v>642</v>
      </c>
      <c r="H383" s="9">
        <v>9.99</v>
      </c>
      <c r="I383" s="3">
        <v>2</v>
      </c>
      <c r="J383" s="5" t="s">
        <v>68</v>
      </c>
      <c r="K383" s="15">
        <v>41712.240081018521</v>
      </c>
      <c r="L383" s="20">
        <f t="shared" si="15"/>
        <v>41712</v>
      </c>
      <c r="M383" t="str">
        <f t="shared" si="16"/>
        <v>03-2014</v>
      </c>
      <c r="N383">
        <f t="shared" si="17"/>
        <v>19.98</v>
      </c>
    </row>
    <row r="384" spans="3:14" x14ac:dyDescent="0.25">
      <c r="C384" t="str">
        <f>IF(COUNTBLANK(E384:K384) = 7,"",IF(AND(NOT(ISBLANK(E384)),COUNTBLANK(E384:K384) = 6),"3 Delete",IF(ISBLANK(E384),"2 Add",IF(SHA1Range(E384:K384) = "109dbc6b076b0a8fe4f65a993367234d652385a6","0 Original","1 Modify"))))</f>
        <v>0 Original</v>
      </c>
      <c r="D384" s="5" t="s">
        <v>2658</v>
      </c>
      <c r="E384" s="3">
        <v>3084</v>
      </c>
      <c r="F384" t="s">
        <v>1078</v>
      </c>
      <c r="G384" t="s">
        <v>552</v>
      </c>
      <c r="H384" s="9">
        <v>6.99</v>
      </c>
      <c r="I384" s="3">
        <v>2</v>
      </c>
      <c r="J384" s="5" t="s">
        <v>68</v>
      </c>
      <c r="K384" s="15">
        <v>41712.240081018521</v>
      </c>
      <c r="L384" s="20">
        <f t="shared" si="15"/>
        <v>41712</v>
      </c>
      <c r="M384" t="str">
        <f t="shared" si="16"/>
        <v>03-2014</v>
      </c>
      <c r="N384">
        <f t="shared" si="17"/>
        <v>13.98</v>
      </c>
    </row>
    <row r="385" spans="3:14" x14ac:dyDescent="0.25">
      <c r="C385" t="str">
        <f>IF(COUNTBLANK(E385:K385) = 7,"",IF(AND(NOT(ISBLANK(E385)),COUNTBLANK(E385:K385) = 6),"3 Delete",IF(ISBLANK(E385),"2 Add",IF(SHA1Range(E385:K385) = "05c112a1012c93576bf7a86fce99a9da2b25a1e4","0 Original","1 Modify"))))</f>
        <v>0 Original</v>
      </c>
      <c r="D385" s="5" t="s">
        <v>2659</v>
      </c>
      <c r="E385" s="3">
        <v>284</v>
      </c>
      <c r="F385" t="s">
        <v>1079</v>
      </c>
      <c r="G385" t="s">
        <v>823</v>
      </c>
      <c r="H385" s="9">
        <v>5.99</v>
      </c>
      <c r="I385" s="3">
        <v>1</v>
      </c>
      <c r="J385" s="5" t="s">
        <v>68</v>
      </c>
      <c r="K385" s="15">
        <v>41713.349050925928</v>
      </c>
      <c r="L385" s="20">
        <f t="shared" si="15"/>
        <v>41713</v>
      </c>
      <c r="M385" t="str">
        <f t="shared" si="16"/>
        <v>03-2014</v>
      </c>
      <c r="N385">
        <f t="shared" si="17"/>
        <v>5.99</v>
      </c>
    </row>
    <row r="386" spans="3:14" x14ac:dyDescent="0.25">
      <c r="C386" t="str">
        <f>IF(COUNTBLANK(E386:K386) = 7,"",IF(AND(NOT(ISBLANK(E386)),COUNTBLANK(E386:K386) = 6),"3 Delete",IF(ISBLANK(E386),"2 Add",IF(SHA1Range(E386:K386) = "ee49c25f4b5df381101ff655ee3d5d3d2c8cc3b6","0 Original","1 Modify"))))</f>
        <v>0 Original</v>
      </c>
      <c r="D386" s="5" t="s">
        <v>2660</v>
      </c>
      <c r="E386" s="3">
        <v>285</v>
      </c>
      <c r="F386" t="s">
        <v>1079</v>
      </c>
      <c r="G386" t="s">
        <v>777</v>
      </c>
      <c r="H386" s="9">
        <v>4.99</v>
      </c>
      <c r="I386" s="3">
        <v>2</v>
      </c>
      <c r="J386" s="5" t="s">
        <v>68</v>
      </c>
      <c r="K386" s="15">
        <v>41713.349050925928</v>
      </c>
      <c r="L386" s="20">
        <f t="shared" si="15"/>
        <v>41713</v>
      </c>
      <c r="M386" t="str">
        <f t="shared" si="16"/>
        <v>03-2014</v>
      </c>
      <c r="N386">
        <f t="shared" si="17"/>
        <v>9.98</v>
      </c>
    </row>
    <row r="387" spans="3:14" x14ac:dyDescent="0.25">
      <c r="C387" t="str">
        <f>IF(COUNTBLANK(E387:K387) = 7,"",IF(AND(NOT(ISBLANK(E387)),COUNTBLANK(E387:K387) = 6),"3 Delete",IF(ISBLANK(E387),"2 Add",IF(SHA1Range(E387:K387) = "4e5daff52bb29aed2424e038d6d5868a35f6ee4f","0 Original","1 Modify"))))</f>
        <v>0 Original</v>
      </c>
      <c r="D387" s="5" t="s">
        <v>2661</v>
      </c>
      <c r="E387" s="3">
        <v>286</v>
      </c>
      <c r="F387" t="s">
        <v>1079</v>
      </c>
      <c r="G387" t="s">
        <v>472</v>
      </c>
      <c r="H387" s="9">
        <v>4.99</v>
      </c>
      <c r="I387" s="3">
        <v>1</v>
      </c>
      <c r="J387" s="5" t="s">
        <v>68</v>
      </c>
      <c r="K387" s="15">
        <v>41713.349050925928</v>
      </c>
      <c r="L387" s="20">
        <f t="shared" ref="L387:L450" si="18">DATEVALUE(LEFT(F387,10))</f>
        <v>41713</v>
      </c>
      <c r="M387" t="str">
        <f t="shared" ref="M387:M450" si="19">TEXT(L387,"mm-yyyy")</f>
        <v>03-2014</v>
      </c>
      <c r="N387">
        <f t="shared" ref="N387:N450" si="20">H387*I387</f>
        <v>4.99</v>
      </c>
    </row>
    <row r="388" spans="3:14" x14ac:dyDescent="0.25">
      <c r="C388" t="str">
        <f>IF(COUNTBLANK(E388:K388) = 7,"",IF(AND(NOT(ISBLANK(E388)),COUNTBLANK(E388:K388) = 6),"3 Delete",IF(ISBLANK(E388),"2 Add",IF(SHA1Range(E388:K388) = "39a6042cf8380096c5c8c9e23385ad07ccce2b80","0 Original","1 Modify"))))</f>
        <v>0 Original</v>
      </c>
      <c r="D388" s="5" t="s">
        <v>2662</v>
      </c>
      <c r="E388" s="3">
        <v>3173</v>
      </c>
      <c r="F388" t="s">
        <v>1080</v>
      </c>
      <c r="G388" t="s">
        <v>948</v>
      </c>
      <c r="H388" s="9">
        <v>4.99</v>
      </c>
      <c r="I388" s="3">
        <v>1</v>
      </c>
      <c r="J388" s="5" t="s">
        <v>68</v>
      </c>
      <c r="K388" s="15">
        <v>41713.628668981481</v>
      </c>
      <c r="L388" s="20">
        <f t="shared" si="18"/>
        <v>41713</v>
      </c>
      <c r="M388" t="str">
        <f t="shared" si="19"/>
        <v>03-2014</v>
      </c>
      <c r="N388">
        <f t="shared" si="20"/>
        <v>4.99</v>
      </c>
    </row>
    <row r="389" spans="3:14" x14ac:dyDescent="0.25">
      <c r="C389" t="str">
        <f>IF(COUNTBLANK(E389:K389) = 7,"",IF(AND(NOT(ISBLANK(E389)),COUNTBLANK(E389:K389) = 6),"3 Delete",IF(ISBLANK(E389),"2 Add",IF(SHA1Range(E389:K389) = "ba58232d6260cb4b3f34fdf48f73af55f396e588","0 Original","1 Modify"))))</f>
        <v>0 Original</v>
      </c>
      <c r="D389" s="5" t="s">
        <v>2663</v>
      </c>
      <c r="E389" s="3">
        <v>3174</v>
      </c>
      <c r="F389" t="s">
        <v>1080</v>
      </c>
      <c r="G389" t="s">
        <v>707</v>
      </c>
      <c r="H389" s="9">
        <v>7.99</v>
      </c>
      <c r="I389" s="3">
        <v>2</v>
      </c>
      <c r="J389" s="5" t="s">
        <v>68</v>
      </c>
      <c r="K389" s="15">
        <v>41713.628668981481</v>
      </c>
      <c r="L389" s="20">
        <f t="shared" si="18"/>
        <v>41713</v>
      </c>
      <c r="M389" t="str">
        <f t="shared" si="19"/>
        <v>03-2014</v>
      </c>
      <c r="N389">
        <f t="shared" si="20"/>
        <v>15.98</v>
      </c>
    </row>
    <row r="390" spans="3:14" x14ac:dyDescent="0.25">
      <c r="C390" t="str">
        <f>IF(COUNTBLANK(E390:K390) = 7,"",IF(AND(NOT(ISBLANK(E390)),COUNTBLANK(E390:K390) = 6),"3 Delete",IF(ISBLANK(E390),"2 Add",IF(SHA1Range(E390:K390) = "2208a36e54e8dc3672b2da83e18a39d1a98afc95","0 Original","1 Modify"))))</f>
        <v>0 Original</v>
      </c>
      <c r="D390" s="5" t="s">
        <v>2664</v>
      </c>
      <c r="E390" s="3">
        <v>3175</v>
      </c>
      <c r="F390" t="s">
        <v>1080</v>
      </c>
      <c r="G390" t="s">
        <v>514</v>
      </c>
      <c r="H390" s="9">
        <v>6.99</v>
      </c>
      <c r="I390" s="3">
        <v>1</v>
      </c>
      <c r="J390" s="5" t="s">
        <v>68</v>
      </c>
      <c r="K390" s="15">
        <v>41713.628668981481</v>
      </c>
      <c r="L390" s="20">
        <f t="shared" si="18"/>
        <v>41713</v>
      </c>
      <c r="M390" t="str">
        <f t="shared" si="19"/>
        <v>03-2014</v>
      </c>
      <c r="N390">
        <f t="shared" si="20"/>
        <v>6.99</v>
      </c>
    </row>
    <row r="391" spans="3:14" x14ac:dyDescent="0.25">
      <c r="C391" t="str">
        <f>IF(COUNTBLANK(E391:K391) = 7,"",IF(AND(NOT(ISBLANK(E391)),COUNTBLANK(E391:K391) = 6),"3 Delete",IF(ISBLANK(E391),"2 Add",IF(SHA1Range(E391:K391) = "cd805060deb7e23757785667381ac5d4fec7e597","0 Original","1 Modify"))))</f>
        <v>0 Original</v>
      </c>
      <c r="D391" s="5" t="s">
        <v>2665</v>
      </c>
      <c r="E391" s="3">
        <v>3176</v>
      </c>
      <c r="F391" t="s">
        <v>1080</v>
      </c>
      <c r="G391" t="s">
        <v>687</v>
      </c>
      <c r="H391" s="9">
        <v>9.99</v>
      </c>
      <c r="I391" s="3">
        <v>1</v>
      </c>
      <c r="J391" s="5" t="s">
        <v>68</v>
      </c>
      <c r="K391" s="15">
        <v>41713.628668981481</v>
      </c>
      <c r="L391" s="20">
        <f t="shared" si="18"/>
        <v>41713</v>
      </c>
      <c r="M391" t="str">
        <f t="shared" si="19"/>
        <v>03-2014</v>
      </c>
      <c r="N391">
        <f t="shared" si="20"/>
        <v>9.99</v>
      </c>
    </row>
    <row r="392" spans="3:14" x14ac:dyDescent="0.25">
      <c r="C392" t="str">
        <f>IF(COUNTBLANK(E392:K392) = 7,"",IF(AND(NOT(ISBLANK(E392)),COUNTBLANK(E392:K392) = 6),"3 Delete",IF(ISBLANK(E392),"2 Add",IF(SHA1Range(E392:K392) = "2c626d0a5ba98e80b33357f297a7e674635929dd","0 Original","1 Modify"))))</f>
        <v>0 Original</v>
      </c>
      <c r="D392" s="5" t="s">
        <v>2666</v>
      </c>
      <c r="E392" s="3">
        <v>3177</v>
      </c>
      <c r="F392" t="s">
        <v>1080</v>
      </c>
      <c r="G392" t="s">
        <v>749</v>
      </c>
      <c r="H392" s="9">
        <v>5.99</v>
      </c>
      <c r="I392" s="3">
        <v>1</v>
      </c>
      <c r="J392" s="5" t="s">
        <v>68</v>
      </c>
      <c r="K392" s="15">
        <v>41713.628668981481</v>
      </c>
      <c r="L392" s="20">
        <f t="shared" si="18"/>
        <v>41713</v>
      </c>
      <c r="M392" t="str">
        <f t="shared" si="19"/>
        <v>03-2014</v>
      </c>
      <c r="N392">
        <f t="shared" si="20"/>
        <v>5.99</v>
      </c>
    </row>
    <row r="393" spans="3:14" x14ac:dyDescent="0.25">
      <c r="C393" t="str">
        <f>IF(COUNTBLANK(E393:K393) = 7,"",IF(AND(NOT(ISBLANK(E393)),COUNTBLANK(E393:K393) = 6),"3 Delete",IF(ISBLANK(E393),"2 Add",IF(SHA1Range(E393:K393) = "0abf429befcec988961754f966b5170622af7585","0 Original","1 Modify"))))</f>
        <v>0 Original</v>
      </c>
      <c r="D393" s="5" t="s">
        <v>2667</v>
      </c>
      <c r="E393" s="3">
        <v>3178</v>
      </c>
      <c r="F393" t="s">
        <v>1080</v>
      </c>
      <c r="G393" t="s">
        <v>642</v>
      </c>
      <c r="H393" s="9">
        <v>9.99</v>
      </c>
      <c r="I393" s="3">
        <v>1</v>
      </c>
      <c r="J393" s="5" t="s">
        <v>68</v>
      </c>
      <c r="K393" s="15">
        <v>41713.628668981481</v>
      </c>
      <c r="L393" s="20">
        <f t="shared" si="18"/>
        <v>41713</v>
      </c>
      <c r="M393" t="str">
        <f t="shared" si="19"/>
        <v>03-2014</v>
      </c>
      <c r="N393">
        <f t="shared" si="20"/>
        <v>9.99</v>
      </c>
    </row>
    <row r="394" spans="3:14" x14ac:dyDescent="0.25">
      <c r="C394" t="str">
        <f>IF(COUNTBLANK(E394:K394) = 7,"",IF(AND(NOT(ISBLANK(E394)),COUNTBLANK(E394:K394) = 6),"3 Delete",IF(ISBLANK(E394),"2 Add",IF(SHA1Range(E394:K394) = "bc77215b10957a702ef30c15fef9cf3260ef6bb7","0 Original","1 Modify"))))</f>
        <v>0 Original</v>
      </c>
      <c r="D394" s="5" t="s">
        <v>2668</v>
      </c>
      <c r="E394" s="3">
        <v>1847</v>
      </c>
      <c r="F394" t="s">
        <v>1081</v>
      </c>
      <c r="G394" t="s">
        <v>642</v>
      </c>
      <c r="H394" s="9">
        <v>9.99</v>
      </c>
      <c r="I394" s="3">
        <v>1</v>
      </c>
      <c r="J394" s="5" t="s">
        <v>68</v>
      </c>
      <c r="K394" s="15">
        <v>41714.717326388891</v>
      </c>
      <c r="L394" s="20">
        <f t="shared" si="18"/>
        <v>41714</v>
      </c>
      <c r="M394" t="str">
        <f t="shared" si="19"/>
        <v>03-2014</v>
      </c>
      <c r="N394">
        <f t="shared" si="20"/>
        <v>9.99</v>
      </c>
    </row>
    <row r="395" spans="3:14" x14ac:dyDescent="0.25">
      <c r="C395" t="str">
        <f>IF(COUNTBLANK(E395:K395) = 7,"",IF(AND(NOT(ISBLANK(E395)),COUNTBLANK(E395:K395) = 6),"3 Delete",IF(ISBLANK(E395),"2 Add",IF(SHA1Range(E395:K395) = "17815935ec042f3076dc07f779b9574752b7a304","0 Original","1 Modify"))))</f>
        <v>0 Original</v>
      </c>
      <c r="D395" s="5" t="s">
        <v>2669</v>
      </c>
      <c r="E395" s="3">
        <v>1848</v>
      </c>
      <c r="F395" t="s">
        <v>1081</v>
      </c>
      <c r="G395" t="s">
        <v>507</v>
      </c>
      <c r="H395" s="9">
        <v>6.99</v>
      </c>
      <c r="I395" s="3">
        <v>1</v>
      </c>
      <c r="J395" s="5" t="s">
        <v>68</v>
      </c>
      <c r="K395" s="15">
        <v>41714.717326388891</v>
      </c>
      <c r="L395" s="20">
        <f t="shared" si="18"/>
        <v>41714</v>
      </c>
      <c r="M395" t="str">
        <f t="shared" si="19"/>
        <v>03-2014</v>
      </c>
      <c r="N395">
        <f t="shared" si="20"/>
        <v>6.99</v>
      </c>
    </row>
    <row r="396" spans="3:14" x14ac:dyDescent="0.25">
      <c r="C396" t="str">
        <f>IF(COUNTBLANK(E396:K396) = 7,"",IF(AND(NOT(ISBLANK(E396)),COUNTBLANK(E396:K396) = 6),"3 Delete",IF(ISBLANK(E396),"2 Add",IF(SHA1Range(E396:K396) = "c4bd30e6f48d92a1a7c01615ec85ca6bb14d0740","0 Original","1 Modify"))))</f>
        <v>0 Original</v>
      </c>
      <c r="D396" s="5" t="s">
        <v>2670</v>
      </c>
      <c r="E396" s="3">
        <v>1849</v>
      </c>
      <c r="F396" t="s">
        <v>1081</v>
      </c>
      <c r="G396" t="s">
        <v>373</v>
      </c>
      <c r="H396" s="9">
        <v>7.99</v>
      </c>
      <c r="I396" s="3">
        <v>2</v>
      </c>
      <c r="J396" s="5" t="s">
        <v>68</v>
      </c>
      <c r="K396" s="15">
        <v>41714.717326388891</v>
      </c>
      <c r="L396" s="20">
        <f t="shared" si="18"/>
        <v>41714</v>
      </c>
      <c r="M396" t="str">
        <f t="shared" si="19"/>
        <v>03-2014</v>
      </c>
      <c r="N396">
        <f t="shared" si="20"/>
        <v>15.98</v>
      </c>
    </row>
    <row r="397" spans="3:14" x14ac:dyDescent="0.25">
      <c r="C397" t="str">
        <f>IF(COUNTBLANK(E397:K397) = 7,"",IF(AND(NOT(ISBLANK(E397)),COUNTBLANK(E397:K397) = 6),"3 Delete",IF(ISBLANK(E397),"2 Add",IF(SHA1Range(E397:K397) = "797a07dc6f4b19e1a323d67825d4f11d85c347a8","0 Original","1 Modify"))))</f>
        <v>0 Original</v>
      </c>
      <c r="D397" s="5" t="s">
        <v>2671</v>
      </c>
      <c r="E397" s="3">
        <v>1850</v>
      </c>
      <c r="F397" t="s">
        <v>1081</v>
      </c>
      <c r="G397" t="s">
        <v>600</v>
      </c>
      <c r="H397" s="9">
        <v>5.99</v>
      </c>
      <c r="I397" s="3">
        <v>1</v>
      </c>
      <c r="J397" s="5" t="s">
        <v>68</v>
      </c>
      <c r="K397" s="15">
        <v>41714.717326388891</v>
      </c>
      <c r="L397" s="20">
        <f t="shared" si="18"/>
        <v>41714</v>
      </c>
      <c r="M397" t="str">
        <f t="shared" si="19"/>
        <v>03-2014</v>
      </c>
      <c r="N397">
        <f t="shared" si="20"/>
        <v>5.99</v>
      </c>
    </row>
    <row r="398" spans="3:14" x14ac:dyDescent="0.25">
      <c r="C398" t="str">
        <f>IF(COUNTBLANK(E398:K398) = 7,"",IF(AND(NOT(ISBLANK(E398)),COUNTBLANK(E398:K398) = 6),"3 Delete",IF(ISBLANK(E398),"2 Add",IF(SHA1Range(E398:K398) = "c6d1631c253ac5819cfa08d04d5e29563763ebb5","0 Original","1 Modify"))))</f>
        <v>0 Original</v>
      </c>
      <c r="D398" s="5" t="s">
        <v>2672</v>
      </c>
      <c r="E398" s="3">
        <v>1851</v>
      </c>
      <c r="F398" t="s">
        <v>1081</v>
      </c>
      <c r="G398" t="s">
        <v>570</v>
      </c>
      <c r="H398" s="9">
        <v>6.99</v>
      </c>
      <c r="I398" s="3">
        <v>2</v>
      </c>
      <c r="J398" s="5" t="s">
        <v>68</v>
      </c>
      <c r="K398" s="15">
        <v>41714.717326388891</v>
      </c>
      <c r="L398" s="20">
        <f t="shared" si="18"/>
        <v>41714</v>
      </c>
      <c r="M398" t="str">
        <f t="shared" si="19"/>
        <v>03-2014</v>
      </c>
      <c r="N398">
        <f t="shared" si="20"/>
        <v>13.98</v>
      </c>
    </row>
    <row r="399" spans="3:14" x14ac:dyDescent="0.25">
      <c r="C399" t="str">
        <f>IF(COUNTBLANK(E399:K399) = 7,"",IF(AND(NOT(ISBLANK(E399)),COUNTBLANK(E399:K399) = 6),"3 Delete",IF(ISBLANK(E399),"2 Add",IF(SHA1Range(E399:K399) = "fdd457699ac56e61729976dfdb0d35e4e6475132","0 Original","1 Modify"))))</f>
        <v>0 Original</v>
      </c>
      <c r="D399" s="5" t="s">
        <v>2673</v>
      </c>
      <c r="E399" s="3">
        <v>1852</v>
      </c>
      <c r="F399" t="s">
        <v>1081</v>
      </c>
      <c r="G399" t="s">
        <v>373</v>
      </c>
      <c r="H399" s="9">
        <v>7.99</v>
      </c>
      <c r="I399" s="3">
        <v>1</v>
      </c>
      <c r="J399" s="5" t="s">
        <v>68</v>
      </c>
      <c r="K399" s="15">
        <v>41714.717326388891</v>
      </c>
      <c r="L399" s="20">
        <f t="shared" si="18"/>
        <v>41714</v>
      </c>
      <c r="M399" t="str">
        <f t="shared" si="19"/>
        <v>03-2014</v>
      </c>
      <c r="N399">
        <f t="shared" si="20"/>
        <v>7.99</v>
      </c>
    </row>
    <row r="400" spans="3:14" x14ac:dyDescent="0.25">
      <c r="C400" t="str">
        <f>IF(COUNTBLANK(E400:K400) = 7,"",IF(AND(NOT(ISBLANK(E400)),COUNTBLANK(E400:K400) = 6),"3 Delete",IF(ISBLANK(E400),"2 Add",IF(SHA1Range(E400:K400) = "859081b0190b73b8a3b778445f399295331be85e","0 Original","1 Modify"))))</f>
        <v>0 Original</v>
      </c>
      <c r="D400" s="5" t="s">
        <v>2674</v>
      </c>
      <c r="E400" s="3">
        <v>1853</v>
      </c>
      <c r="F400" t="s">
        <v>1081</v>
      </c>
      <c r="G400" t="s">
        <v>771</v>
      </c>
      <c r="H400" s="9">
        <v>9.99</v>
      </c>
      <c r="I400" s="3">
        <v>1</v>
      </c>
      <c r="J400" s="5" t="s">
        <v>68</v>
      </c>
      <c r="K400" s="15">
        <v>41714.717326388891</v>
      </c>
      <c r="L400" s="20">
        <f t="shared" si="18"/>
        <v>41714</v>
      </c>
      <c r="M400" t="str">
        <f t="shared" si="19"/>
        <v>03-2014</v>
      </c>
      <c r="N400">
        <f t="shared" si="20"/>
        <v>9.99</v>
      </c>
    </row>
    <row r="401" spans="3:14" x14ac:dyDescent="0.25">
      <c r="C401" t="str">
        <f>IF(COUNTBLANK(E401:K401) = 7,"",IF(AND(NOT(ISBLANK(E401)),COUNTBLANK(E401:K401) = 6),"3 Delete",IF(ISBLANK(E401),"2 Add",IF(SHA1Range(E401:K401) = "7b9304165cb65e7bd1d45fdf62dda1d42d7f8dd1","0 Original","1 Modify"))))</f>
        <v>0 Original</v>
      </c>
      <c r="D401" s="5" t="s">
        <v>2675</v>
      </c>
      <c r="E401" s="3">
        <v>501</v>
      </c>
      <c r="F401" t="s">
        <v>1082</v>
      </c>
      <c r="G401" t="s">
        <v>869</v>
      </c>
      <c r="H401" s="9">
        <v>4.99</v>
      </c>
      <c r="I401" s="3">
        <v>1</v>
      </c>
      <c r="J401" s="5" t="s">
        <v>68</v>
      </c>
      <c r="K401" s="15">
        <v>41714.723761574074</v>
      </c>
      <c r="L401" s="20">
        <f t="shared" si="18"/>
        <v>41714</v>
      </c>
      <c r="M401" t="str">
        <f t="shared" si="19"/>
        <v>03-2014</v>
      </c>
      <c r="N401">
        <f t="shared" si="20"/>
        <v>4.99</v>
      </c>
    </row>
    <row r="402" spans="3:14" x14ac:dyDescent="0.25">
      <c r="C402" t="str">
        <f>IF(COUNTBLANK(E402:K402) = 7,"",IF(AND(NOT(ISBLANK(E402)),COUNTBLANK(E402:K402) = 6),"3 Delete",IF(ISBLANK(E402),"2 Add",IF(SHA1Range(E402:K402) = "b9dec230742af9e5506b7c72567962ef08a17a40","0 Original","1 Modify"))))</f>
        <v>0 Original</v>
      </c>
      <c r="D402" s="5" t="s">
        <v>2676</v>
      </c>
      <c r="E402" s="3">
        <v>502</v>
      </c>
      <c r="F402" t="s">
        <v>1082</v>
      </c>
      <c r="G402" t="s">
        <v>457</v>
      </c>
      <c r="H402" s="9">
        <v>4.99</v>
      </c>
      <c r="I402" s="3">
        <v>2</v>
      </c>
      <c r="J402" s="5" t="s">
        <v>68</v>
      </c>
      <c r="K402" s="15">
        <v>41714.723761574074</v>
      </c>
      <c r="L402" s="20">
        <f t="shared" si="18"/>
        <v>41714</v>
      </c>
      <c r="M402" t="str">
        <f t="shared" si="19"/>
        <v>03-2014</v>
      </c>
      <c r="N402">
        <f t="shared" si="20"/>
        <v>9.98</v>
      </c>
    </row>
    <row r="403" spans="3:14" x14ac:dyDescent="0.25">
      <c r="C403" t="str">
        <f>IF(COUNTBLANK(E403:K403) = 7,"",IF(AND(NOT(ISBLANK(E403)),COUNTBLANK(E403:K403) = 6),"3 Delete",IF(ISBLANK(E403),"2 Add",IF(SHA1Range(E403:K403) = "eabe31a005f71e51c688e07674e24ee0c3e791f0","0 Original","1 Modify"))))</f>
        <v>0 Original</v>
      </c>
      <c r="D403" s="5" t="s">
        <v>2677</v>
      </c>
      <c r="E403" s="3">
        <v>503</v>
      </c>
      <c r="F403" t="s">
        <v>1082</v>
      </c>
      <c r="G403" t="s">
        <v>932</v>
      </c>
      <c r="H403" s="9">
        <v>9.99</v>
      </c>
      <c r="I403" s="3">
        <v>1</v>
      </c>
      <c r="J403" s="5" t="s">
        <v>68</v>
      </c>
      <c r="K403" s="15">
        <v>41714.723761574074</v>
      </c>
      <c r="L403" s="20">
        <f t="shared" si="18"/>
        <v>41714</v>
      </c>
      <c r="M403" t="str">
        <f t="shared" si="19"/>
        <v>03-2014</v>
      </c>
      <c r="N403">
        <f t="shared" si="20"/>
        <v>9.99</v>
      </c>
    </row>
    <row r="404" spans="3:14" x14ac:dyDescent="0.25">
      <c r="C404" t="str">
        <f>IF(COUNTBLANK(E404:K404) = 7,"",IF(AND(NOT(ISBLANK(E404)),COUNTBLANK(E404:K404) = 6),"3 Delete",IF(ISBLANK(E404),"2 Add",IF(SHA1Range(E404:K404) = "9bf089fa13fa445eb07f29857aa9b2568580012d","0 Original","1 Modify"))))</f>
        <v>0 Original</v>
      </c>
      <c r="D404" s="5" t="s">
        <v>2678</v>
      </c>
      <c r="E404" s="3">
        <v>504</v>
      </c>
      <c r="F404" t="s">
        <v>1082</v>
      </c>
      <c r="G404" t="s">
        <v>722</v>
      </c>
      <c r="H404" s="9">
        <v>6.99</v>
      </c>
      <c r="I404" s="3">
        <v>2</v>
      </c>
      <c r="J404" s="5" t="s">
        <v>68</v>
      </c>
      <c r="K404" s="15">
        <v>41714.723761574074</v>
      </c>
      <c r="L404" s="20">
        <f t="shared" si="18"/>
        <v>41714</v>
      </c>
      <c r="M404" t="str">
        <f t="shared" si="19"/>
        <v>03-2014</v>
      </c>
      <c r="N404">
        <f t="shared" si="20"/>
        <v>13.98</v>
      </c>
    </row>
    <row r="405" spans="3:14" x14ac:dyDescent="0.25">
      <c r="C405" t="str">
        <f>IF(COUNTBLANK(E405:K405) = 7,"",IF(AND(NOT(ISBLANK(E405)),COUNTBLANK(E405:K405) = 6),"3 Delete",IF(ISBLANK(E405),"2 Add",IF(SHA1Range(E405:K405) = "758c7971c68f0dbeb5ec7292a7320154a8a27554","0 Original","1 Modify"))))</f>
        <v>0 Original</v>
      </c>
      <c r="D405" s="5" t="s">
        <v>2679</v>
      </c>
      <c r="E405" s="3">
        <v>505</v>
      </c>
      <c r="F405" t="s">
        <v>1082</v>
      </c>
      <c r="G405" t="s">
        <v>806</v>
      </c>
      <c r="H405" s="9">
        <v>5.99</v>
      </c>
      <c r="I405" s="3">
        <v>1</v>
      </c>
      <c r="J405" s="5" t="s">
        <v>68</v>
      </c>
      <c r="K405" s="15">
        <v>41714.723761574074</v>
      </c>
      <c r="L405" s="20">
        <f t="shared" si="18"/>
        <v>41714</v>
      </c>
      <c r="M405" t="str">
        <f t="shared" si="19"/>
        <v>03-2014</v>
      </c>
      <c r="N405">
        <f t="shared" si="20"/>
        <v>5.99</v>
      </c>
    </row>
    <row r="406" spans="3:14" x14ac:dyDescent="0.25">
      <c r="C406" t="str">
        <f>IF(COUNTBLANK(E406:K406) = 7,"",IF(AND(NOT(ISBLANK(E406)),COUNTBLANK(E406:K406) = 6),"3 Delete",IF(ISBLANK(E406),"2 Add",IF(SHA1Range(E406:K406) = "9723cf386098e218a40df868ac6f1954b74695fd","0 Original","1 Modify"))))</f>
        <v>0 Original</v>
      </c>
      <c r="D406" s="5" t="s">
        <v>2680</v>
      </c>
      <c r="E406" s="3">
        <v>506</v>
      </c>
      <c r="F406" t="s">
        <v>1082</v>
      </c>
      <c r="G406" t="s">
        <v>875</v>
      </c>
      <c r="H406" s="9">
        <v>8.99</v>
      </c>
      <c r="I406" s="3">
        <v>1</v>
      </c>
      <c r="J406" s="5" t="s">
        <v>68</v>
      </c>
      <c r="K406" s="15">
        <v>41714.723761574074</v>
      </c>
      <c r="L406" s="20">
        <f t="shared" si="18"/>
        <v>41714</v>
      </c>
      <c r="M406" t="str">
        <f t="shared" si="19"/>
        <v>03-2014</v>
      </c>
      <c r="N406">
        <f t="shared" si="20"/>
        <v>8.99</v>
      </c>
    </row>
    <row r="407" spans="3:14" x14ac:dyDescent="0.25">
      <c r="C407" t="str">
        <f>IF(COUNTBLANK(E407:K407) = 7,"",IF(AND(NOT(ISBLANK(E407)),COUNTBLANK(E407:K407) = 6),"3 Delete",IF(ISBLANK(E407),"2 Add",IF(SHA1Range(E407:K407) = "d72e83caac5d70bd01d827566f2bacc4e0e26e47","0 Original","1 Modify"))))</f>
        <v>0 Original</v>
      </c>
      <c r="D407" s="5" t="s">
        <v>2681</v>
      </c>
      <c r="E407" s="3">
        <v>2594</v>
      </c>
      <c r="F407" t="s">
        <v>1083</v>
      </c>
      <c r="G407" t="s">
        <v>948</v>
      </c>
      <c r="H407" s="9">
        <v>4.99</v>
      </c>
      <c r="I407" s="3">
        <v>1</v>
      </c>
      <c r="J407" s="5" t="s">
        <v>68</v>
      </c>
      <c r="K407" s="15">
        <v>41716.579965277779</v>
      </c>
      <c r="L407" s="20">
        <f t="shared" si="18"/>
        <v>41716</v>
      </c>
      <c r="M407" t="str">
        <f t="shared" si="19"/>
        <v>03-2014</v>
      </c>
      <c r="N407">
        <f t="shared" si="20"/>
        <v>4.99</v>
      </c>
    </row>
    <row r="408" spans="3:14" x14ac:dyDescent="0.25">
      <c r="C408" t="str">
        <f>IF(COUNTBLANK(E408:K408) = 7,"",IF(AND(NOT(ISBLANK(E408)),COUNTBLANK(E408:K408) = 6),"3 Delete",IF(ISBLANK(E408),"2 Add",IF(SHA1Range(E408:K408) = "0f7335ad2871edc8b672b46ada6dad30d3228a05","0 Original","1 Modify"))))</f>
        <v>0 Original</v>
      </c>
      <c r="D408" s="5" t="s">
        <v>2682</v>
      </c>
      <c r="E408" s="3">
        <v>2595</v>
      </c>
      <c r="F408" t="s">
        <v>1083</v>
      </c>
      <c r="G408" t="s">
        <v>400</v>
      </c>
      <c r="H408" s="9">
        <v>4.99</v>
      </c>
      <c r="I408" s="3">
        <v>1</v>
      </c>
      <c r="J408" s="5" t="s">
        <v>68</v>
      </c>
      <c r="K408" s="15">
        <v>41716.579965277779</v>
      </c>
      <c r="L408" s="20">
        <f t="shared" si="18"/>
        <v>41716</v>
      </c>
      <c r="M408" t="str">
        <f t="shared" si="19"/>
        <v>03-2014</v>
      </c>
      <c r="N408">
        <f t="shared" si="20"/>
        <v>4.99</v>
      </c>
    </row>
    <row r="409" spans="3:14" x14ac:dyDescent="0.25">
      <c r="C409" t="str">
        <f>IF(COUNTBLANK(E409:K409) = 7,"",IF(AND(NOT(ISBLANK(E409)),COUNTBLANK(E409:K409) = 6),"3 Delete",IF(ISBLANK(E409),"2 Add",IF(SHA1Range(E409:K409) = "c08b9aac463ecfea121bed91c00f6fc8af34a513","0 Original","1 Modify"))))</f>
        <v>0 Original</v>
      </c>
      <c r="D409" s="5" t="s">
        <v>2683</v>
      </c>
      <c r="E409" s="3">
        <v>2596</v>
      </c>
      <c r="F409" t="s">
        <v>1084</v>
      </c>
      <c r="G409" t="s">
        <v>749</v>
      </c>
      <c r="H409" s="9">
        <v>5.99</v>
      </c>
      <c r="I409" s="3">
        <v>1</v>
      </c>
      <c r="J409" s="5" t="s">
        <v>68</v>
      </c>
      <c r="K409" s="15">
        <v>41716.642812500002</v>
      </c>
      <c r="L409" s="20">
        <f t="shared" si="18"/>
        <v>41716</v>
      </c>
      <c r="M409" t="str">
        <f t="shared" si="19"/>
        <v>03-2014</v>
      </c>
      <c r="N409">
        <f t="shared" si="20"/>
        <v>5.99</v>
      </c>
    </row>
    <row r="410" spans="3:14" x14ac:dyDescent="0.25">
      <c r="C410" t="str">
        <f>IF(COUNTBLANK(E410:K410) = 7,"",IF(AND(NOT(ISBLANK(E410)),COUNTBLANK(E410:K410) = 6),"3 Delete",IF(ISBLANK(E410),"2 Add",IF(SHA1Range(E410:K410) = "d258a9048643f744163837be9c11c7c8cd8fb88f","0 Original","1 Modify"))))</f>
        <v>0 Original</v>
      </c>
      <c r="D410" s="5" t="s">
        <v>2684</v>
      </c>
      <c r="E410" s="3">
        <v>2597</v>
      </c>
      <c r="F410" t="s">
        <v>1084</v>
      </c>
      <c r="G410" t="s">
        <v>514</v>
      </c>
      <c r="H410" s="9">
        <v>6.99</v>
      </c>
      <c r="I410" s="3">
        <v>1</v>
      </c>
      <c r="J410" s="5" t="s">
        <v>68</v>
      </c>
      <c r="K410" s="15">
        <v>41716.642812500002</v>
      </c>
      <c r="L410" s="20">
        <f t="shared" si="18"/>
        <v>41716</v>
      </c>
      <c r="M410" t="str">
        <f t="shared" si="19"/>
        <v>03-2014</v>
      </c>
      <c r="N410">
        <f t="shared" si="20"/>
        <v>6.99</v>
      </c>
    </row>
    <row r="411" spans="3:14" x14ac:dyDescent="0.25">
      <c r="C411" t="str">
        <f>IF(COUNTBLANK(E411:K411) = 7,"",IF(AND(NOT(ISBLANK(E411)),COUNTBLANK(E411:K411) = 6),"3 Delete",IF(ISBLANK(E411),"2 Add",IF(SHA1Range(E411:K411) = "42c7b9e2997486dac28be118e930500bc34170e4","0 Original","1 Modify"))))</f>
        <v>0 Original</v>
      </c>
      <c r="D411" s="5" t="s">
        <v>2685</v>
      </c>
      <c r="E411" s="3">
        <v>2377</v>
      </c>
      <c r="F411" t="s">
        <v>1085</v>
      </c>
      <c r="G411" t="s">
        <v>400</v>
      </c>
      <c r="H411" s="9">
        <v>4.99</v>
      </c>
      <c r="I411" s="3">
        <v>1</v>
      </c>
      <c r="J411" s="5" t="s">
        <v>68</v>
      </c>
      <c r="K411" s="15">
        <v>41716.793969907405</v>
      </c>
      <c r="L411" s="20">
        <f t="shared" si="18"/>
        <v>41716</v>
      </c>
      <c r="M411" t="str">
        <f t="shared" si="19"/>
        <v>03-2014</v>
      </c>
      <c r="N411">
        <f t="shared" si="20"/>
        <v>4.99</v>
      </c>
    </row>
    <row r="412" spans="3:14" x14ac:dyDescent="0.25">
      <c r="C412" t="str">
        <f>IF(COUNTBLANK(E412:K412) = 7,"",IF(AND(NOT(ISBLANK(E412)),COUNTBLANK(E412:K412) = 6),"3 Delete",IF(ISBLANK(E412),"2 Add",IF(SHA1Range(E412:K412) = "7c19de18491326027435112af96a7a62d543a2b4","0 Original","1 Modify"))))</f>
        <v>0 Original</v>
      </c>
      <c r="D412" s="5" t="s">
        <v>2686</v>
      </c>
      <c r="E412" s="3">
        <v>2378</v>
      </c>
      <c r="F412" t="s">
        <v>1085</v>
      </c>
      <c r="G412" t="s">
        <v>642</v>
      </c>
      <c r="H412" s="9">
        <v>9.99</v>
      </c>
      <c r="I412" s="3">
        <v>2</v>
      </c>
      <c r="J412" s="5" t="s">
        <v>68</v>
      </c>
      <c r="K412" s="15">
        <v>41716.793969907405</v>
      </c>
      <c r="L412" s="20">
        <f t="shared" si="18"/>
        <v>41716</v>
      </c>
      <c r="M412" t="str">
        <f t="shared" si="19"/>
        <v>03-2014</v>
      </c>
      <c r="N412">
        <f t="shared" si="20"/>
        <v>19.98</v>
      </c>
    </row>
    <row r="413" spans="3:14" x14ac:dyDescent="0.25">
      <c r="C413" t="str">
        <f>IF(COUNTBLANK(E413:K413) = 7,"",IF(AND(NOT(ISBLANK(E413)),COUNTBLANK(E413:K413) = 6),"3 Delete",IF(ISBLANK(E413),"2 Add",IF(SHA1Range(E413:K413) = "46fcf7d2b7703a89d92a5b5883733bfad327182e","0 Original","1 Modify"))))</f>
        <v>0 Original</v>
      </c>
      <c r="D413" s="5" t="s">
        <v>2687</v>
      </c>
      <c r="E413" s="3">
        <v>2379</v>
      </c>
      <c r="F413" t="s">
        <v>1085</v>
      </c>
      <c r="G413" t="s">
        <v>373</v>
      </c>
      <c r="H413" s="9">
        <v>7.99</v>
      </c>
      <c r="I413" s="3">
        <v>1</v>
      </c>
      <c r="J413" s="5" t="s">
        <v>68</v>
      </c>
      <c r="K413" s="15">
        <v>41716.793969907405</v>
      </c>
      <c r="L413" s="20">
        <f t="shared" si="18"/>
        <v>41716</v>
      </c>
      <c r="M413" t="str">
        <f t="shared" si="19"/>
        <v>03-2014</v>
      </c>
      <c r="N413">
        <f t="shared" si="20"/>
        <v>7.99</v>
      </c>
    </row>
    <row r="414" spans="3:14" x14ac:dyDescent="0.25">
      <c r="C414" t="str">
        <f>IF(COUNTBLANK(E414:K414) = 7,"",IF(AND(NOT(ISBLANK(E414)),COUNTBLANK(E414:K414) = 6),"3 Delete",IF(ISBLANK(E414),"2 Add",IF(SHA1Range(E414:K414) = "597185816e16ab8d3e27a25b7d9b3f6f5277e069","0 Original","1 Modify"))))</f>
        <v>0 Original</v>
      </c>
      <c r="D414" s="5" t="s">
        <v>2688</v>
      </c>
      <c r="E414" s="3">
        <v>89</v>
      </c>
      <c r="F414" t="s">
        <v>1086</v>
      </c>
      <c r="G414" t="s">
        <v>521</v>
      </c>
      <c r="H414" s="9">
        <v>7.99</v>
      </c>
      <c r="I414" s="3">
        <v>2</v>
      </c>
      <c r="J414" s="5" t="s">
        <v>68</v>
      </c>
      <c r="K414" s="15">
        <v>41716.963495370372</v>
      </c>
      <c r="L414" s="20">
        <f t="shared" si="18"/>
        <v>41716</v>
      </c>
      <c r="M414" t="str">
        <f t="shared" si="19"/>
        <v>03-2014</v>
      </c>
      <c r="N414">
        <f t="shared" si="20"/>
        <v>15.98</v>
      </c>
    </row>
    <row r="415" spans="3:14" x14ac:dyDescent="0.25">
      <c r="C415" t="str">
        <f>IF(COUNTBLANK(E415:K415) = 7,"",IF(AND(NOT(ISBLANK(E415)),COUNTBLANK(E415:K415) = 6),"3 Delete",IF(ISBLANK(E415),"2 Add",IF(SHA1Range(E415:K415) = "f1fa575fc4b317ccc63f12629e83b8915534ff57","0 Original","1 Modify"))))</f>
        <v>0 Original</v>
      </c>
      <c r="D415" s="5" t="s">
        <v>2689</v>
      </c>
      <c r="E415" s="3">
        <v>90</v>
      </c>
      <c r="F415" t="s">
        <v>1086</v>
      </c>
      <c r="G415" t="s">
        <v>952</v>
      </c>
      <c r="H415" s="9">
        <v>9.99</v>
      </c>
      <c r="I415" s="3">
        <v>2</v>
      </c>
      <c r="J415" s="5" t="s">
        <v>68</v>
      </c>
      <c r="K415" s="15">
        <v>41716.963495370372</v>
      </c>
      <c r="L415" s="20">
        <f t="shared" si="18"/>
        <v>41716</v>
      </c>
      <c r="M415" t="str">
        <f t="shared" si="19"/>
        <v>03-2014</v>
      </c>
      <c r="N415">
        <f t="shared" si="20"/>
        <v>19.98</v>
      </c>
    </row>
    <row r="416" spans="3:14" x14ac:dyDescent="0.25">
      <c r="C416" t="str">
        <f>IF(COUNTBLANK(E416:K416) = 7,"",IF(AND(NOT(ISBLANK(E416)),COUNTBLANK(E416:K416) = 6),"3 Delete",IF(ISBLANK(E416),"2 Add",IF(SHA1Range(E416:K416) = "6515776e1ecf9c256d007c54119be029a9b62c6f","0 Original","1 Modify"))))</f>
        <v>0 Original</v>
      </c>
      <c r="D416" s="5" t="s">
        <v>2690</v>
      </c>
      <c r="E416" s="3">
        <v>91</v>
      </c>
      <c r="F416" t="s">
        <v>1086</v>
      </c>
      <c r="G416" t="s">
        <v>697</v>
      </c>
      <c r="H416" s="9">
        <v>5.99</v>
      </c>
      <c r="I416" s="3">
        <v>1</v>
      </c>
      <c r="J416" s="5" t="s">
        <v>68</v>
      </c>
      <c r="K416" s="15">
        <v>41716.963495370372</v>
      </c>
      <c r="L416" s="20">
        <f t="shared" si="18"/>
        <v>41716</v>
      </c>
      <c r="M416" t="str">
        <f t="shared" si="19"/>
        <v>03-2014</v>
      </c>
      <c r="N416">
        <f t="shared" si="20"/>
        <v>5.99</v>
      </c>
    </row>
    <row r="417" spans="3:14" x14ac:dyDescent="0.25">
      <c r="C417" t="str">
        <f>IF(COUNTBLANK(E417:K417) = 7,"",IF(AND(NOT(ISBLANK(E417)),COUNTBLANK(E417:K417) = 6),"3 Delete",IF(ISBLANK(E417),"2 Add",IF(SHA1Range(E417:K417) = "855408b3896b5e75402f3d1ad6f4889ea5330eba","0 Original","1 Modify"))))</f>
        <v>0 Original</v>
      </c>
      <c r="D417" s="5" t="s">
        <v>2691</v>
      </c>
      <c r="E417" s="3">
        <v>92</v>
      </c>
      <c r="F417" t="s">
        <v>1086</v>
      </c>
      <c r="G417" t="s">
        <v>711</v>
      </c>
      <c r="H417" s="9">
        <v>4.99</v>
      </c>
      <c r="I417" s="3">
        <v>1</v>
      </c>
      <c r="J417" s="5" t="s">
        <v>68</v>
      </c>
      <c r="K417" s="15">
        <v>41716.963495370372</v>
      </c>
      <c r="L417" s="20">
        <f t="shared" si="18"/>
        <v>41716</v>
      </c>
      <c r="M417" t="str">
        <f t="shared" si="19"/>
        <v>03-2014</v>
      </c>
      <c r="N417">
        <f t="shared" si="20"/>
        <v>4.99</v>
      </c>
    </row>
    <row r="418" spans="3:14" x14ac:dyDescent="0.25">
      <c r="C418" t="str">
        <f>IF(COUNTBLANK(E418:K418) = 7,"",IF(AND(NOT(ISBLANK(E418)),COUNTBLANK(E418:K418) = 6),"3 Delete",IF(ISBLANK(E418),"2 Add",IF(SHA1Range(E418:K418) = "a6006e42336fd1c6f586211c67afba1d681c6a82","0 Original","1 Modify"))))</f>
        <v>0 Original</v>
      </c>
      <c r="D418" s="5" t="s">
        <v>2692</v>
      </c>
      <c r="E418" s="3">
        <v>93</v>
      </c>
      <c r="F418" t="s">
        <v>1086</v>
      </c>
      <c r="G418" t="s">
        <v>939</v>
      </c>
      <c r="H418" s="9">
        <v>5.99</v>
      </c>
      <c r="I418" s="3">
        <v>1</v>
      </c>
      <c r="J418" s="5" t="s">
        <v>68</v>
      </c>
      <c r="K418" s="15">
        <v>41716.963495370372</v>
      </c>
      <c r="L418" s="20">
        <f t="shared" si="18"/>
        <v>41716</v>
      </c>
      <c r="M418" t="str">
        <f t="shared" si="19"/>
        <v>03-2014</v>
      </c>
      <c r="N418">
        <f t="shared" si="20"/>
        <v>5.99</v>
      </c>
    </row>
    <row r="419" spans="3:14" x14ac:dyDescent="0.25">
      <c r="C419" t="str">
        <f>IF(COUNTBLANK(E419:K419) = 7,"",IF(AND(NOT(ISBLANK(E419)),COUNTBLANK(E419:K419) = 6),"3 Delete",IF(ISBLANK(E419),"2 Add",IF(SHA1Range(E419:K419) = "8020cb78805b6c6c6795302ebd63dea3ebc0c45c","0 Original","1 Modify"))))</f>
        <v>0 Original</v>
      </c>
      <c r="D419" s="5" t="s">
        <v>2693</v>
      </c>
      <c r="E419" s="3">
        <v>94</v>
      </c>
      <c r="F419" t="s">
        <v>1086</v>
      </c>
      <c r="G419" t="s">
        <v>535</v>
      </c>
      <c r="H419" s="9">
        <v>4.99</v>
      </c>
      <c r="I419" s="3">
        <v>1</v>
      </c>
      <c r="J419" s="5" t="s">
        <v>68</v>
      </c>
      <c r="K419" s="15">
        <v>41716.963495370372</v>
      </c>
      <c r="L419" s="20">
        <f t="shared" si="18"/>
        <v>41716</v>
      </c>
      <c r="M419" t="str">
        <f t="shared" si="19"/>
        <v>03-2014</v>
      </c>
      <c r="N419">
        <f t="shared" si="20"/>
        <v>4.99</v>
      </c>
    </row>
    <row r="420" spans="3:14" x14ac:dyDescent="0.25">
      <c r="C420" t="str">
        <f>IF(COUNTBLANK(E420:K420) = 7,"",IF(AND(NOT(ISBLANK(E420)),COUNTBLANK(E420:K420) = 6),"3 Delete",IF(ISBLANK(E420),"2 Add",IF(SHA1Range(E420:K420) = "cf16599b478abe53e2c695349a4d01a27bef86fc","0 Original","1 Modify"))))</f>
        <v>0 Original</v>
      </c>
      <c r="D420" s="5" t="s">
        <v>2694</v>
      </c>
      <c r="E420" s="3">
        <v>95</v>
      </c>
      <c r="F420" t="s">
        <v>1086</v>
      </c>
      <c r="G420" t="s">
        <v>645</v>
      </c>
      <c r="H420" s="9">
        <v>7.99</v>
      </c>
      <c r="I420" s="3">
        <v>2</v>
      </c>
      <c r="J420" s="5" t="s">
        <v>68</v>
      </c>
      <c r="K420" s="15">
        <v>41716.963495370372</v>
      </c>
      <c r="L420" s="20">
        <f t="shared" si="18"/>
        <v>41716</v>
      </c>
      <c r="M420" t="str">
        <f t="shared" si="19"/>
        <v>03-2014</v>
      </c>
      <c r="N420">
        <f t="shared" si="20"/>
        <v>15.98</v>
      </c>
    </row>
    <row r="421" spans="3:14" x14ac:dyDescent="0.25">
      <c r="C421" t="str">
        <f>IF(COUNTBLANK(E421:K421) = 7,"",IF(AND(NOT(ISBLANK(E421)),COUNTBLANK(E421:K421) = 6),"3 Delete",IF(ISBLANK(E421),"2 Add",IF(SHA1Range(E421:K421) = "aca5bf8ab3b134abbf6956a9eb955f6948d0c0dc","0 Original","1 Modify"))))</f>
        <v>0 Original</v>
      </c>
      <c r="D421" s="5" t="s">
        <v>2695</v>
      </c>
      <c r="E421" s="3">
        <v>780</v>
      </c>
      <c r="F421" t="s">
        <v>1087</v>
      </c>
      <c r="G421" t="s">
        <v>389</v>
      </c>
      <c r="H421" s="9">
        <v>4.99</v>
      </c>
      <c r="I421" s="3">
        <v>2</v>
      </c>
      <c r="J421" s="5" t="s">
        <v>68</v>
      </c>
      <c r="K421" s="15">
        <v>41717.796979166669</v>
      </c>
      <c r="L421" s="20">
        <f t="shared" si="18"/>
        <v>41717</v>
      </c>
      <c r="M421" t="str">
        <f t="shared" si="19"/>
        <v>03-2014</v>
      </c>
      <c r="N421">
        <f t="shared" si="20"/>
        <v>9.98</v>
      </c>
    </row>
    <row r="422" spans="3:14" x14ac:dyDescent="0.25">
      <c r="C422" t="str">
        <f>IF(COUNTBLANK(E422:K422) = 7,"",IF(AND(NOT(ISBLANK(E422)),COUNTBLANK(E422:K422) = 6),"3 Delete",IF(ISBLANK(E422),"2 Add",IF(SHA1Range(E422:K422) = "06219a115ce1b7e412bd4df00641f950327c4fab","0 Original","1 Modify"))))</f>
        <v>0 Original</v>
      </c>
      <c r="D422" s="5" t="s">
        <v>2696</v>
      </c>
      <c r="E422" s="3">
        <v>781</v>
      </c>
      <c r="F422" t="s">
        <v>1087</v>
      </c>
      <c r="G422" t="s">
        <v>845</v>
      </c>
      <c r="H422" s="9">
        <v>7.99</v>
      </c>
      <c r="I422" s="3">
        <v>1</v>
      </c>
      <c r="J422" s="5" t="s">
        <v>68</v>
      </c>
      <c r="K422" s="15">
        <v>41717.796979166669</v>
      </c>
      <c r="L422" s="20">
        <f t="shared" si="18"/>
        <v>41717</v>
      </c>
      <c r="M422" t="str">
        <f t="shared" si="19"/>
        <v>03-2014</v>
      </c>
      <c r="N422">
        <f t="shared" si="20"/>
        <v>7.99</v>
      </c>
    </row>
    <row r="423" spans="3:14" x14ac:dyDescent="0.25">
      <c r="C423" t="str">
        <f>IF(COUNTBLANK(E423:K423) = 7,"",IF(AND(NOT(ISBLANK(E423)),COUNTBLANK(E423:K423) = 6),"3 Delete",IF(ISBLANK(E423),"2 Add",IF(SHA1Range(E423:K423) = "42bc349dbc259bcfdef342cf71a2402404961f97","0 Original","1 Modify"))))</f>
        <v>0 Original</v>
      </c>
      <c r="D423" s="5" t="s">
        <v>2697</v>
      </c>
      <c r="E423" s="3">
        <v>782</v>
      </c>
      <c r="F423" t="s">
        <v>1087</v>
      </c>
      <c r="G423" t="s">
        <v>955</v>
      </c>
      <c r="H423" s="9">
        <v>8.99</v>
      </c>
      <c r="I423" s="3">
        <v>2</v>
      </c>
      <c r="J423" s="5" t="s">
        <v>68</v>
      </c>
      <c r="K423" s="15">
        <v>41717.796979166669</v>
      </c>
      <c r="L423" s="20">
        <f t="shared" si="18"/>
        <v>41717</v>
      </c>
      <c r="M423" t="str">
        <f t="shared" si="19"/>
        <v>03-2014</v>
      </c>
      <c r="N423">
        <f t="shared" si="20"/>
        <v>17.98</v>
      </c>
    </row>
    <row r="424" spans="3:14" x14ac:dyDescent="0.25">
      <c r="C424" t="str">
        <f>IF(COUNTBLANK(E424:K424) = 7,"",IF(AND(NOT(ISBLANK(E424)),COUNTBLANK(E424:K424) = 6),"3 Delete",IF(ISBLANK(E424),"2 Add",IF(SHA1Range(E424:K424) = "4856d3d354c11dc25de950a54e99d18fc5d70cca","0 Original","1 Modify"))))</f>
        <v>0 Original</v>
      </c>
      <c r="D424" s="5" t="s">
        <v>2698</v>
      </c>
      <c r="E424" s="3">
        <v>783</v>
      </c>
      <c r="F424" t="s">
        <v>1087</v>
      </c>
      <c r="G424" t="s">
        <v>771</v>
      </c>
      <c r="H424" s="9">
        <v>9.99</v>
      </c>
      <c r="I424" s="3">
        <v>1</v>
      </c>
      <c r="J424" s="5" t="s">
        <v>68</v>
      </c>
      <c r="K424" s="15">
        <v>41717.796979166669</v>
      </c>
      <c r="L424" s="20">
        <f t="shared" si="18"/>
        <v>41717</v>
      </c>
      <c r="M424" t="str">
        <f t="shared" si="19"/>
        <v>03-2014</v>
      </c>
      <c r="N424">
        <f t="shared" si="20"/>
        <v>9.99</v>
      </c>
    </row>
    <row r="425" spans="3:14" x14ac:dyDescent="0.25">
      <c r="C425" t="str">
        <f>IF(COUNTBLANK(E425:K425) = 7,"",IF(AND(NOT(ISBLANK(E425)),COUNTBLANK(E425:K425) = 6),"3 Delete",IF(ISBLANK(E425),"2 Add",IF(SHA1Range(E425:K425) = "987ff1c0df5eca8e667092403ec77f584f0f34eb","0 Original","1 Modify"))))</f>
        <v>0 Original</v>
      </c>
      <c r="D425" s="5" t="s">
        <v>2699</v>
      </c>
      <c r="E425" s="3">
        <v>784</v>
      </c>
      <c r="F425" t="s">
        <v>1087</v>
      </c>
      <c r="G425" t="s">
        <v>687</v>
      </c>
      <c r="H425" s="9">
        <v>9.99</v>
      </c>
      <c r="I425" s="3">
        <v>2</v>
      </c>
      <c r="J425" s="5" t="s">
        <v>68</v>
      </c>
      <c r="K425" s="15">
        <v>41717.796979166669</v>
      </c>
      <c r="L425" s="20">
        <f t="shared" si="18"/>
        <v>41717</v>
      </c>
      <c r="M425" t="str">
        <f t="shared" si="19"/>
        <v>03-2014</v>
      </c>
      <c r="N425">
        <f t="shared" si="20"/>
        <v>19.98</v>
      </c>
    </row>
    <row r="426" spans="3:14" x14ac:dyDescent="0.25">
      <c r="C426" t="str">
        <f>IF(COUNTBLANK(E426:K426) = 7,"",IF(AND(NOT(ISBLANK(E426)),COUNTBLANK(E426:K426) = 6),"3 Delete",IF(ISBLANK(E426),"2 Add",IF(SHA1Range(E426:K426) = "a6d112c083965b1dd0fffa38684463c01dae2175","0 Original","1 Modify"))))</f>
        <v>0 Original</v>
      </c>
      <c r="D426" s="5" t="s">
        <v>2700</v>
      </c>
      <c r="E426" s="3">
        <v>785</v>
      </c>
      <c r="F426" t="s">
        <v>1087</v>
      </c>
      <c r="G426" t="s">
        <v>891</v>
      </c>
      <c r="H426" s="9">
        <v>8.99</v>
      </c>
      <c r="I426" s="3">
        <v>1</v>
      </c>
      <c r="J426" s="5" t="s">
        <v>68</v>
      </c>
      <c r="K426" s="15">
        <v>41717.796979166669</v>
      </c>
      <c r="L426" s="20">
        <f t="shared" si="18"/>
        <v>41717</v>
      </c>
      <c r="M426" t="str">
        <f t="shared" si="19"/>
        <v>03-2014</v>
      </c>
      <c r="N426">
        <f t="shared" si="20"/>
        <v>8.99</v>
      </c>
    </row>
    <row r="427" spans="3:14" x14ac:dyDescent="0.25">
      <c r="C427" t="str">
        <f>IF(COUNTBLANK(E427:K427) = 7,"",IF(AND(NOT(ISBLANK(E427)),COUNTBLANK(E427:K427) = 6),"3 Delete",IF(ISBLANK(E427),"2 Add",IF(SHA1Range(E427:K427) = "e9ec9ca447b7bc9fad1fc32a9cf03b528d76e7f1","0 Original","1 Modify"))))</f>
        <v>0 Original</v>
      </c>
      <c r="D427" s="5" t="s">
        <v>2701</v>
      </c>
      <c r="E427" s="3">
        <v>786</v>
      </c>
      <c r="F427" t="s">
        <v>1087</v>
      </c>
      <c r="G427" t="s">
        <v>820</v>
      </c>
      <c r="H427" s="9">
        <v>9.99</v>
      </c>
      <c r="I427" s="3">
        <v>1</v>
      </c>
      <c r="J427" s="5" t="s">
        <v>68</v>
      </c>
      <c r="K427" s="15">
        <v>41717.796979166669</v>
      </c>
      <c r="L427" s="20">
        <f t="shared" si="18"/>
        <v>41717</v>
      </c>
      <c r="M427" t="str">
        <f t="shared" si="19"/>
        <v>03-2014</v>
      </c>
      <c r="N427">
        <f t="shared" si="20"/>
        <v>9.99</v>
      </c>
    </row>
    <row r="428" spans="3:14" x14ac:dyDescent="0.25">
      <c r="C428" t="str">
        <f>IF(COUNTBLANK(E428:K428) = 7,"",IF(AND(NOT(ISBLANK(E428)),COUNTBLANK(E428:K428) = 6),"3 Delete",IF(ISBLANK(E428),"2 Add",IF(SHA1Range(E428:K428) = "3cf1f14a574ccad897035f1e6a060892215b3fce","0 Original","1 Modify"))))</f>
        <v>0 Original</v>
      </c>
      <c r="D428" s="5" t="s">
        <v>2702</v>
      </c>
      <c r="E428" s="3">
        <v>2250</v>
      </c>
      <c r="F428" t="s">
        <v>1088</v>
      </c>
      <c r="G428" t="s">
        <v>749</v>
      </c>
      <c r="H428" s="9">
        <v>5.99</v>
      </c>
      <c r="I428" s="3">
        <v>1</v>
      </c>
      <c r="J428" s="5" t="s">
        <v>68</v>
      </c>
      <c r="K428" s="15">
        <v>41717.899317129632</v>
      </c>
      <c r="L428" s="20">
        <f t="shared" si="18"/>
        <v>41717</v>
      </c>
      <c r="M428" t="str">
        <f t="shared" si="19"/>
        <v>03-2014</v>
      </c>
      <c r="N428">
        <f t="shared" si="20"/>
        <v>5.99</v>
      </c>
    </row>
    <row r="429" spans="3:14" x14ac:dyDescent="0.25">
      <c r="C429" t="str">
        <f>IF(COUNTBLANK(E429:K429) = 7,"",IF(AND(NOT(ISBLANK(E429)),COUNTBLANK(E429:K429) = 6),"3 Delete",IF(ISBLANK(E429),"2 Add",IF(SHA1Range(E429:K429) = "2f4e1dee402a84c0a7fd91a713b28e9221b628ee","0 Original","1 Modify"))))</f>
        <v>0 Original</v>
      </c>
      <c r="D429" s="5" t="s">
        <v>2703</v>
      </c>
      <c r="E429" s="3">
        <v>2251</v>
      </c>
      <c r="F429" t="s">
        <v>1088</v>
      </c>
      <c r="G429" t="s">
        <v>503</v>
      </c>
      <c r="H429" s="9">
        <v>9.99</v>
      </c>
      <c r="I429" s="3">
        <v>1</v>
      </c>
      <c r="J429" s="5" t="s">
        <v>68</v>
      </c>
      <c r="K429" s="15">
        <v>41717.899317129632</v>
      </c>
      <c r="L429" s="20">
        <f t="shared" si="18"/>
        <v>41717</v>
      </c>
      <c r="M429" t="str">
        <f t="shared" si="19"/>
        <v>03-2014</v>
      </c>
      <c r="N429">
        <f t="shared" si="20"/>
        <v>9.99</v>
      </c>
    </row>
    <row r="430" spans="3:14" x14ac:dyDescent="0.25">
      <c r="C430" t="str">
        <f>IF(COUNTBLANK(E430:K430) = 7,"",IF(AND(NOT(ISBLANK(E430)),COUNTBLANK(E430:K430) = 6),"3 Delete",IF(ISBLANK(E430),"2 Add",IF(SHA1Range(E430:K430) = "b131bad72de5489a4b5a4eb56504821450d1e213","0 Original","1 Modify"))))</f>
        <v>0 Original</v>
      </c>
      <c r="D430" s="5" t="s">
        <v>2704</v>
      </c>
      <c r="E430" s="3">
        <v>2252</v>
      </c>
      <c r="F430" t="s">
        <v>1088</v>
      </c>
      <c r="G430" t="s">
        <v>610</v>
      </c>
      <c r="H430" s="9">
        <v>9.99</v>
      </c>
      <c r="I430" s="3">
        <v>2</v>
      </c>
      <c r="J430" s="5" t="s">
        <v>68</v>
      </c>
      <c r="K430" s="15">
        <v>41717.899317129632</v>
      </c>
      <c r="L430" s="20">
        <f t="shared" si="18"/>
        <v>41717</v>
      </c>
      <c r="M430" t="str">
        <f t="shared" si="19"/>
        <v>03-2014</v>
      </c>
      <c r="N430">
        <f t="shared" si="20"/>
        <v>19.98</v>
      </c>
    </row>
    <row r="431" spans="3:14" x14ac:dyDescent="0.25">
      <c r="C431" t="str">
        <f>IF(COUNTBLANK(E431:K431) = 7,"",IF(AND(NOT(ISBLANK(E431)),COUNTBLANK(E431:K431) = 6),"3 Delete",IF(ISBLANK(E431),"2 Add",IF(SHA1Range(E431:K431) = "41e0aeb0f0d3d20153f71c69d408d35cd72cdd1c","0 Original","1 Modify"))))</f>
        <v>0 Original</v>
      </c>
      <c r="D431" s="5" t="s">
        <v>2705</v>
      </c>
      <c r="E431" s="3">
        <v>2253</v>
      </c>
      <c r="F431" t="s">
        <v>1088</v>
      </c>
      <c r="G431" t="s">
        <v>761</v>
      </c>
      <c r="H431" s="9">
        <v>8.99</v>
      </c>
      <c r="I431" s="3">
        <v>2</v>
      </c>
      <c r="J431" s="5" t="s">
        <v>68</v>
      </c>
      <c r="K431" s="15">
        <v>41717.899317129632</v>
      </c>
      <c r="L431" s="20">
        <f t="shared" si="18"/>
        <v>41717</v>
      </c>
      <c r="M431" t="str">
        <f t="shared" si="19"/>
        <v>03-2014</v>
      </c>
      <c r="N431">
        <f t="shared" si="20"/>
        <v>17.98</v>
      </c>
    </row>
    <row r="432" spans="3:14" x14ac:dyDescent="0.25">
      <c r="C432" t="str">
        <f>IF(COUNTBLANK(E432:K432) = 7,"",IF(AND(NOT(ISBLANK(E432)),COUNTBLANK(E432:K432) = 6),"3 Delete",IF(ISBLANK(E432),"2 Add",IF(SHA1Range(E432:K432) = "cb218ec4b2a39bbc52b0103acd016e403b0b563f","0 Original","1 Modify"))))</f>
        <v>0 Original</v>
      </c>
      <c r="D432" s="5" t="s">
        <v>2706</v>
      </c>
      <c r="E432" s="3">
        <v>3824</v>
      </c>
      <c r="F432" t="s">
        <v>1089</v>
      </c>
      <c r="G432" t="s">
        <v>514</v>
      </c>
      <c r="H432" s="9">
        <v>6.99</v>
      </c>
      <c r="I432" s="3">
        <v>1</v>
      </c>
      <c r="J432" s="5" t="s">
        <v>68</v>
      </c>
      <c r="K432" s="15">
        <v>41718.761087962965</v>
      </c>
      <c r="L432" s="20">
        <f t="shared" si="18"/>
        <v>41718</v>
      </c>
      <c r="M432" t="str">
        <f t="shared" si="19"/>
        <v>03-2014</v>
      </c>
      <c r="N432">
        <f t="shared" si="20"/>
        <v>6.99</v>
      </c>
    </row>
    <row r="433" spans="3:14" x14ac:dyDescent="0.25">
      <c r="C433" t="str">
        <f>IF(COUNTBLANK(E433:K433) = 7,"",IF(AND(NOT(ISBLANK(E433)),COUNTBLANK(E433:K433) = 6),"3 Delete",IF(ISBLANK(E433),"2 Add",IF(SHA1Range(E433:K433) = "720a734912310a5ec4d95ef48fb98bb2572058b2","0 Original","1 Modify"))))</f>
        <v>0 Original</v>
      </c>
      <c r="D433" s="5" t="s">
        <v>2707</v>
      </c>
      <c r="E433" s="3">
        <v>3825</v>
      </c>
      <c r="F433" t="s">
        <v>1089</v>
      </c>
      <c r="G433" t="s">
        <v>514</v>
      </c>
      <c r="H433" s="9">
        <v>6.99</v>
      </c>
      <c r="I433" s="3">
        <v>1</v>
      </c>
      <c r="J433" s="5" t="s">
        <v>68</v>
      </c>
      <c r="K433" s="15">
        <v>41718.761087962965</v>
      </c>
      <c r="L433" s="20">
        <f t="shared" si="18"/>
        <v>41718</v>
      </c>
      <c r="M433" t="str">
        <f t="shared" si="19"/>
        <v>03-2014</v>
      </c>
      <c r="N433">
        <f t="shared" si="20"/>
        <v>6.99</v>
      </c>
    </row>
    <row r="434" spans="3:14" x14ac:dyDescent="0.25">
      <c r="C434" t="str">
        <f>IF(COUNTBLANK(E434:K434) = 7,"",IF(AND(NOT(ISBLANK(E434)),COUNTBLANK(E434:K434) = 6),"3 Delete",IF(ISBLANK(E434),"2 Add",IF(SHA1Range(E434:K434) = "58f93a54254855a7b50a8136dac3c9ff48c3f678","0 Original","1 Modify"))))</f>
        <v>0 Original</v>
      </c>
      <c r="D434" s="5" t="s">
        <v>2708</v>
      </c>
      <c r="E434" s="3">
        <v>3826</v>
      </c>
      <c r="F434" t="s">
        <v>1089</v>
      </c>
      <c r="G434" t="s">
        <v>707</v>
      </c>
      <c r="H434" s="9">
        <v>7.99</v>
      </c>
      <c r="I434" s="3">
        <v>1</v>
      </c>
      <c r="J434" s="5" t="s">
        <v>68</v>
      </c>
      <c r="K434" s="15">
        <v>41718.761087962965</v>
      </c>
      <c r="L434" s="20">
        <f t="shared" si="18"/>
        <v>41718</v>
      </c>
      <c r="M434" t="str">
        <f t="shared" si="19"/>
        <v>03-2014</v>
      </c>
      <c r="N434">
        <f t="shared" si="20"/>
        <v>7.99</v>
      </c>
    </row>
    <row r="435" spans="3:14" x14ac:dyDescent="0.25">
      <c r="C435" t="str">
        <f>IF(COUNTBLANK(E435:K435) = 7,"",IF(AND(NOT(ISBLANK(E435)),COUNTBLANK(E435:K435) = 6),"3 Delete",IF(ISBLANK(E435),"2 Add",IF(SHA1Range(E435:K435) = "6c8e300542d7a5603f338a807ea238addab6bc4d","0 Original","1 Modify"))))</f>
        <v>0 Original</v>
      </c>
      <c r="D435" s="5" t="s">
        <v>2709</v>
      </c>
      <c r="E435" s="3">
        <v>1435</v>
      </c>
      <c r="F435" t="s">
        <v>1090</v>
      </c>
      <c r="G435" t="s">
        <v>739</v>
      </c>
      <c r="H435" s="9">
        <v>8.99</v>
      </c>
      <c r="I435" s="3">
        <v>1</v>
      </c>
      <c r="J435" s="5" t="s">
        <v>68</v>
      </c>
      <c r="K435" s="15">
        <v>41718.840798611112</v>
      </c>
      <c r="L435" s="20">
        <f t="shared" si="18"/>
        <v>41718</v>
      </c>
      <c r="M435" t="str">
        <f t="shared" si="19"/>
        <v>03-2014</v>
      </c>
      <c r="N435">
        <f t="shared" si="20"/>
        <v>8.99</v>
      </c>
    </row>
    <row r="436" spans="3:14" x14ac:dyDescent="0.25">
      <c r="C436" t="str">
        <f>IF(COUNTBLANK(E436:K436) = 7,"",IF(AND(NOT(ISBLANK(E436)),COUNTBLANK(E436:K436) = 6),"3 Delete",IF(ISBLANK(E436),"2 Add",IF(SHA1Range(E436:K436) = "950f167d5eb3d594b18682be8e0a4380eb0569ab","0 Original","1 Modify"))))</f>
        <v>0 Original</v>
      </c>
      <c r="D436" s="5" t="s">
        <v>2710</v>
      </c>
      <c r="E436" s="3">
        <v>1436</v>
      </c>
      <c r="F436" t="s">
        <v>1090</v>
      </c>
      <c r="G436" t="s">
        <v>935</v>
      </c>
      <c r="H436" s="9">
        <v>6.99</v>
      </c>
      <c r="I436" s="3">
        <v>1</v>
      </c>
      <c r="J436" s="5" t="s">
        <v>68</v>
      </c>
      <c r="K436" s="15">
        <v>41718.840798611112</v>
      </c>
      <c r="L436" s="20">
        <f t="shared" si="18"/>
        <v>41718</v>
      </c>
      <c r="M436" t="str">
        <f t="shared" si="19"/>
        <v>03-2014</v>
      </c>
      <c r="N436">
        <f t="shared" si="20"/>
        <v>6.99</v>
      </c>
    </row>
    <row r="437" spans="3:14" x14ac:dyDescent="0.25">
      <c r="C437" t="str">
        <f>IF(COUNTBLANK(E437:K437) = 7,"",IF(AND(NOT(ISBLANK(E437)),COUNTBLANK(E437:K437) = 6),"3 Delete",IF(ISBLANK(E437),"2 Add",IF(SHA1Range(E437:K437) = "7e6ce3fc4152517534ad0ba6244cedbc2dcd27c2","0 Original","1 Modify"))))</f>
        <v>0 Original</v>
      </c>
      <c r="D437" s="5" t="s">
        <v>2711</v>
      </c>
      <c r="E437" s="3">
        <v>1437</v>
      </c>
      <c r="F437" t="s">
        <v>1090</v>
      </c>
      <c r="G437" t="s">
        <v>570</v>
      </c>
      <c r="H437" s="9">
        <v>6.99</v>
      </c>
      <c r="I437" s="3">
        <v>2</v>
      </c>
      <c r="J437" s="5" t="s">
        <v>68</v>
      </c>
      <c r="K437" s="15">
        <v>41718.840798611112</v>
      </c>
      <c r="L437" s="20">
        <f t="shared" si="18"/>
        <v>41718</v>
      </c>
      <c r="M437" t="str">
        <f t="shared" si="19"/>
        <v>03-2014</v>
      </c>
      <c r="N437">
        <f t="shared" si="20"/>
        <v>13.98</v>
      </c>
    </row>
    <row r="438" spans="3:14" x14ac:dyDescent="0.25">
      <c r="C438" t="str">
        <f>IF(COUNTBLANK(E438:K438) = 7,"",IF(AND(NOT(ISBLANK(E438)),COUNTBLANK(E438:K438) = 6),"3 Delete",IF(ISBLANK(E438),"2 Add",IF(SHA1Range(E438:K438) = "b48be5cc01b435638e068eb14d2b9d1e0b3c34a4","0 Original","1 Modify"))))</f>
        <v>0 Original</v>
      </c>
      <c r="D438" s="5" t="s">
        <v>2712</v>
      </c>
      <c r="E438" s="3">
        <v>1438</v>
      </c>
      <c r="F438" t="s">
        <v>1090</v>
      </c>
      <c r="G438" t="s">
        <v>642</v>
      </c>
      <c r="H438" s="9">
        <v>9.99</v>
      </c>
      <c r="I438" s="3">
        <v>1</v>
      </c>
      <c r="J438" s="5" t="s">
        <v>68</v>
      </c>
      <c r="K438" s="15">
        <v>41718.840798611112</v>
      </c>
      <c r="L438" s="20">
        <f t="shared" si="18"/>
        <v>41718</v>
      </c>
      <c r="M438" t="str">
        <f t="shared" si="19"/>
        <v>03-2014</v>
      </c>
      <c r="N438">
        <f t="shared" si="20"/>
        <v>9.99</v>
      </c>
    </row>
    <row r="439" spans="3:14" x14ac:dyDescent="0.25">
      <c r="C439" t="str">
        <f>IF(COUNTBLANK(E439:K439) = 7,"",IF(AND(NOT(ISBLANK(E439)),COUNTBLANK(E439:K439) = 6),"3 Delete",IF(ISBLANK(E439),"2 Add",IF(SHA1Range(E439:K439) = "a6b9e6fd4c6f70361008816adc1d0b4ae41fd398","0 Original","1 Modify"))))</f>
        <v>0 Original</v>
      </c>
      <c r="D439" s="5" t="s">
        <v>2713</v>
      </c>
      <c r="E439" s="3">
        <v>1439</v>
      </c>
      <c r="F439" t="s">
        <v>1090</v>
      </c>
      <c r="G439" t="s">
        <v>912</v>
      </c>
      <c r="H439" s="9">
        <v>6.99</v>
      </c>
      <c r="I439" s="3">
        <v>1</v>
      </c>
      <c r="J439" s="5" t="s">
        <v>68</v>
      </c>
      <c r="K439" s="15">
        <v>41718.840798611112</v>
      </c>
      <c r="L439" s="20">
        <f t="shared" si="18"/>
        <v>41718</v>
      </c>
      <c r="M439" t="str">
        <f t="shared" si="19"/>
        <v>03-2014</v>
      </c>
      <c r="N439">
        <f t="shared" si="20"/>
        <v>6.99</v>
      </c>
    </row>
    <row r="440" spans="3:14" x14ac:dyDescent="0.25">
      <c r="C440" t="str">
        <f>IF(COUNTBLANK(E440:K440) = 7,"",IF(AND(NOT(ISBLANK(E440)),COUNTBLANK(E440:K440) = 6),"3 Delete",IF(ISBLANK(E440),"2 Add",IF(SHA1Range(E440:K440) = "d87e2572a7ab080bca89662ff92495601a978fdb","0 Original","1 Modify"))))</f>
        <v>0 Original</v>
      </c>
      <c r="D440" s="5" t="s">
        <v>2714</v>
      </c>
      <c r="E440" s="3">
        <v>1440</v>
      </c>
      <c r="F440" t="s">
        <v>1090</v>
      </c>
      <c r="G440" t="s">
        <v>570</v>
      </c>
      <c r="H440" s="9">
        <v>6.99</v>
      </c>
      <c r="I440" s="3">
        <v>2</v>
      </c>
      <c r="J440" s="5" t="s">
        <v>68</v>
      </c>
      <c r="K440" s="15">
        <v>41718.840798611112</v>
      </c>
      <c r="L440" s="20">
        <f t="shared" si="18"/>
        <v>41718</v>
      </c>
      <c r="M440" t="str">
        <f t="shared" si="19"/>
        <v>03-2014</v>
      </c>
      <c r="N440">
        <f t="shared" si="20"/>
        <v>13.98</v>
      </c>
    </row>
    <row r="441" spans="3:14" x14ac:dyDescent="0.25">
      <c r="C441" t="str">
        <f>IF(COUNTBLANK(E441:K441) = 7,"",IF(AND(NOT(ISBLANK(E441)),COUNTBLANK(E441:K441) = 6),"3 Delete",IF(ISBLANK(E441),"2 Add",IF(SHA1Range(E441:K441) = "f05af48deeb73c906bd47b8a4a745e884196d83e","0 Original","1 Modify"))))</f>
        <v>0 Original</v>
      </c>
      <c r="D441" s="5" t="s">
        <v>2715</v>
      </c>
      <c r="E441" s="3">
        <v>1570</v>
      </c>
      <c r="F441" t="s">
        <v>1091</v>
      </c>
      <c r="G441" t="s">
        <v>955</v>
      </c>
      <c r="H441" s="9">
        <v>8.99</v>
      </c>
      <c r="I441" s="3">
        <v>1</v>
      </c>
      <c r="J441" s="5" t="s">
        <v>68</v>
      </c>
      <c r="K441" s="15">
        <v>41719.213738425926</v>
      </c>
      <c r="L441" s="20">
        <f t="shared" si="18"/>
        <v>41719</v>
      </c>
      <c r="M441" t="str">
        <f t="shared" si="19"/>
        <v>03-2014</v>
      </c>
      <c r="N441">
        <f t="shared" si="20"/>
        <v>8.99</v>
      </c>
    </row>
    <row r="442" spans="3:14" x14ac:dyDescent="0.25">
      <c r="C442" t="str">
        <f>IF(COUNTBLANK(E442:K442) = 7,"",IF(AND(NOT(ISBLANK(E442)),COUNTBLANK(E442:K442) = 6),"3 Delete",IF(ISBLANK(E442),"2 Add",IF(SHA1Range(E442:K442) = "7c0e25f4359f21380ae4d96bacbdccf6eb380226","0 Original","1 Modify"))))</f>
        <v>0 Original</v>
      </c>
      <c r="D442" s="5" t="s">
        <v>2716</v>
      </c>
      <c r="E442" s="3">
        <v>1571</v>
      </c>
      <c r="F442" t="s">
        <v>1091</v>
      </c>
      <c r="G442" t="s">
        <v>560</v>
      </c>
      <c r="H442" s="9">
        <v>8.99</v>
      </c>
      <c r="I442" s="3">
        <v>2</v>
      </c>
      <c r="J442" s="5" t="s">
        <v>68</v>
      </c>
      <c r="K442" s="15">
        <v>41719.213738425926</v>
      </c>
      <c r="L442" s="20">
        <f t="shared" si="18"/>
        <v>41719</v>
      </c>
      <c r="M442" t="str">
        <f t="shared" si="19"/>
        <v>03-2014</v>
      </c>
      <c r="N442">
        <f t="shared" si="20"/>
        <v>17.98</v>
      </c>
    </row>
    <row r="443" spans="3:14" x14ac:dyDescent="0.25">
      <c r="C443" t="str">
        <f>IF(COUNTBLANK(E443:K443) = 7,"",IF(AND(NOT(ISBLANK(E443)),COUNTBLANK(E443:K443) = 6),"3 Delete",IF(ISBLANK(E443),"2 Add",IF(SHA1Range(E443:K443) = "9839cc3a354b5278d590d512aadfc32c2d6da7fe","0 Original","1 Modify"))))</f>
        <v>0 Original</v>
      </c>
      <c r="D443" s="5" t="s">
        <v>2717</v>
      </c>
      <c r="E443" s="3">
        <v>1572</v>
      </c>
      <c r="F443" t="s">
        <v>1091</v>
      </c>
      <c r="G443" t="s">
        <v>657</v>
      </c>
      <c r="H443" s="9">
        <v>9.99</v>
      </c>
      <c r="I443" s="3">
        <v>1</v>
      </c>
      <c r="J443" s="5" t="s">
        <v>68</v>
      </c>
      <c r="K443" s="15">
        <v>41719.213738425926</v>
      </c>
      <c r="L443" s="20">
        <f t="shared" si="18"/>
        <v>41719</v>
      </c>
      <c r="M443" t="str">
        <f t="shared" si="19"/>
        <v>03-2014</v>
      </c>
      <c r="N443">
        <f t="shared" si="20"/>
        <v>9.99</v>
      </c>
    </row>
    <row r="444" spans="3:14" x14ac:dyDescent="0.25">
      <c r="C444" t="str">
        <f>IF(COUNTBLANK(E444:K444) = 7,"",IF(AND(NOT(ISBLANK(E444)),COUNTBLANK(E444:K444) = 6),"3 Delete",IF(ISBLANK(E444),"2 Add",IF(SHA1Range(E444:K444) = "920a602a9cfaa9d44962006bce3ea5ef5c702933","0 Original","1 Modify"))))</f>
        <v>0 Original</v>
      </c>
      <c r="D444" s="5" t="s">
        <v>2718</v>
      </c>
      <c r="E444" s="3">
        <v>703</v>
      </c>
      <c r="F444" t="s">
        <v>1092</v>
      </c>
      <c r="G444" t="s">
        <v>500</v>
      </c>
      <c r="H444" s="9">
        <v>6.99</v>
      </c>
      <c r="I444" s="3">
        <v>2</v>
      </c>
      <c r="J444" s="5" t="s">
        <v>68</v>
      </c>
      <c r="K444" s="15">
        <v>41719.289270833331</v>
      </c>
      <c r="L444" s="20">
        <f t="shared" si="18"/>
        <v>41719</v>
      </c>
      <c r="M444" t="str">
        <f t="shared" si="19"/>
        <v>03-2014</v>
      </c>
      <c r="N444">
        <f t="shared" si="20"/>
        <v>13.98</v>
      </c>
    </row>
    <row r="445" spans="3:14" x14ac:dyDescent="0.25">
      <c r="C445" t="str">
        <f>IF(COUNTBLANK(E445:K445) = 7,"",IF(AND(NOT(ISBLANK(E445)),COUNTBLANK(E445:K445) = 6),"3 Delete",IF(ISBLANK(E445),"2 Add",IF(SHA1Range(E445:K445) = "a718b8f5c5882cbfa8aa9c7e23e0fb0d82124384","0 Original","1 Modify"))))</f>
        <v>0 Original</v>
      </c>
      <c r="D445" s="5" t="s">
        <v>2719</v>
      </c>
      <c r="E445" s="3">
        <v>704</v>
      </c>
      <c r="F445" t="s">
        <v>1092</v>
      </c>
      <c r="G445" t="s">
        <v>897</v>
      </c>
      <c r="H445" s="9">
        <v>6.99</v>
      </c>
      <c r="I445" s="3">
        <v>1</v>
      </c>
      <c r="J445" s="5" t="s">
        <v>68</v>
      </c>
      <c r="K445" s="15">
        <v>41719.289270833331</v>
      </c>
      <c r="L445" s="20">
        <f t="shared" si="18"/>
        <v>41719</v>
      </c>
      <c r="M445" t="str">
        <f t="shared" si="19"/>
        <v>03-2014</v>
      </c>
      <c r="N445">
        <f t="shared" si="20"/>
        <v>6.99</v>
      </c>
    </row>
    <row r="446" spans="3:14" x14ac:dyDescent="0.25">
      <c r="C446" t="str">
        <f>IF(COUNTBLANK(E446:K446) = 7,"",IF(AND(NOT(ISBLANK(E446)),COUNTBLANK(E446:K446) = 6),"3 Delete",IF(ISBLANK(E446),"2 Add",IF(SHA1Range(E446:K446) = "0825be62ed46e122b357df9b39556be47d6da87d","0 Original","1 Modify"))))</f>
        <v>0 Original</v>
      </c>
      <c r="D446" s="5" t="s">
        <v>2720</v>
      </c>
      <c r="E446" s="3">
        <v>712</v>
      </c>
      <c r="F446" t="s">
        <v>1093</v>
      </c>
      <c r="G446" t="s">
        <v>820</v>
      </c>
      <c r="H446" s="9">
        <v>9.99</v>
      </c>
      <c r="I446" s="3">
        <v>1</v>
      </c>
      <c r="J446" s="5" t="s">
        <v>68</v>
      </c>
      <c r="K446" s="15">
        <v>41721.081458333334</v>
      </c>
      <c r="L446" s="20">
        <f t="shared" si="18"/>
        <v>41721</v>
      </c>
      <c r="M446" t="str">
        <f t="shared" si="19"/>
        <v>03-2014</v>
      </c>
      <c r="N446">
        <f t="shared" si="20"/>
        <v>9.99</v>
      </c>
    </row>
    <row r="447" spans="3:14" x14ac:dyDescent="0.25">
      <c r="C447" t="str">
        <f>IF(COUNTBLANK(E447:K447) = 7,"",IF(AND(NOT(ISBLANK(E447)),COUNTBLANK(E447:K447) = 6),"3 Delete",IF(ISBLANK(E447),"2 Add",IF(SHA1Range(E447:K447) = "cc99103c46f8321def3dc5c15545044156cb41f6","0 Original","1 Modify"))))</f>
        <v>0 Original</v>
      </c>
      <c r="D447" s="5" t="s">
        <v>2721</v>
      </c>
      <c r="E447" s="3">
        <v>713</v>
      </c>
      <c r="F447" t="s">
        <v>1093</v>
      </c>
      <c r="G447" t="s">
        <v>771</v>
      </c>
      <c r="H447" s="9">
        <v>9.99</v>
      </c>
      <c r="I447" s="3">
        <v>1</v>
      </c>
      <c r="J447" s="5" t="s">
        <v>68</v>
      </c>
      <c r="K447" s="15">
        <v>41721.081458333334</v>
      </c>
      <c r="L447" s="20">
        <f t="shared" si="18"/>
        <v>41721</v>
      </c>
      <c r="M447" t="str">
        <f t="shared" si="19"/>
        <v>03-2014</v>
      </c>
      <c r="N447">
        <f t="shared" si="20"/>
        <v>9.99</v>
      </c>
    </row>
    <row r="448" spans="3:14" x14ac:dyDescent="0.25">
      <c r="C448" t="str">
        <f>IF(COUNTBLANK(E448:K448) = 7,"",IF(AND(NOT(ISBLANK(E448)),COUNTBLANK(E448:K448) = 6),"3 Delete",IF(ISBLANK(E448),"2 Add",IF(SHA1Range(E448:K448) = "480111509c72e5243843e354fc1e4248f2399360","0 Original","1 Modify"))))</f>
        <v>0 Original</v>
      </c>
      <c r="D448" s="5" t="s">
        <v>2722</v>
      </c>
      <c r="E448" s="3">
        <v>1067</v>
      </c>
      <c r="F448" t="s">
        <v>1094</v>
      </c>
      <c r="G448" t="s">
        <v>528</v>
      </c>
      <c r="H448" s="9">
        <v>5.99</v>
      </c>
      <c r="I448" s="3">
        <v>1</v>
      </c>
      <c r="J448" s="5" t="s">
        <v>68</v>
      </c>
      <c r="K448" s="15">
        <v>41721.493148148147</v>
      </c>
      <c r="L448" s="20">
        <f t="shared" si="18"/>
        <v>41721</v>
      </c>
      <c r="M448" t="str">
        <f t="shared" si="19"/>
        <v>03-2014</v>
      </c>
      <c r="N448">
        <f t="shared" si="20"/>
        <v>5.99</v>
      </c>
    </row>
    <row r="449" spans="3:14" x14ac:dyDescent="0.25">
      <c r="C449" t="str">
        <f>IF(COUNTBLANK(E449:K449) = 7,"",IF(AND(NOT(ISBLANK(E449)),COUNTBLANK(E449:K449) = 6),"3 Delete",IF(ISBLANK(E449),"2 Add",IF(SHA1Range(E449:K449) = "cfcab4bd868fa6afa372dccd2586368e457bdbfe","0 Original","1 Modify"))))</f>
        <v>0 Original</v>
      </c>
      <c r="D449" s="5" t="s">
        <v>2723</v>
      </c>
      <c r="E449" s="3">
        <v>1068</v>
      </c>
      <c r="F449" t="s">
        <v>1094</v>
      </c>
      <c r="G449" t="s">
        <v>596</v>
      </c>
      <c r="H449" s="9">
        <v>7.99</v>
      </c>
      <c r="I449" s="3">
        <v>1</v>
      </c>
      <c r="J449" s="5" t="s">
        <v>68</v>
      </c>
      <c r="K449" s="15">
        <v>41721.493148148147</v>
      </c>
      <c r="L449" s="20">
        <f t="shared" si="18"/>
        <v>41721</v>
      </c>
      <c r="M449" t="str">
        <f t="shared" si="19"/>
        <v>03-2014</v>
      </c>
      <c r="N449">
        <f t="shared" si="20"/>
        <v>7.99</v>
      </c>
    </row>
    <row r="450" spans="3:14" x14ac:dyDescent="0.25">
      <c r="C450" t="str">
        <f>IF(COUNTBLANK(E450:K450) = 7,"",IF(AND(NOT(ISBLANK(E450)),COUNTBLANK(E450:K450) = 6),"3 Delete",IF(ISBLANK(E450),"2 Add",IF(SHA1Range(E450:K450) = "669ccd8d4296881ee176fa576790324f74315cbd","0 Original","1 Modify"))))</f>
        <v>0 Original</v>
      </c>
      <c r="D450" s="5" t="s">
        <v>2724</v>
      </c>
      <c r="E450" s="3">
        <v>1069</v>
      </c>
      <c r="F450" t="s">
        <v>1094</v>
      </c>
      <c r="G450" t="s">
        <v>585</v>
      </c>
      <c r="H450" s="9">
        <v>9.99</v>
      </c>
      <c r="I450" s="3">
        <v>2</v>
      </c>
      <c r="J450" s="5" t="s">
        <v>68</v>
      </c>
      <c r="K450" s="15">
        <v>41721.493148148147</v>
      </c>
      <c r="L450" s="20">
        <f t="shared" si="18"/>
        <v>41721</v>
      </c>
      <c r="M450" t="str">
        <f t="shared" si="19"/>
        <v>03-2014</v>
      </c>
      <c r="N450">
        <f t="shared" si="20"/>
        <v>19.98</v>
      </c>
    </row>
    <row r="451" spans="3:14" x14ac:dyDescent="0.25">
      <c r="C451" t="str">
        <f>IF(COUNTBLANK(E451:K451) = 7,"",IF(AND(NOT(ISBLANK(E451)),COUNTBLANK(E451:K451) = 6),"3 Delete",IF(ISBLANK(E451),"2 Add",IF(SHA1Range(E451:K451) = "36d74f5176d83454b6a50a16f56e9dc0ddca3240","0 Original","1 Modify"))))</f>
        <v>0 Original</v>
      </c>
      <c r="D451" s="5" t="s">
        <v>2725</v>
      </c>
      <c r="E451" s="3">
        <v>2762</v>
      </c>
      <c r="F451" t="s">
        <v>1095</v>
      </c>
      <c r="G451" t="s">
        <v>687</v>
      </c>
      <c r="H451" s="9">
        <v>9.99</v>
      </c>
      <c r="I451" s="3">
        <v>1</v>
      </c>
      <c r="J451" s="5" t="s">
        <v>68</v>
      </c>
      <c r="K451" s="15">
        <v>41721.610613425924</v>
      </c>
      <c r="L451" s="20">
        <f t="shared" ref="L451:L514" si="21">DATEVALUE(LEFT(F451,10))</f>
        <v>41721</v>
      </c>
      <c r="M451" t="str">
        <f t="shared" ref="M451:M514" si="22">TEXT(L451,"mm-yyyy")</f>
        <v>03-2014</v>
      </c>
      <c r="N451">
        <f t="shared" ref="N451:N514" si="23">H451*I451</f>
        <v>9.99</v>
      </c>
    </row>
    <row r="452" spans="3:14" x14ac:dyDescent="0.25">
      <c r="C452" t="str">
        <f>IF(COUNTBLANK(E452:K452) = 7,"",IF(AND(NOT(ISBLANK(E452)),COUNTBLANK(E452:K452) = 6),"3 Delete",IF(ISBLANK(E452),"2 Add",IF(SHA1Range(E452:K452) = "39c02eab941e1017620c08780c0bd883c417d0d3","0 Original","1 Modify"))))</f>
        <v>0 Original</v>
      </c>
      <c r="D452" s="5" t="s">
        <v>2726</v>
      </c>
      <c r="E452" s="3">
        <v>2763</v>
      </c>
      <c r="F452" t="s">
        <v>1095</v>
      </c>
      <c r="G452" t="s">
        <v>400</v>
      </c>
      <c r="H452" s="9">
        <v>4.99</v>
      </c>
      <c r="I452" s="3">
        <v>2</v>
      </c>
      <c r="J452" s="5" t="s">
        <v>68</v>
      </c>
      <c r="K452" s="15">
        <v>41721.610613425924</v>
      </c>
      <c r="L452" s="20">
        <f t="shared" si="21"/>
        <v>41721</v>
      </c>
      <c r="M452" t="str">
        <f t="shared" si="22"/>
        <v>03-2014</v>
      </c>
      <c r="N452">
        <f t="shared" si="23"/>
        <v>9.98</v>
      </c>
    </row>
    <row r="453" spans="3:14" x14ac:dyDescent="0.25">
      <c r="C453" t="str">
        <f>IF(COUNTBLANK(E453:K453) = 7,"",IF(AND(NOT(ISBLANK(E453)),COUNTBLANK(E453:K453) = 6),"3 Delete",IF(ISBLANK(E453),"2 Add",IF(SHA1Range(E453:K453) = "987c4a47998478c980b70c28e844f230af5739a8","0 Original","1 Modify"))))</f>
        <v>0 Original</v>
      </c>
      <c r="D453" s="5" t="s">
        <v>2727</v>
      </c>
      <c r="E453" s="3">
        <v>2764</v>
      </c>
      <c r="F453" t="s">
        <v>1095</v>
      </c>
      <c r="G453" t="s">
        <v>400</v>
      </c>
      <c r="H453" s="9">
        <v>4.99</v>
      </c>
      <c r="I453" s="3">
        <v>1</v>
      </c>
      <c r="J453" s="5" t="s">
        <v>68</v>
      </c>
      <c r="K453" s="15">
        <v>41721.610613425924</v>
      </c>
      <c r="L453" s="20">
        <f t="shared" si="21"/>
        <v>41721</v>
      </c>
      <c r="M453" t="str">
        <f t="shared" si="22"/>
        <v>03-2014</v>
      </c>
      <c r="N453">
        <f t="shared" si="23"/>
        <v>4.99</v>
      </c>
    </row>
    <row r="454" spans="3:14" x14ac:dyDescent="0.25">
      <c r="C454" t="str">
        <f>IF(COUNTBLANK(E454:K454) = 7,"",IF(AND(NOT(ISBLANK(E454)),COUNTBLANK(E454:K454) = 6),"3 Delete",IF(ISBLANK(E454),"2 Add",IF(SHA1Range(E454:K454) = "390654d3b58c21925ca70d55e6d7c8101ff5e709","0 Original","1 Modify"))))</f>
        <v>0 Original</v>
      </c>
      <c r="D454" s="5" t="s">
        <v>2728</v>
      </c>
      <c r="E454" s="3">
        <v>2765</v>
      </c>
      <c r="F454" t="s">
        <v>1095</v>
      </c>
      <c r="G454" t="s">
        <v>373</v>
      </c>
      <c r="H454" s="9">
        <v>7.99</v>
      </c>
      <c r="I454" s="3">
        <v>2</v>
      </c>
      <c r="J454" s="5" t="s">
        <v>68</v>
      </c>
      <c r="K454" s="15">
        <v>41721.610613425924</v>
      </c>
      <c r="L454" s="20">
        <f t="shared" si="21"/>
        <v>41721</v>
      </c>
      <c r="M454" t="str">
        <f t="shared" si="22"/>
        <v>03-2014</v>
      </c>
      <c r="N454">
        <f t="shared" si="23"/>
        <v>15.98</v>
      </c>
    </row>
    <row r="455" spans="3:14" x14ac:dyDescent="0.25">
      <c r="C455" t="str">
        <f>IF(COUNTBLANK(E455:K455) = 7,"",IF(AND(NOT(ISBLANK(E455)),COUNTBLANK(E455:K455) = 6),"3 Delete",IF(ISBLANK(E455),"2 Add",IF(SHA1Range(E455:K455) = "67bee3931761c807e8616bc8c943f1d18ab9dae5","0 Original","1 Modify"))))</f>
        <v>0 Original</v>
      </c>
      <c r="D455" s="5" t="s">
        <v>2729</v>
      </c>
      <c r="E455" s="3">
        <v>2766</v>
      </c>
      <c r="F455" t="s">
        <v>1095</v>
      </c>
      <c r="G455" t="s">
        <v>373</v>
      </c>
      <c r="H455" s="9">
        <v>7.99</v>
      </c>
      <c r="I455" s="3">
        <v>1</v>
      </c>
      <c r="J455" s="5" t="s">
        <v>68</v>
      </c>
      <c r="K455" s="15">
        <v>41721.610613425924</v>
      </c>
      <c r="L455" s="20">
        <f t="shared" si="21"/>
        <v>41721</v>
      </c>
      <c r="M455" t="str">
        <f t="shared" si="22"/>
        <v>03-2014</v>
      </c>
      <c r="N455">
        <f t="shared" si="23"/>
        <v>7.99</v>
      </c>
    </row>
    <row r="456" spans="3:14" x14ac:dyDescent="0.25">
      <c r="C456" t="str">
        <f>IF(COUNTBLANK(E456:K456) = 7,"",IF(AND(NOT(ISBLANK(E456)),COUNTBLANK(E456:K456) = 6),"3 Delete",IF(ISBLANK(E456),"2 Add",IF(SHA1Range(E456:K456) = "f2679b52736ee31a5f967ebdf5b472efca55aaa3","0 Original","1 Modify"))))</f>
        <v>0 Original</v>
      </c>
      <c r="D456" s="5" t="s">
        <v>2730</v>
      </c>
      <c r="E456" s="3">
        <v>2767</v>
      </c>
      <c r="F456" t="s">
        <v>1095</v>
      </c>
      <c r="G456" t="s">
        <v>579</v>
      </c>
      <c r="H456" s="9">
        <v>9.99</v>
      </c>
      <c r="I456" s="3">
        <v>1</v>
      </c>
      <c r="J456" s="5" t="s">
        <v>68</v>
      </c>
      <c r="K456" s="15">
        <v>41721.610613425924</v>
      </c>
      <c r="L456" s="20">
        <f t="shared" si="21"/>
        <v>41721</v>
      </c>
      <c r="M456" t="str">
        <f t="shared" si="22"/>
        <v>03-2014</v>
      </c>
      <c r="N456">
        <f t="shared" si="23"/>
        <v>9.99</v>
      </c>
    </row>
    <row r="457" spans="3:14" x14ac:dyDescent="0.25">
      <c r="C457" t="str">
        <f>IF(COUNTBLANK(E457:K457) = 7,"",IF(AND(NOT(ISBLANK(E457)),COUNTBLANK(E457:K457) = 6),"3 Delete",IF(ISBLANK(E457),"2 Add",IF(SHA1Range(E457:K457) = "40985171c1c20dd9a7a7b9a805717aaf738f0a40","0 Original","1 Modify"))))</f>
        <v>0 Original</v>
      </c>
      <c r="D457" s="5" t="s">
        <v>2731</v>
      </c>
      <c r="E457" s="3">
        <v>2497</v>
      </c>
      <c r="F457" t="s">
        <v>1096</v>
      </c>
      <c r="G457" t="s">
        <v>687</v>
      </c>
      <c r="H457" s="9">
        <v>9.99</v>
      </c>
      <c r="I457" s="3">
        <v>1</v>
      </c>
      <c r="J457" s="5" t="s">
        <v>68</v>
      </c>
      <c r="K457" s="15">
        <v>41722.604594907411</v>
      </c>
      <c r="L457" s="20">
        <f t="shared" si="21"/>
        <v>41722</v>
      </c>
      <c r="M457" t="str">
        <f t="shared" si="22"/>
        <v>03-2014</v>
      </c>
      <c r="N457">
        <f t="shared" si="23"/>
        <v>9.99</v>
      </c>
    </row>
    <row r="458" spans="3:14" x14ac:dyDescent="0.25">
      <c r="C458" t="str">
        <f>IF(COUNTBLANK(E458:K458) = 7,"",IF(AND(NOT(ISBLANK(E458)),COUNTBLANK(E458:K458) = 6),"3 Delete",IF(ISBLANK(E458),"2 Add",IF(SHA1Range(E458:K458) = "5d66138d2abde5cabdd5067eb81ed7797ee6e616","0 Original","1 Modify"))))</f>
        <v>0 Original</v>
      </c>
      <c r="D458" s="5" t="s">
        <v>2732</v>
      </c>
      <c r="E458" s="3">
        <v>2498</v>
      </c>
      <c r="F458" t="s">
        <v>1096</v>
      </c>
      <c r="G458" t="s">
        <v>642</v>
      </c>
      <c r="H458" s="9">
        <v>9.99</v>
      </c>
      <c r="I458" s="3">
        <v>1</v>
      </c>
      <c r="J458" s="5" t="s">
        <v>68</v>
      </c>
      <c r="K458" s="15">
        <v>41722.604594907411</v>
      </c>
      <c r="L458" s="20">
        <f t="shared" si="21"/>
        <v>41722</v>
      </c>
      <c r="M458" t="str">
        <f t="shared" si="22"/>
        <v>03-2014</v>
      </c>
      <c r="N458">
        <f t="shared" si="23"/>
        <v>9.99</v>
      </c>
    </row>
    <row r="459" spans="3:14" x14ac:dyDescent="0.25">
      <c r="C459" t="str">
        <f>IF(COUNTBLANK(E459:K459) = 7,"",IF(AND(NOT(ISBLANK(E459)),COUNTBLANK(E459:K459) = 6),"3 Delete",IF(ISBLANK(E459),"2 Add",IF(SHA1Range(E459:K459) = "f38995b74d306ae4b0dc36eaf51468ac87870624","0 Original","1 Modify"))))</f>
        <v>0 Original</v>
      </c>
      <c r="D459" s="5" t="s">
        <v>2733</v>
      </c>
      <c r="E459" s="3">
        <v>2499</v>
      </c>
      <c r="F459" t="s">
        <v>1096</v>
      </c>
      <c r="G459" t="s">
        <v>642</v>
      </c>
      <c r="H459" s="9">
        <v>9.99</v>
      </c>
      <c r="I459" s="3">
        <v>1</v>
      </c>
      <c r="J459" s="5" t="s">
        <v>68</v>
      </c>
      <c r="K459" s="15">
        <v>41722.604594907411</v>
      </c>
      <c r="L459" s="20">
        <f t="shared" si="21"/>
        <v>41722</v>
      </c>
      <c r="M459" t="str">
        <f t="shared" si="22"/>
        <v>03-2014</v>
      </c>
      <c r="N459">
        <f t="shared" si="23"/>
        <v>9.99</v>
      </c>
    </row>
    <row r="460" spans="3:14" x14ac:dyDescent="0.25">
      <c r="C460" t="str">
        <f>IF(COUNTBLANK(E460:K460) = 7,"",IF(AND(NOT(ISBLANK(E460)),COUNTBLANK(E460:K460) = 6),"3 Delete",IF(ISBLANK(E460),"2 Add",IF(SHA1Range(E460:K460) = "554d47825ff55f8a37ae76a9ad99aadcc73dc31c","0 Original","1 Modify"))))</f>
        <v>0 Original</v>
      </c>
      <c r="D460" s="5" t="s">
        <v>2734</v>
      </c>
      <c r="E460" s="3">
        <v>2500</v>
      </c>
      <c r="F460" t="s">
        <v>1096</v>
      </c>
      <c r="G460" t="s">
        <v>642</v>
      </c>
      <c r="H460" s="9">
        <v>9.99</v>
      </c>
      <c r="I460" s="3">
        <v>1</v>
      </c>
      <c r="J460" s="5" t="s">
        <v>68</v>
      </c>
      <c r="K460" s="15">
        <v>41722.604594907411</v>
      </c>
      <c r="L460" s="20">
        <f t="shared" si="21"/>
        <v>41722</v>
      </c>
      <c r="M460" t="str">
        <f t="shared" si="22"/>
        <v>03-2014</v>
      </c>
      <c r="N460">
        <f t="shared" si="23"/>
        <v>9.99</v>
      </c>
    </row>
    <row r="461" spans="3:14" x14ac:dyDescent="0.25">
      <c r="C461" t="str">
        <f>IF(COUNTBLANK(E461:K461) = 7,"",IF(AND(NOT(ISBLANK(E461)),COUNTBLANK(E461:K461) = 6),"3 Delete",IF(ISBLANK(E461),"2 Add",IF(SHA1Range(E461:K461) = "ead5794eb055e014550c5fd5944c033fc462d525","0 Original","1 Modify"))))</f>
        <v>0 Original</v>
      </c>
      <c r="D461" s="5" t="s">
        <v>2735</v>
      </c>
      <c r="E461" s="3">
        <v>2501</v>
      </c>
      <c r="F461" t="s">
        <v>1096</v>
      </c>
      <c r="G461" t="s">
        <v>687</v>
      </c>
      <c r="H461" s="9">
        <v>9.99</v>
      </c>
      <c r="I461" s="3">
        <v>1</v>
      </c>
      <c r="J461" s="5" t="s">
        <v>68</v>
      </c>
      <c r="K461" s="15">
        <v>41722.604594907411</v>
      </c>
      <c r="L461" s="20">
        <f t="shared" si="21"/>
        <v>41722</v>
      </c>
      <c r="M461" t="str">
        <f t="shared" si="22"/>
        <v>03-2014</v>
      </c>
      <c r="N461">
        <f t="shared" si="23"/>
        <v>9.99</v>
      </c>
    </row>
    <row r="462" spans="3:14" x14ac:dyDescent="0.25">
      <c r="C462" t="str">
        <f>IF(COUNTBLANK(E462:K462) = 7,"",IF(AND(NOT(ISBLANK(E462)),COUNTBLANK(E462:K462) = 6),"3 Delete",IF(ISBLANK(E462),"2 Add",IF(SHA1Range(E462:K462) = "7dc39af6ead73ba07c26f50207302c192814b556","0 Original","1 Modify"))))</f>
        <v>0 Original</v>
      </c>
      <c r="D462" s="5" t="s">
        <v>2736</v>
      </c>
      <c r="E462" s="3">
        <v>1454</v>
      </c>
      <c r="F462" t="s">
        <v>1097</v>
      </c>
      <c r="G462" t="s">
        <v>945</v>
      </c>
      <c r="H462" s="9">
        <v>4.99</v>
      </c>
      <c r="I462" s="3">
        <v>2</v>
      </c>
      <c r="J462" s="5" t="s">
        <v>68</v>
      </c>
      <c r="K462" s="15">
        <v>41722.708437499998</v>
      </c>
      <c r="L462" s="20">
        <f t="shared" si="21"/>
        <v>41722</v>
      </c>
      <c r="M462" t="str">
        <f t="shared" si="22"/>
        <v>03-2014</v>
      </c>
      <c r="N462">
        <f t="shared" si="23"/>
        <v>9.98</v>
      </c>
    </row>
    <row r="463" spans="3:14" x14ac:dyDescent="0.25">
      <c r="C463" t="str">
        <f>IF(COUNTBLANK(E463:K463) = 7,"",IF(AND(NOT(ISBLANK(E463)),COUNTBLANK(E463:K463) = 6),"3 Delete",IF(ISBLANK(E463),"2 Add",IF(SHA1Range(E463:K463) = "133f47ddc8800e9cfe57586405d42e1131716a59","0 Original","1 Modify"))))</f>
        <v>0 Original</v>
      </c>
      <c r="D463" s="5" t="s">
        <v>2737</v>
      </c>
      <c r="E463" s="3">
        <v>1455</v>
      </c>
      <c r="F463" t="s">
        <v>1097</v>
      </c>
      <c r="G463" t="s">
        <v>697</v>
      </c>
      <c r="H463" s="9">
        <v>5.99</v>
      </c>
      <c r="I463" s="3">
        <v>1</v>
      </c>
      <c r="J463" s="5" t="s">
        <v>68</v>
      </c>
      <c r="K463" s="15">
        <v>41722.708437499998</v>
      </c>
      <c r="L463" s="20">
        <f t="shared" si="21"/>
        <v>41722</v>
      </c>
      <c r="M463" t="str">
        <f t="shared" si="22"/>
        <v>03-2014</v>
      </c>
      <c r="N463">
        <f t="shared" si="23"/>
        <v>5.99</v>
      </c>
    </row>
    <row r="464" spans="3:14" x14ac:dyDescent="0.25">
      <c r="C464" t="str">
        <f>IF(COUNTBLANK(E464:K464) = 7,"",IF(AND(NOT(ISBLANK(E464)),COUNTBLANK(E464:K464) = 6),"3 Delete",IF(ISBLANK(E464),"2 Add",IF(SHA1Range(E464:K464) = "6b8d89f4f3f2bfcb80035fde49475fb5e2afc073","0 Original","1 Modify"))))</f>
        <v>0 Original</v>
      </c>
      <c r="D464" s="5" t="s">
        <v>2738</v>
      </c>
      <c r="E464" s="3">
        <v>1456</v>
      </c>
      <c r="F464" t="s">
        <v>1097</v>
      </c>
      <c r="G464" t="s">
        <v>514</v>
      </c>
      <c r="H464" s="9">
        <v>6.99</v>
      </c>
      <c r="I464" s="3">
        <v>1</v>
      </c>
      <c r="J464" s="5" t="s">
        <v>68</v>
      </c>
      <c r="K464" s="15">
        <v>41722.708437499998</v>
      </c>
      <c r="L464" s="20">
        <f t="shared" si="21"/>
        <v>41722</v>
      </c>
      <c r="M464" t="str">
        <f t="shared" si="22"/>
        <v>03-2014</v>
      </c>
      <c r="N464">
        <f t="shared" si="23"/>
        <v>6.99</v>
      </c>
    </row>
    <row r="465" spans="3:14" x14ac:dyDescent="0.25">
      <c r="C465" t="str">
        <f>IF(COUNTBLANK(E465:K465) = 7,"",IF(AND(NOT(ISBLANK(E465)),COUNTBLANK(E465:K465) = 6),"3 Delete",IF(ISBLANK(E465),"2 Add",IF(SHA1Range(E465:K465) = "97e1793794ce3db2e853ed54b672463783c43c91","0 Original","1 Modify"))))</f>
        <v>0 Original</v>
      </c>
      <c r="D465" s="5" t="s">
        <v>2739</v>
      </c>
      <c r="E465" s="3">
        <v>1457</v>
      </c>
      <c r="F465" t="s">
        <v>1097</v>
      </c>
      <c r="G465" t="s">
        <v>684</v>
      </c>
      <c r="H465" s="9">
        <v>8.99</v>
      </c>
      <c r="I465" s="3">
        <v>2</v>
      </c>
      <c r="J465" s="5" t="s">
        <v>68</v>
      </c>
      <c r="K465" s="15">
        <v>41722.708437499998</v>
      </c>
      <c r="L465" s="20">
        <f t="shared" si="21"/>
        <v>41722</v>
      </c>
      <c r="M465" t="str">
        <f t="shared" si="22"/>
        <v>03-2014</v>
      </c>
      <c r="N465">
        <f t="shared" si="23"/>
        <v>17.98</v>
      </c>
    </row>
    <row r="466" spans="3:14" x14ac:dyDescent="0.25">
      <c r="C466" t="str">
        <f>IF(COUNTBLANK(E466:K466) = 7,"",IF(AND(NOT(ISBLANK(E466)),COUNTBLANK(E466:K466) = 6),"3 Delete",IF(ISBLANK(E466),"2 Add",IF(SHA1Range(E466:K466) = "67649c68546c46bd3eb587a444bf0d552c85742c","0 Original","1 Modify"))))</f>
        <v>0 Original</v>
      </c>
      <c r="D466" s="5" t="s">
        <v>2740</v>
      </c>
      <c r="E466" s="3">
        <v>1424</v>
      </c>
      <c r="F466" t="s">
        <v>1098</v>
      </c>
      <c r="G466" t="s">
        <v>945</v>
      </c>
      <c r="H466" s="9">
        <v>4.99</v>
      </c>
      <c r="I466" s="3">
        <v>1</v>
      </c>
      <c r="J466" s="5" t="s">
        <v>68</v>
      </c>
      <c r="K466" s="15">
        <v>41722.910428240742</v>
      </c>
      <c r="L466" s="20">
        <f t="shared" si="21"/>
        <v>41722</v>
      </c>
      <c r="M466" t="str">
        <f t="shared" si="22"/>
        <v>03-2014</v>
      </c>
      <c r="N466">
        <f t="shared" si="23"/>
        <v>4.99</v>
      </c>
    </row>
    <row r="467" spans="3:14" x14ac:dyDescent="0.25">
      <c r="C467" t="str">
        <f>IF(COUNTBLANK(E467:K467) = 7,"",IF(AND(NOT(ISBLANK(E467)),COUNTBLANK(E467:K467) = 6),"3 Delete",IF(ISBLANK(E467),"2 Add",IF(SHA1Range(E467:K467) = "c50d0526e9e041a630382331f611e2d3d8ac6933","0 Original","1 Modify"))))</f>
        <v>0 Original</v>
      </c>
      <c r="D467" s="5" t="s">
        <v>2741</v>
      </c>
      <c r="E467" s="3">
        <v>1425</v>
      </c>
      <c r="F467" t="s">
        <v>1098</v>
      </c>
      <c r="G467" t="s">
        <v>671</v>
      </c>
      <c r="H467" s="9">
        <v>6.99</v>
      </c>
      <c r="I467" s="3">
        <v>1</v>
      </c>
      <c r="J467" s="5" t="s">
        <v>68</v>
      </c>
      <c r="K467" s="15">
        <v>41722.910428240742</v>
      </c>
      <c r="L467" s="20">
        <f t="shared" si="21"/>
        <v>41722</v>
      </c>
      <c r="M467" t="str">
        <f t="shared" si="22"/>
        <v>03-2014</v>
      </c>
      <c r="N467">
        <f t="shared" si="23"/>
        <v>6.99</v>
      </c>
    </row>
    <row r="468" spans="3:14" x14ac:dyDescent="0.25">
      <c r="C468" t="str">
        <f>IF(COUNTBLANK(E468:K468) = 7,"",IF(AND(NOT(ISBLANK(E468)),COUNTBLANK(E468:K468) = 6),"3 Delete",IF(ISBLANK(E468),"2 Add",IF(SHA1Range(E468:K468) = "ce7321b5f0f2bc951699ae4bc19f2fda7dadeb0d","0 Original","1 Modify"))))</f>
        <v>0 Original</v>
      </c>
      <c r="D468" s="5" t="s">
        <v>2742</v>
      </c>
      <c r="E468" s="3">
        <v>1426</v>
      </c>
      <c r="F468" t="s">
        <v>1098</v>
      </c>
      <c r="G468" t="s">
        <v>697</v>
      </c>
      <c r="H468" s="9">
        <v>5.99</v>
      </c>
      <c r="I468" s="3">
        <v>1</v>
      </c>
      <c r="J468" s="5" t="s">
        <v>68</v>
      </c>
      <c r="K468" s="15">
        <v>41722.910428240742</v>
      </c>
      <c r="L468" s="20">
        <f t="shared" si="21"/>
        <v>41722</v>
      </c>
      <c r="M468" t="str">
        <f t="shared" si="22"/>
        <v>03-2014</v>
      </c>
      <c r="N468">
        <f t="shared" si="23"/>
        <v>5.99</v>
      </c>
    </row>
    <row r="469" spans="3:14" x14ac:dyDescent="0.25">
      <c r="C469" t="str">
        <f>IF(COUNTBLANK(E469:K469) = 7,"",IF(AND(NOT(ISBLANK(E469)),COUNTBLANK(E469:K469) = 6),"3 Delete",IF(ISBLANK(E469),"2 Add",IF(SHA1Range(E469:K469) = "21baea07ff22afe1465e9036b91e0886adf7c759","0 Original","1 Modify"))))</f>
        <v>0 Original</v>
      </c>
      <c r="D469" s="5" t="s">
        <v>2743</v>
      </c>
      <c r="E469" s="3">
        <v>1427</v>
      </c>
      <c r="F469" t="s">
        <v>1098</v>
      </c>
      <c r="G469" t="s">
        <v>671</v>
      </c>
      <c r="H469" s="9">
        <v>6.99</v>
      </c>
      <c r="I469" s="3">
        <v>1</v>
      </c>
      <c r="J469" s="5" t="s">
        <v>68</v>
      </c>
      <c r="K469" s="15">
        <v>41722.910428240742</v>
      </c>
      <c r="L469" s="20">
        <f t="shared" si="21"/>
        <v>41722</v>
      </c>
      <c r="M469" t="str">
        <f t="shared" si="22"/>
        <v>03-2014</v>
      </c>
      <c r="N469">
        <f t="shared" si="23"/>
        <v>6.99</v>
      </c>
    </row>
    <row r="470" spans="3:14" x14ac:dyDescent="0.25">
      <c r="C470" t="str">
        <f>IF(COUNTBLANK(E470:K470) = 7,"",IF(AND(NOT(ISBLANK(E470)),COUNTBLANK(E470:K470) = 6),"3 Delete",IF(ISBLANK(E470),"2 Add",IF(SHA1Range(E470:K470) = "61bc0a355c4c2809fe8ee359144d9ae7e24b7be6","0 Original","1 Modify"))))</f>
        <v>0 Original</v>
      </c>
      <c r="D470" s="5" t="s">
        <v>2744</v>
      </c>
      <c r="E470" s="3">
        <v>1428</v>
      </c>
      <c r="F470" t="s">
        <v>1098</v>
      </c>
      <c r="G470" t="s">
        <v>781</v>
      </c>
      <c r="H470" s="9">
        <v>5.99</v>
      </c>
      <c r="I470" s="3">
        <v>1</v>
      </c>
      <c r="J470" s="5" t="s">
        <v>68</v>
      </c>
      <c r="K470" s="15">
        <v>41722.910428240742</v>
      </c>
      <c r="L470" s="20">
        <f t="shared" si="21"/>
        <v>41722</v>
      </c>
      <c r="M470" t="str">
        <f t="shared" si="22"/>
        <v>03-2014</v>
      </c>
      <c r="N470">
        <f t="shared" si="23"/>
        <v>5.99</v>
      </c>
    </row>
    <row r="471" spans="3:14" x14ac:dyDescent="0.25">
      <c r="C471" t="str">
        <f>IF(COUNTBLANK(E471:K471) = 7,"",IF(AND(NOT(ISBLANK(E471)),COUNTBLANK(E471:K471) = 6),"3 Delete",IF(ISBLANK(E471),"2 Add",IF(SHA1Range(E471:K471) = "c479773695e283b2cc228fcd4cbc5b6e1e1d4dd0","0 Original","1 Modify"))))</f>
        <v>0 Original</v>
      </c>
      <c r="D471" s="5" t="s">
        <v>2745</v>
      </c>
      <c r="E471" s="3">
        <v>1429</v>
      </c>
      <c r="F471" t="s">
        <v>1098</v>
      </c>
      <c r="G471" t="s">
        <v>680</v>
      </c>
      <c r="H471" s="9">
        <v>8.99</v>
      </c>
      <c r="I471" s="3">
        <v>1</v>
      </c>
      <c r="J471" s="5" t="s">
        <v>68</v>
      </c>
      <c r="K471" s="15">
        <v>41722.910428240742</v>
      </c>
      <c r="L471" s="20">
        <f t="shared" si="21"/>
        <v>41722</v>
      </c>
      <c r="M471" t="str">
        <f t="shared" si="22"/>
        <v>03-2014</v>
      </c>
      <c r="N471">
        <f t="shared" si="23"/>
        <v>8.99</v>
      </c>
    </row>
    <row r="472" spans="3:14" x14ac:dyDescent="0.25">
      <c r="C472" t="str">
        <f>IF(COUNTBLANK(E472:K472) = 7,"",IF(AND(NOT(ISBLANK(E472)),COUNTBLANK(E472:K472) = 6),"3 Delete",IF(ISBLANK(E472),"2 Add",IF(SHA1Range(E472:K472) = "232eccc33ba07ecd35e326b6de9cf4a8434f6e25","0 Original","1 Modify"))))</f>
        <v>0 Original</v>
      </c>
      <c r="D472" s="5" t="s">
        <v>2746</v>
      </c>
      <c r="E472" s="3">
        <v>1430</v>
      </c>
      <c r="F472" t="s">
        <v>1098</v>
      </c>
      <c r="G472" t="s">
        <v>445</v>
      </c>
      <c r="H472" s="9">
        <v>7.99</v>
      </c>
      <c r="I472" s="3">
        <v>2</v>
      </c>
      <c r="J472" s="5" t="s">
        <v>68</v>
      </c>
      <c r="K472" s="15">
        <v>41722.910428240742</v>
      </c>
      <c r="L472" s="20">
        <f t="shared" si="21"/>
        <v>41722</v>
      </c>
      <c r="M472" t="str">
        <f t="shared" si="22"/>
        <v>03-2014</v>
      </c>
      <c r="N472">
        <f t="shared" si="23"/>
        <v>15.98</v>
      </c>
    </row>
    <row r="473" spans="3:14" x14ac:dyDescent="0.25">
      <c r="C473" t="str">
        <f>IF(COUNTBLANK(E473:K473) = 7,"",IF(AND(NOT(ISBLANK(E473)),COUNTBLANK(E473:K473) = 6),"3 Delete",IF(ISBLANK(E473),"2 Add",IF(SHA1Range(E473:K473) = "d375ac8bdc7d137588ec1b59e23cee678bb8203c","0 Original","1 Modify"))))</f>
        <v>0 Original</v>
      </c>
      <c r="D473" s="5" t="s">
        <v>2747</v>
      </c>
      <c r="E473" s="3">
        <v>3264</v>
      </c>
      <c r="F473" t="s">
        <v>1099</v>
      </c>
      <c r="G473" t="s">
        <v>579</v>
      </c>
      <c r="H473" s="9">
        <v>9.99</v>
      </c>
      <c r="I473" s="3">
        <v>2</v>
      </c>
      <c r="J473" s="5" t="s">
        <v>68</v>
      </c>
      <c r="K473" s="15">
        <v>41722.938530092593</v>
      </c>
      <c r="L473" s="20">
        <f t="shared" si="21"/>
        <v>41722</v>
      </c>
      <c r="M473" t="str">
        <f t="shared" si="22"/>
        <v>03-2014</v>
      </c>
      <c r="N473">
        <f t="shared" si="23"/>
        <v>19.98</v>
      </c>
    </row>
    <row r="474" spans="3:14" x14ac:dyDescent="0.25">
      <c r="C474" t="str">
        <f>IF(COUNTBLANK(E474:K474) = 7,"",IF(AND(NOT(ISBLANK(E474)),COUNTBLANK(E474:K474) = 6),"3 Delete",IF(ISBLANK(E474),"2 Add",IF(SHA1Range(E474:K474) = "8757372d53930bad01186a3e061b5370eea64c7e","0 Original","1 Modify"))))</f>
        <v>0 Original</v>
      </c>
      <c r="D474" s="5" t="s">
        <v>2748</v>
      </c>
      <c r="E474" s="3">
        <v>3318</v>
      </c>
      <c r="F474" t="s">
        <v>1100</v>
      </c>
      <c r="G474" t="s">
        <v>373</v>
      </c>
      <c r="H474" s="9">
        <v>7.99</v>
      </c>
      <c r="I474" s="3">
        <v>2</v>
      </c>
      <c r="J474" s="5" t="s">
        <v>68</v>
      </c>
      <c r="K474" s="15">
        <v>41723.558888888889</v>
      </c>
      <c r="L474" s="20">
        <f t="shared" si="21"/>
        <v>41723</v>
      </c>
      <c r="M474" t="str">
        <f t="shared" si="22"/>
        <v>03-2014</v>
      </c>
      <c r="N474">
        <f t="shared" si="23"/>
        <v>15.98</v>
      </c>
    </row>
    <row r="475" spans="3:14" x14ac:dyDescent="0.25">
      <c r="C475" t="str">
        <f>IF(COUNTBLANK(E475:K475) = 7,"",IF(AND(NOT(ISBLANK(E475)),COUNTBLANK(E475:K475) = 6),"3 Delete",IF(ISBLANK(E475),"2 Add",IF(SHA1Range(E475:K475) = "d7f7a44b4932423bab647469bf44c7c6a681fa69","0 Original","1 Modify"))))</f>
        <v>0 Original</v>
      </c>
      <c r="D475" s="5" t="s">
        <v>2749</v>
      </c>
      <c r="E475" s="3">
        <v>3319</v>
      </c>
      <c r="F475" t="s">
        <v>1100</v>
      </c>
      <c r="G475" t="s">
        <v>948</v>
      </c>
      <c r="H475" s="9">
        <v>4.99</v>
      </c>
      <c r="I475" s="3">
        <v>1</v>
      </c>
      <c r="J475" s="5" t="s">
        <v>68</v>
      </c>
      <c r="K475" s="15">
        <v>41723.558888888889</v>
      </c>
      <c r="L475" s="20">
        <f t="shared" si="21"/>
        <v>41723</v>
      </c>
      <c r="M475" t="str">
        <f t="shared" si="22"/>
        <v>03-2014</v>
      </c>
      <c r="N475">
        <f t="shared" si="23"/>
        <v>4.99</v>
      </c>
    </row>
    <row r="476" spans="3:14" x14ac:dyDescent="0.25">
      <c r="C476" t="str">
        <f>IF(COUNTBLANK(E476:K476) = 7,"",IF(AND(NOT(ISBLANK(E476)),COUNTBLANK(E476:K476) = 6),"3 Delete",IF(ISBLANK(E476),"2 Add",IF(SHA1Range(E476:K476) = "00dd5155237e6103a656a2a41e16772029d3e67d","0 Original","1 Modify"))))</f>
        <v>0 Original</v>
      </c>
      <c r="D476" s="5" t="s">
        <v>2750</v>
      </c>
      <c r="E476" s="3">
        <v>3320</v>
      </c>
      <c r="F476" t="s">
        <v>1100</v>
      </c>
      <c r="G476" t="s">
        <v>749</v>
      </c>
      <c r="H476" s="9">
        <v>5.99</v>
      </c>
      <c r="I476" s="3">
        <v>1</v>
      </c>
      <c r="J476" s="5" t="s">
        <v>68</v>
      </c>
      <c r="K476" s="15">
        <v>41723.558888888889</v>
      </c>
      <c r="L476" s="20">
        <f t="shared" si="21"/>
        <v>41723</v>
      </c>
      <c r="M476" t="str">
        <f t="shared" si="22"/>
        <v>03-2014</v>
      </c>
      <c r="N476">
        <f t="shared" si="23"/>
        <v>5.99</v>
      </c>
    </row>
    <row r="477" spans="3:14" x14ac:dyDescent="0.25">
      <c r="C477" t="str">
        <f>IF(COUNTBLANK(E477:K477) = 7,"",IF(AND(NOT(ISBLANK(E477)),COUNTBLANK(E477:K477) = 6),"3 Delete",IF(ISBLANK(E477),"2 Add",IF(SHA1Range(E477:K477) = "363091d778d092c23b65b4a5d0998c86f18918e5","0 Original","1 Modify"))))</f>
        <v>0 Original</v>
      </c>
      <c r="D477" s="5" t="s">
        <v>2751</v>
      </c>
      <c r="E477" s="3">
        <v>3321</v>
      </c>
      <c r="F477" t="s">
        <v>1100</v>
      </c>
      <c r="G477" t="s">
        <v>579</v>
      </c>
      <c r="H477" s="9">
        <v>9.99</v>
      </c>
      <c r="I477" s="3">
        <v>2</v>
      </c>
      <c r="J477" s="5" t="s">
        <v>68</v>
      </c>
      <c r="K477" s="15">
        <v>41723.558888888889</v>
      </c>
      <c r="L477" s="20">
        <f t="shared" si="21"/>
        <v>41723</v>
      </c>
      <c r="M477" t="str">
        <f t="shared" si="22"/>
        <v>03-2014</v>
      </c>
      <c r="N477">
        <f t="shared" si="23"/>
        <v>19.98</v>
      </c>
    </row>
    <row r="478" spans="3:14" x14ac:dyDescent="0.25">
      <c r="C478" t="str">
        <f>IF(COUNTBLANK(E478:K478) = 7,"",IF(AND(NOT(ISBLANK(E478)),COUNTBLANK(E478:K478) = 6),"3 Delete",IF(ISBLANK(E478),"2 Add",IF(SHA1Range(E478:K478) = "9dcfad6eea329da02a66efc430ce4c7cabcd636d","0 Original","1 Modify"))))</f>
        <v>0 Original</v>
      </c>
      <c r="D478" s="5" t="s">
        <v>2752</v>
      </c>
      <c r="E478" s="3">
        <v>3322</v>
      </c>
      <c r="F478" t="s">
        <v>1100</v>
      </c>
      <c r="G478" t="s">
        <v>642</v>
      </c>
      <c r="H478" s="9">
        <v>9.99</v>
      </c>
      <c r="I478" s="3">
        <v>1</v>
      </c>
      <c r="J478" s="5" t="s">
        <v>68</v>
      </c>
      <c r="K478" s="15">
        <v>41723.558888888889</v>
      </c>
      <c r="L478" s="20">
        <f t="shared" si="21"/>
        <v>41723</v>
      </c>
      <c r="M478" t="str">
        <f t="shared" si="22"/>
        <v>03-2014</v>
      </c>
      <c r="N478">
        <f t="shared" si="23"/>
        <v>9.99</v>
      </c>
    </row>
    <row r="479" spans="3:14" x14ac:dyDescent="0.25">
      <c r="C479" t="str">
        <f>IF(COUNTBLANK(E479:K479) = 7,"",IF(AND(NOT(ISBLANK(E479)),COUNTBLANK(E479:K479) = 6),"3 Delete",IF(ISBLANK(E479),"2 Add",IF(SHA1Range(E479:K479) = "9a65be8bf1692247137729e3b8d017810c965c39","0 Original","1 Modify"))))</f>
        <v>0 Original</v>
      </c>
      <c r="D479" s="5" t="s">
        <v>2753</v>
      </c>
      <c r="E479" s="3">
        <v>3323</v>
      </c>
      <c r="F479" t="s">
        <v>1100</v>
      </c>
      <c r="G479" t="s">
        <v>948</v>
      </c>
      <c r="H479" s="9">
        <v>4.99</v>
      </c>
      <c r="I479" s="3">
        <v>1</v>
      </c>
      <c r="J479" s="5" t="s">
        <v>68</v>
      </c>
      <c r="K479" s="15">
        <v>41723.558888888889</v>
      </c>
      <c r="L479" s="20">
        <f t="shared" si="21"/>
        <v>41723</v>
      </c>
      <c r="M479" t="str">
        <f t="shared" si="22"/>
        <v>03-2014</v>
      </c>
      <c r="N479">
        <f t="shared" si="23"/>
        <v>4.99</v>
      </c>
    </row>
    <row r="480" spans="3:14" x14ac:dyDescent="0.25">
      <c r="C480" t="str">
        <f>IF(COUNTBLANK(E480:K480) = 7,"",IF(AND(NOT(ISBLANK(E480)),COUNTBLANK(E480:K480) = 6),"3 Delete",IF(ISBLANK(E480),"2 Add",IF(SHA1Range(E480:K480) = "f87244c6043d8a9d1c0399378a8bbca5a235211d","0 Original","1 Modify"))))</f>
        <v>0 Original</v>
      </c>
      <c r="D480" s="5" t="s">
        <v>2754</v>
      </c>
      <c r="E480" s="3">
        <v>1257</v>
      </c>
      <c r="F480" t="s">
        <v>1101</v>
      </c>
      <c r="G480" t="s">
        <v>514</v>
      </c>
      <c r="H480" s="9">
        <v>6.99</v>
      </c>
      <c r="I480" s="3">
        <v>1</v>
      </c>
      <c r="J480" s="5" t="s">
        <v>68</v>
      </c>
      <c r="K480" s="15">
        <v>41724.641111111108</v>
      </c>
      <c r="L480" s="20">
        <f t="shared" si="21"/>
        <v>41724</v>
      </c>
      <c r="M480" t="str">
        <f t="shared" si="22"/>
        <v>03-2014</v>
      </c>
      <c r="N480">
        <f t="shared" si="23"/>
        <v>6.99</v>
      </c>
    </row>
    <row r="481" spans="3:14" x14ac:dyDescent="0.25">
      <c r="C481" t="str">
        <f>IF(COUNTBLANK(E481:K481) = 7,"",IF(AND(NOT(ISBLANK(E481)),COUNTBLANK(E481:K481) = 6),"3 Delete",IF(ISBLANK(E481),"2 Add",IF(SHA1Range(E481:K481) = "a6d1b5f9d5bf1846b837e877657329160cf60808","0 Original","1 Modify"))))</f>
        <v>0 Original</v>
      </c>
      <c r="D481" s="5" t="s">
        <v>2755</v>
      </c>
      <c r="E481" s="3">
        <v>1258</v>
      </c>
      <c r="F481" t="s">
        <v>1101</v>
      </c>
      <c r="G481" t="s">
        <v>704</v>
      </c>
      <c r="H481" s="9">
        <v>4.99</v>
      </c>
      <c r="I481" s="3">
        <v>1</v>
      </c>
      <c r="J481" s="5" t="s">
        <v>68</v>
      </c>
      <c r="K481" s="15">
        <v>41724.641111111108</v>
      </c>
      <c r="L481" s="20">
        <f t="shared" si="21"/>
        <v>41724</v>
      </c>
      <c r="M481" t="str">
        <f t="shared" si="22"/>
        <v>03-2014</v>
      </c>
      <c r="N481">
        <f t="shared" si="23"/>
        <v>4.99</v>
      </c>
    </row>
    <row r="482" spans="3:14" x14ac:dyDescent="0.25">
      <c r="C482" t="str">
        <f>IF(COUNTBLANK(E482:K482) = 7,"",IF(AND(NOT(ISBLANK(E482)),COUNTBLANK(E482:K482) = 6),"3 Delete",IF(ISBLANK(E482),"2 Add",IF(SHA1Range(E482:K482) = "68454bab3c7c5ad44f49e7c8e5869908ebc292f7","0 Original","1 Modify"))))</f>
        <v>0 Original</v>
      </c>
      <c r="D482" s="5" t="s">
        <v>2756</v>
      </c>
      <c r="E482" s="3">
        <v>1431</v>
      </c>
      <c r="F482" t="s">
        <v>1102</v>
      </c>
      <c r="G482" t="s">
        <v>732</v>
      </c>
      <c r="H482" s="9">
        <v>9.99</v>
      </c>
      <c r="I482" s="3">
        <v>1</v>
      </c>
      <c r="J482" s="5" t="s">
        <v>68</v>
      </c>
      <c r="K482" s="15">
        <v>41724.647187499999</v>
      </c>
      <c r="L482" s="20">
        <f t="shared" si="21"/>
        <v>41724</v>
      </c>
      <c r="M482" t="str">
        <f t="shared" si="22"/>
        <v>03-2014</v>
      </c>
      <c r="N482">
        <f t="shared" si="23"/>
        <v>9.99</v>
      </c>
    </row>
    <row r="483" spans="3:14" x14ac:dyDescent="0.25">
      <c r="C483" t="str">
        <f>IF(COUNTBLANK(E483:K483) = 7,"",IF(AND(NOT(ISBLANK(E483)),COUNTBLANK(E483:K483) = 6),"3 Delete",IF(ISBLANK(E483),"2 Add",IF(SHA1Range(E483:K483) = "36a06282382d4c7e289ed3856af40f4b8c23d959","0 Original","1 Modify"))))</f>
        <v>0 Original</v>
      </c>
      <c r="D483" s="5" t="s">
        <v>2757</v>
      </c>
      <c r="E483" s="3">
        <v>1432</v>
      </c>
      <c r="F483" t="s">
        <v>1102</v>
      </c>
      <c r="G483" t="s">
        <v>507</v>
      </c>
      <c r="H483" s="9">
        <v>6.99</v>
      </c>
      <c r="I483" s="3">
        <v>1</v>
      </c>
      <c r="J483" s="5" t="s">
        <v>68</v>
      </c>
      <c r="K483" s="15">
        <v>41724.647187499999</v>
      </c>
      <c r="L483" s="20">
        <f t="shared" si="21"/>
        <v>41724</v>
      </c>
      <c r="M483" t="str">
        <f t="shared" si="22"/>
        <v>03-2014</v>
      </c>
      <c r="N483">
        <f t="shared" si="23"/>
        <v>6.99</v>
      </c>
    </row>
    <row r="484" spans="3:14" x14ac:dyDescent="0.25">
      <c r="C484" t="str">
        <f>IF(COUNTBLANK(E484:K484) = 7,"",IF(AND(NOT(ISBLANK(E484)),COUNTBLANK(E484:K484) = 6),"3 Delete",IF(ISBLANK(E484),"2 Add",IF(SHA1Range(E484:K484) = "1b69a0eb5c4426b78d5cfac08b41d46f522e5209","0 Original","1 Modify"))))</f>
        <v>0 Original</v>
      </c>
      <c r="D484" s="5" t="s">
        <v>2758</v>
      </c>
      <c r="E484" s="3">
        <v>1433</v>
      </c>
      <c r="F484" t="s">
        <v>1102</v>
      </c>
      <c r="G484" t="s">
        <v>503</v>
      </c>
      <c r="H484" s="9">
        <v>9.99</v>
      </c>
      <c r="I484" s="3">
        <v>1</v>
      </c>
      <c r="J484" s="5" t="s">
        <v>68</v>
      </c>
      <c r="K484" s="15">
        <v>41724.647187499999</v>
      </c>
      <c r="L484" s="20">
        <f t="shared" si="21"/>
        <v>41724</v>
      </c>
      <c r="M484" t="str">
        <f t="shared" si="22"/>
        <v>03-2014</v>
      </c>
      <c r="N484">
        <f t="shared" si="23"/>
        <v>9.99</v>
      </c>
    </row>
    <row r="485" spans="3:14" x14ac:dyDescent="0.25">
      <c r="C485" t="str">
        <f>IF(COUNTBLANK(E485:K485) = 7,"",IF(AND(NOT(ISBLANK(E485)),COUNTBLANK(E485:K485) = 6),"3 Delete",IF(ISBLANK(E485),"2 Add",IF(SHA1Range(E485:K485) = "81230ed1c0e87ac4e16360d5f5b8f824994b5696","0 Original","1 Modify"))))</f>
        <v>0 Original</v>
      </c>
      <c r="D485" s="5" t="s">
        <v>2759</v>
      </c>
      <c r="E485" s="3">
        <v>1434</v>
      </c>
      <c r="F485" t="s">
        <v>1102</v>
      </c>
      <c r="G485" t="s">
        <v>588</v>
      </c>
      <c r="H485" s="9">
        <v>4.99</v>
      </c>
      <c r="I485" s="3">
        <v>2</v>
      </c>
      <c r="J485" s="5" t="s">
        <v>68</v>
      </c>
      <c r="K485" s="15">
        <v>41724.647187499999</v>
      </c>
      <c r="L485" s="20">
        <f t="shared" si="21"/>
        <v>41724</v>
      </c>
      <c r="M485" t="str">
        <f t="shared" si="22"/>
        <v>03-2014</v>
      </c>
      <c r="N485">
        <f t="shared" si="23"/>
        <v>9.98</v>
      </c>
    </row>
    <row r="486" spans="3:14" x14ac:dyDescent="0.25">
      <c r="C486" t="str">
        <f>IF(COUNTBLANK(E486:K486) = 7,"",IF(AND(NOT(ISBLANK(E486)),COUNTBLANK(E486:K486) = 6),"3 Delete",IF(ISBLANK(E486),"2 Add",IF(SHA1Range(E486:K486) = "2d3f7940e2a4cf1534da7bd0f53c231eaecdafc0","0 Original","1 Modify"))))</f>
        <v>0 Original</v>
      </c>
      <c r="D486" s="5" t="s">
        <v>2760</v>
      </c>
      <c r="E486" s="3">
        <v>2705</v>
      </c>
      <c r="F486" t="s">
        <v>1103</v>
      </c>
      <c r="G486" t="s">
        <v>642</v>
      </c>
      <c r="H486" s="9">
        <v>9.99</v>
      </c>
      <c r="I486" s="3">
        <v>2</v>
      </c>
      <c r="J486" s="5" t="s">
        <v>68</v>
      </c>
      <c r="K486" s="15">
        <v>41724.775324074071</v>
      </c>
      <c r="L486" s="20">
        <f t="shared" si="21"/>
        <v>41724</v>
      </c>
      <c r="M486" t="str">
        <f t="shared" si="22"/>
        <v>03-2014</v>
      </c>
      <c r="N486">
        <f t="shared" si="23"/>
        <v>19.98</v>
      </c>
    </row>
    <row r="487" spans="3:14" x14ac:dyDescent="0.25">
      <c r="C487" t="str">
        <f>IF(COUNTBLANK(E487:K487) = 7,"",IF(AND(NOT(ISBLANK(E487)),COUNTBLANK(E487:K487) = 6),"3 Delete",IF(ISBLANK(E487),"2 Add",IF(SHA1Range(E487:K487) = "c495cf17aec418017fffb8c20230887851a06efb","0 Original","1 Modify"))))</f>
        <v>0 Original</v>
      </c>
      <c r="D487" s="5" t="s">
        <v>2761</v>
      </c>
      <c r="E487" s="3">
        <v>2706</v>
      </c>
      <c r="F487" t="s">
        <v>1103</v>
      </c>
      <c r="G487" t="s">
        <v>514</v>
      </c>
      <c r="H487" s="9">
        <v>6.99</v>
      </c>
      <c r="I487" s="3">
        <v>1</v>
      </c>
      <c r="J487" s="5" t="s">
        <v>68</v>
      </c>
      <c r="K487" s="15">
        <v>41724.775324074071</v>
      </c>
      <c r="L487" s="20">
        <f t="shared" si="21"/>
        <v>41724</v>
      </c>
      <c r="M487" t="str">
        <f t="shared" si="22"/>
        <v>03-2014</v>
      </c>
      <c r="N487">
        <f t="shared" si="23"/>
        <v>6.99</v>
      </c>
    </row>
    <row r="488" spans="3:14" x14ac:dyDescent="0.25">
      <c r="C488" t="str">
        <f>IF(COUNTBLANK(E488:K488) = 7,"",IF(AND(NOT(ISBLANK(E488)),COUNTBLANK(E488:K488) = 6),"3 Delete",IF(ISBLANK(E488),"2 Add",IF(SHA1Range(E488:K488) = "2fd71b662d17e907620c19bd91348a71bbf33cec","0 Original","1 Modify"))))</f>
        <v>0 Original</v>
      </c>
      <c r="D488" s="5" t="s">
        <v>2762</v>
      </c>
      <c r="E488" s="3">
        <v>2707</v>
      </c>
      <c r="F488" t="s">
        <v>1103</v>
      </c>
      <c r="G488" t="s">
        <v>948</v>
      </c>
      <c r="H488" s="9">
        <v>4.99</v>
      </c>
      <c r="I488" s="3">
        <v>1</v>
      </c>
      <c r="J488" s="5" t="s">
        <v>68</v>
      </c>
      <c r="K488" s="15">
        <v>41724.775324074071</v>
      </c>
      <c r="L488" s="20">
        <f t="shared" si="21"/>
        <v>41724</v>
      </c>
      <c r="M488" t="str">
        <f t="shared" si="22"/>
        <v>03-2014</v>
      </c>
      <c r="N488">
        <f t="shared" si="23"/>
        <v>4.99</v>
      </c>
    </row>
    <row r="489" spans="3:14" x14ac:dyDescent="0.25">
      <c r="C489" t="str">
        <f>IF(COUNTBLANK(E489:K489) = 7,"",IF(AND(NOT(ISBLANK(E489)),COUNTBLANK(E489:K489) = 6),"3 Delete",IF(ISBLANK(E489),"2 Add",IF(SHA1Range(E489:K489) = "6cce28a5edc8506564e54187fcd9c3bd8deaef13","0 Original","1 Modify"))))</f>
        <v>0 Original</v>
      </c>
      <c r="D489" s="5" t="s">
        <v>2763</v>
      </c>
      <c r="E489" s="3">
        <v>2708</v>
      </c>
      <c r="F489" t="s">
        <v>1103</v>
      </c>
      <c r="G489" t="s">
        <v>707</v>
      </c>
      <c r="H489" s="9">
        <v>7.99</v>
      </c>
      <c r="I489" s="3">
        <v>1</v>
      </c>
      <c r="J489" s="5" t="s">
        <v>68</v>
      </c>
      <c r="K489" s="15">
        <v>41724.775324074071</v>
      </c>
      <c r="L489" s="20">
        <f t="shared" si="21"/>
        <v>41724</v>
      </c>
      <c r="M489" t="str">
        <f t="shared" si="22"/>
        <v>03-2014</v>
      </c>
      <c r="N489">
        <f t="shared" si="23"/>
        <v>7.99</v>
      </c>
    </row>
    <row r="490" spans="3:14" x14ac:dyDescent="0.25">
      <c r="C490" t="str">
        <f>IF(COUNTBLANK(E490:K490) = 7,"",IF(AND(NOT(ISBLANK(E490)),COUNTBLANK(E490:K490) = 6),"3 Delete",IF(ISBLANK(E490),"2 Add",IF(SHA1Range(E490:K490) = "f578ec41f12b04170a9d37e7e67de664a203f2e8","0 Original","1 Modify"))))</f>
        <v>0 Original</v>
      </c>
      <c r="D490" s="5" t="s">
        <v>2764</v>
      </c>
      <c r="E490" s="3">
        <v>2709</v>
      </c>
      <c r="F490" t="s">
        <v>1103</v>
      </c>
      <c r="G490" t="s">
        <v>579</v>
      </c>
      <c r="H490" s="9">
        <v>9.99</v>
      </c>
      <c r="I490" s="3">
        <v>1</v>
      </c>
      <c r="J490" s="5" t="s">
        <v>68</v>
      </c>
      <c r="K490" s="15">
        <v>41724.775324074071</v>
      </c>
      <c r="L490" s="20">
        <f t="shared" si="21"/>
        <v>41724</v>
      </c>
      <c r="M490" t="str">
        <f t="shared" si="22"/>
        <v>03-2014</v>
      </c>
      <c r="N490">
        <f t="shared" si="23"/>
        <v>9.99</v>
      </c>
    </row>
    <row r="491" spans="3:14" x14ac:dyDescent="0.25">
      <c r="C491" t="str">
        <f>IF(COUNTBLANK(E491:K491) = 7,"",IF(AND(NOT(ISBLANK(E491)),COUNTBLANK(E491:K491) = 6),"3 Delete",IF(ISBLANK(E491),"2 Add",IF(SHA1Range(E491:K491) = "b100fb3119411f4d159f3699afd104ecfc031b22","0 Original","1 Modify"))))</f>
        <v>0 Original</v>
      </c>
      <c r="D491" s="5" t="s">
        <v>2765</v>
      </c>
      <c r="E491" s="3">
        <v>2710</v>
      </c>
      <c r="F491" t="s">
        <v>1103</v>
      </c>
      <c r="G491" t="s">
        <v>749</v>
      </c>
      <c r="H491" s="9">
        <v>5.99</v>
      </c>
      <c r="I491" s="3">
        <v>1</v>
      </c>
      <c r="J491" s="5" t="s">
        <v>68</v>
      </c>
      <c r="K491" s="15">
        <v>41724.775324074071</v>
      </c>
      <c r="L491" s="20">
        <f t="shared" si="21"/>
        <v>41724</v>
      </c>
      <c r="M491" t="str">
        <f t="shared" si="22"/>
        <v>03-2014</v>
      </c>
      <c r="N491">
        <f t="shared" si="23"/>
        <v>5.99</v>
      </c>
    </row>
    <row r="492" spans="3:14" x14ac:dyDescent="0.25">
      <c r="C492" t="str">
        <f>IF(COUNTBLANK(E492:K492) = 7,"",IF(AND(NOT(ISBLANK(E492)),COUNTBLANK(E492:K492) = 6),"3 Delete",IF(ISBLANK(E492),"2 Add",IF(SHA1Range(E492:K492) = "a3f02ccfaa56e57a5f1978a6f0fd6cf21465369f","0 Original","1 Modify"))))</f>
        <v>0 Original</v>
      </c>
      <c r="D492" s="5" t="s">
        <v>2766</v>
      </c>
      <c r="E492" s="3">
        <v>2711</v>
      </c>
      <c r="F492" t="s">
        <v>1103</v>
      </c>
      <c r="G492" t="s">
        <v>514</v>
      </c>
      <c r="H492" s="9">
        <v>6.99</v>
      </c>
      <c r="I492" s="3">
        <v>1</v>
      </c>
      <c r="J492" s="5" t="s">
        <v>68</v>
      </c>
      <c r="K492" s="15">
        <v>41724.775324074071</v>
      </c>
      <c r="L492" s="20">
        <f t="shared" si="21"/>
        <v>41724</v>
      </c>
      <c r="M492" t="str">
        <f t="shared" si="22"/>
        <v>03-2014</v>
      </c>
      <c r="N492">
        <f t="shared" si="23"/>
        <v>6.99</v>
      </c>
    </row>
    <row r="493" spans="3:14" x14ac:dyDescent="0.25">
      <c r="C493" t="str">
        <f>IF(COUNTBLANK(E493:K493) = 7,"",IF(AND(NOT(ISBLANK(E493)),COUNTBLANK(E493:K493) = 6),"3 Delete",IF(ISBLANK(E493),"2 Add",IF(SHA1Range(E493:K493) = "af3d2f1d6da87651cc946da81cb286fc73205f6e","0 Original","1 Modify"))))</f>
        <v>0 Original</v>
      </c>
      <c r="D493" s="5" t="s">
        <v>2767</v>
      </c>
      <c r="E493" s="3">
        <v>2712</v>
      </c>
      <c r="F493" t="s">
        <v>1103</v>
      </c>
      <c r="G493" t="s">
        <v>687</v>
      </c>
      <c r="H493" s="9">
        <v>9.99</v>
      </c>
      <c r="I493" s="3">
        <v>2</v>
      </c>
      <c r="J493" s="5" t="s">
        <v>68</v>
      </c>
      <c r="K493" s="15">
        <v>41724.775324074071</v>
      </c>
      <c r="L493" s="20">
        <f t="shared" si="21"/>
        <v>41724</v>
      </c>
      <c r="M493" t="str">
        <f t="shared" si="22"/>
        <v>03-2014</v>
      </c>
      <c r="N493">
        <f t="shared" si="23"/>
        <v>19.98</v>
      </c>
    </row>
    <row r="494" spans="3:14" x14ac:dyDescent="0.25">
      <c r="C494" t="str">
        <f>IF(COUNTBLANK(E494:K494) = 7,"",IF(AND(NOT(ISBLANK(E494)),COUNTBLANK(E494:K494) = 6),"3 Delete",IF(ISBLANK(E494),"2 Add",IF(SHA1Range(E494:K494) = "ef8c520f0ca4a0886b3b6cd6305d88ff6d107a7b","0 Original","1 Modify"))))</f>
        <v>0 Original</v>
      </c>
      <c r="D494" s="5" t="s">
        <v>2768</v>
      </c>
      <c r="E494" s="3">
        <v>2022</v>
      </c>
      <c r="F494" t="s">
        <v>1104</v>
      </c>
      <c r="G494" t="s">
        <v>507</v>
      </c>
      <c r="H494" s="9">
        <v>6.99</v>
      </c>
      <c r="I494" s="3">
        <v>1</v>
      </c>
      <c r="J494" s="5" t="s">
        <v>68</v>
      </c>
      <c r="K494" s="15">
        <v>41725.06585648148</v>
      </c>
      <c r="L494" s="20">
        <f t="shared" si="21"/>
        <v>41725</v>
      </c>
      <c r="M494" t="str">
        <f t="shared" si="22"/>
        <v>03-2014</v>
      </c>
      <c r="N494">
        <f t="shared" si="23"/>
        <v>6.99</v>
      </c>
    </row>
    <row r="495" spans="3:14" x14ac:dyDescent="0.25">
      <c r="C495" t="str">
        <f>IF(COUNTBLANK(E495:K495) = 7,"",IF(AND(NOT(ISBLANK(E495)),COUNTBLANK(E495:K495) = 6),"3 Delete",IF(ISBLANK(E495),"2 Add",IF(SHA1Range(E495:K495) = "7b411bf0c46e923f1c4b4acaf1c34e2ac34873bb","0 Original","1 Modify"))))</f>
        <v>0 Original</v>
      </c>
      <c r="D495" s="5" t="s">
        <v>2769</v>
      </c>
      <c r="E495" s="3">
        <v>2023</v>
      </c>
      <c r="F495" t="s">
        <v>1104</v>
      </c>
      <c r="G495" t="s">
        <v>610</v>
      </c>
      <c r="H495" s="9">
        <v>9.99</v>
      </c>
      <c r="I495" s="3">
        <v>1</v>
      </c>
      <c r="J495" s="5" t="s">
        <v>68</v>
      </c>
      <c r="K495" s="15">
        <v>41725.06585648148</v>
      </c>
      <c r="L495" s="20">
        <f t="shared" si="21"/>
        <v>41725</v>
      </c>
      <c r="M495" t="str">
        <f t="shared" si="22"/>
        <v>03-2014</v>
      </c>
      <c r="N495">
        <f t="shared" si="23"/>
        <v>9.99</v>
      </c>
    </row>
    <row r="496" spans="3:14" x14ac:dyDescent="0.25">
      <c r="C496" t="str">
        <f>IF(COUNTBLANK(E496:K496) = 7,"",IF(AND(NOT(ISBLANK(E496)),COUNTBLANK(E496:K496) = 6),"3 Delete",IF(ISBLANK(E496),"2 Add",IF(SHA1Range(E496:K496) = "b46df9b468518eccc459507295ddfaaec7e5a7a8","0 Original","1 Modify"))))</f>
        <v>0 Original</v>
      </c>
      <c r="D496" s="5" t="s">
        <v>2770</v>
      </c>
      <c r="E496" s="3">
        <v>1643</v>
      </c>
      <c r="F496" t="s">
        <v>1105</v>
      </c>
      <c r="G496" t="s">
        <v>445</v>
      </c>
      <c r="H496" s="9">
        <v>7.99</v>
      </c>
      <c r="I496" s="3">
        <v>1</v>
      </c>
      <c r="J496" s="5" t="s">
        <v>68</v>
      </c>
      <c r="K496" s="15">
        <v>41726.376122685186</v>
      </c>
      <c r="L496" s="20">
        <f t="shared" si="21"/>
        <v>41726</v>
      </c>
      <c r="M496" t="str">
        <f t="shared" si="22"/>
        <v>03-2014</v>
      </c>
      <c r="N496">
        <f t="shared" si="23"/>
        <v>7.99</v>
      </c>
    </row>
    <row r="497" spans="3:14" x14ac:dyDescent="0.25">
      <c r="C497" t="str">
        <f>IF(COUNTBLANK(E497:K497) = 7,"",IF(AND(NOT(ISBLANK(E497)),COUNTBLANK(E497:K497) = 6),"3 Delete",IF(ISBLANK(E497),"2 Add",IF(SHA1Range(E497:K497) = "b6e2d72200051eed177361ee41592d6e5bb6bb17","0 Original","1 Modify"))))</f>
        <v>0 Original</v>
      </c>
      <c r="D497" s="5" t="s">
        <v>2771</v>
      </c>
      <c r="E497" s="3">
        <v>1644</v>
      </c>
      <c r="F497" t="s">
        <v>1105</v>
      </c>
      <c r="G497" t="s">
        <v>503</v>
      </c>
      <c r="H497" s="9">
        <v>9.99</v>
      </c>
      <c r="I497" s="3">
        <v>1</v>
      </c>
      <c r="J497" s="5" t="s">
        <v>68</v>
      </c>
      <c r="K497" s="15">
        <v>41726.376122685186</v>
      </c>
      <c r="L497" s="20">
        <f t="shared" si="21"/>
        <v>41726</v>
      </c>
      <c r="M497" t="str">
        <f t="shared" si="22"/>
        <v>03-2014</v>
      </c>
      <c r="N497">
        <f t="shared" si="23"/>
        <v>9.99</v>
      </c>
    </row>
    <row r="498" spans="3:14" x14ac:dyDescent="0.25">
      <c r="C498" t="str">
        <f>IF(COUNTBLANK(E498:K498) = 7,"",IF(AND(NOT(ISBLANK(E498)),COUNTBLANK(E498:K498) = 6),"3 Delete",IF(ISBLANK(E498),"2 Add",IF(SHA1Range(E498:K498) = "4acc25b68bd0cb89444e9e96f0ec4e0035ea2910","0 Original","1 Modify"))))</f>
        <v>0 Original</v>
      </c>
      <c r="D498" s="5" t="s">
        <v>2772</v>
      </c>
      <c r="E498" s="3">
        <v>944</v>
      </c>
      <c r="F498" t="s">
        <v>1106</v>
      </c>
      <c r="G498" t="s">
        <v>704</v>
      </c>
      <c r="H498" s="9">
        <v>4.99</v>
      </c>
      <c r="I498" s="3">
        <v>1</v>
      </c>
      <c r="J498" s="5" t="s">
        <v>68</v>
      </c>
      <c r="K498" s="15">
        <v>41726.522638888891</v>
      </c>
      <c r="L498" s="20">
        <f t="shared" si="21"/>
        <v>41726</v>
      </c>
      <c r="M498" t="str">
        <f t="shared" si="22"/>
        <v>03-2014</v>
      </c>
      <c r="N498">
        <f t="shared" si="23"/>
        <v>4.99</v>
      </c>
    </row>
    <row r="499" spans="3:14" x14ac:dyDescent="0.25">
      <c r="C499" t="str">
        <f>IF(COUNTBLANK(E499:K499) = 7,"",IF(AND(NOT(ISBLANK(E499)),COUNTBLANK(E499:K499) = 6),"3 Delete",IF(ISBLANK(E499),"2 Add",IF(SHA1Range(E499:K499) = "02c0d98625716962d866f2bf57575d7e7780c119","0 Original","1 Modify"))))</f>
        <v>0 Original</v>
      </c>
      <c r="D499" s="5" t="s">
        <v>2773</v>
      </c>
      <c r="E499" s="3">
        <v>945</v>
      </c>
      <c r="F499" t="s">
        <v>1106</v>
      </c>
      <c r="G499" t="s">
        <v>600</v>
      </c>
      <c r="H499" s="9">
        <v>5.99</v>
      </c>
      <c r="I499" s="3">
        <v>1</v>
      </c>
      <c r="J499" s="5" t="s">
        <v>68</v>
      </c>
      <c r="K499" s="15">
        <v>41726.522638888891</v>
      </c>
      <c r="L499" s="20">
        <f t="shared" si="21"/>
        <v>41726</v>
      </c>
      <c r="M499" t="str">
        <f t="shared" si="22"/>
        <v>03-2014</v>
      </c>
      <c r="N499">
        <f t="shared" si="23"/>
        <v>5.99</v>
      </c>
    </row>
    <row r="500" spans="3:14" x14ac:dyDescent="0.25">
      <c r="C500" t="str">
        <f>IF(COUNTBLANK(E500:K500) = 7,"",IF(AND(NOT(ISBLANK(E500)),COUNTBLANK(E500:K500) = 6),"3 Delete",IF(ISBLANK(E500),"2 Add",IF(SHA1Range(E500:K500) = "bf500d2b1e6c38f059b64cca4d91df4f95e166fe","0 Original","1 Modify"))))</f>
        <v>0 Original</v>
      </c>
      <c r="D500" s="5" t="s">
        <v>2774</v>
      </c>
      <c r="E500" s="3">
        <v>946</v>
      </c>
      <c r="F500" t="s">
        <v>1106</v>
      </c>
      <c r="G500" t="s">
        <v>654</v>
      </c>
      <c r="H500" s="9">
        <v>5.99</v>
      </c>
      <c r="I500" s="3">
        <v>2</v>
      </c>
      <c r="J500" s="5" t="s">
        <v>68</v>
      </c>
      <c r="K500" s="15">
        <v>41726.522638888891</v>
      </c>
      <c r="L500" s="20">
        <f t="shared" si="21"/>
        <v>41726</v>
      </c>
      <c r="M500" t="str">
        <f t="shared" si="22"/>
        <v>03-2014</v>
      </c>
      <c r="N500">
        <f t="shared" si="23"/>
        <v>11.98</v>
      </c>
    </row>
    <row r="501" spans="3:14" x14ac:dyDescent="0.25">
      <c r="C501" t="str">
        <f>IF(COUNTBLANK(E501:K501) = 7,"",IF(AND(NOT(ISBLANK(E501)),COUNTBLANK(E501:K501) = 6),"3 Delete",IF(ISBLANK(E501),"2 Add",IF(SHA1Range(E501:K501) = "d2197896c70c907899d4377717e58a999037d3f1","0 Original","1 Modify"))))</f>
        <v>0 Original</v>
      </c>
      <c r="D501" s="5" t="s">
        <v>2775</v>
      </c>
      <c r="E501" s="3">
        <v>947</v>
      </c>
      <c r="F501" t="s">
        <v>1106</v>
      </c>
      <c r="G501" t="s">
        <v>869</v>
      </c>
      <c r="H501" s="9">
        <v>4.99</v>
      </c>
      <c r="I501" s="3">
        <v>1</v>
      </c>
      <c r="J501" s="5" t="s">
        <v>68</v>
      </c>
      <c r="K501" s="15">
        <v>41726.522638888891</v>
      </c>
      <c r="L501" s="20">
        <f t="shared" si="21"/>
        <v>41726</v>
      </c>
      <c r="M501" t="str">
        <f t="shared" si="22"/>
        <v>03-2014</v>
      </c>
      <c r="N501">
        <f t="shared" si="23"/>
        <v>4.99</v>
      </c>
    </row>
    <row r="502" spans="3:14" x14ac:dyDescent="0.25">
      <c r="C502" t="str">
        <f>IF(COUNTBLANK(E502:K502) = 7,"",IF(AND(NOT(ISBLANK(E502)),COUNTBLANK(E502:K502) = 6),"3 Delete",IF(ISBLANK(E502),"2 Add",IF(SHA1Range(E502:K502) = "73d9c5d0d02443c3e711a3f6c5fab52aa93801f5","0 Original","1 Modify"))))</f>
        <v>0 Original</v>
      </c>
      <c r="D502" s="5" t="s">
        <v>2776</v>
      </c>
      <c r="E502" s="3">
        <v>3520</v>
      </c>
      <c r="F502" t="s">
        <v>1107</v>
      </c>
      <c r="G502" t="s">
        <v>373</v>
      </c>
      <c r="H502" s="9">
        <v>7.99</v>
      </c>
      <c r="I502" s="3">
        <v>1</v>
      </c>
      <c r="J502" s="5" t="s">
        <v>68</v>
      </c>
      <c r="K502" s="15">
        <v>41729.711180555554</v>
      </c>
      <c r="L502" s="20">
        <f t="shared" si="21"/>
        <v>41729</v>
      </c>
      <c r="M502" t="str">
        <f t="shared" si="22"/>
        <v>03-2014</v>
      </c>
      <c r="N502">
        <f t="shared" si="23"/>
        <v>7.99</v>
      </c>
    </row>
    <row r="503" spans="3:14" x14ac:dyDescent="0.25">
      <c r="C503" t="str">
        <f>IF(COUNTBLANK(E503:K503) = 7,"",IF(AND(NOT(ISBLANK(E503)),COUNTBLANK(E503:K503) = 6),"3 Delete",IF(ISBLANK(E503),"2 Add",IF(SHA1Range(E503:K503) = "54281bb0463b3f75b263b1eba404db781354180c","0 Original","1 Modify"))))</f>
        <v>0 Original</v>
      </c>
      <c r="D503" s="5" t="s">
        <v>2777</v>
      </c>
      <c r="E503" s="3">
        <v>3521</v>
      </c>
      <c r="F503" t="s">
        <v>1107</v>
      </c>
      <c r="G503" t="s">
        <v>948</v>
      </c>
      <c r="H503" s="9">
        <v>4.99</v>
      </c>
      <c r="I503" s="3">
        <v>1</v>
      </c>
      <c r="J503" s="5" t="s">
        <v>68</v>
      </c>
      <c r="K503" s="15">
        <v>41729.711180555554</v>
      </c>
      <c r="L503" s="20">
        <f t="shared" si="21"/>
        <v>41729</v>
      </c>
      <c r="M503" t="str">
        <f t="shared" si="22"/>
        <v>03-2014</v>
      </c>
      <c r="N503">
        <f t="shared" si="23"/>
        <v>4.99</v>
      </c>
    </row>
    <row r="504" spans="3:14" x14ac:dyDescent="0.25">
      <c r="C504" t="str">
        <f>IF(COUNTBLANK(E504:K504) = 7,"",IF(AND(NOT(ISBLANK(E504)),COUNTBLANK(E504:K504) = 6),"3 Delete",IF(ISBLANK(E504),"2 Add",IF(SHA1Range(E504:K504) = "92c9665bbecd54cc4a662b2bb964aa74b5f70ffb","0 Original","1 Modify"))))</f>
        <v>0 Original</v>
      </c>
      <c r="D504" s="5" t="s">
        <v>2778</v>
      </c>
      <c r="E504" s="3">
        <v>3522</v>
      </c>
      <c r="F504" t="s">
        <v>1107</v>
      </c>
      <c r="G504" t="s">
        <v>687</v>
      </c>
      <c r="H504" s="9">
        <v>9.99</v>
      </c>
      <c r="I504" s="3">
        <v>1</v>
      </c>
      <c r="J504" s="5" t="s">
        <v>68</v>
      </c>
      <c r="K504" s="15">
        <v>41729.711180555554</v>
      </c>
      <c r="L504" s="20">
        <f t="shared" si="21"/>
        <v>41729</v>
      </c>
      <c r="M504" t="str">
        <f t="shared" si="22"/>
        <v>03-2014</v>
      </c>
      <c r="N504">
        <f t="shared" si="23"/>
        <v>9.99</v>
      </c>
    </row>
    <row r="505" spans="3:14" x14ac:dyDescent="0.25">
      <c r="C505" t="str">
        <f>IF(COUNTBLANK(E505:K505) = 7,"",IF(AND(NOT(ISBLANK(E505)),COUNTBLANK(E505:K505) = 6),"3 Delete",IF(ISBLANK(E505),"2 Add",IF(SHA1Range(E505:K505) = "7ddb373ff42efab245f827dcdb7d9abc1e3e6a56","0 Original","1 Modify"))))</f>
        <v>0 Original</v>
      </c>
      <c r="D505" s="5" t="s">
        <v>2779</v>
      </c>
      <c r="E505" s="3">
        <v>127</v>
      </c>
      <c r="F505" t="s">
        <v>1108</v>
      </c>
      <c r="G505" t="s">
        <v>926</v>
      </c>
      <c r="H505" s="9">
        <v>9.99</v>
      </c>
      <c r="I505" s="3">
        <v>1</v>
      </c>
      <c r="J505" s="5" t="s">
        <v>68</v>
      </c>
      <c r="K505" s="15">
        <v>41730.027071759258</v>
      </c>
      <c r="L505" s="20">
        <f t="shared" si="21"/>
        <v>41730</v>
      </c>
      <c r="M505" t="str">
        <f t="shared" si="22"/>
        <v>04-2014</v>
      </c>
      <c r="N505">
        <f t="shared" si="23"/>
        <v>9.99</v>
      </c>
    </row>
    <row r="506" spans="3:14" x14ac:dyDescent="0.25">
      <c r="C506" t="str">
        <f>IF(COUNTBLANK(E506:K506) = 7,"",IF(AND(NOT(ISBLANK(E506)),COUNTBLANK(E506:K506) = 6),"3 Delete",IF(ISBLANK(E506),"2 Add",IF(SHA1Range(E506:K506) = "d6b69917170e78c491b2a72696292e4dee46abd9","0 Original","1 Modify"))))</f>
        <v>0 Original</v>
      </c>
      <c r="D506" s="5" t="s">
        <v>2780</v>
      </c>
      <c r="E506" s="3">
        <v>128</v>
      </c>
      <c r="F506" t="s">
        <v>1108</v>
      </c>
      <c r="G506" t="s">
        <v>932</v>
      </c>
      <c r="H506" s="9">
        <v>9.99</v>
      </c>
      <c r="I506" s="3">
        <v>1</v>
      </c>
      <c r="J506" s="5" t="s">
        <v>68</v>
      </c>
      <c r="K506" s="15">
        <v>41730.027071759258</v>
      </c>
      <c r="L506" s="20">
        <f t="shared" si="21"/>
        <v>41730</v>
      </c>
      <c r="M506" t="str">
        <f t="shared" si="22"/>
        <v>04-2014</v>
      </c>
      <c r="N506">
        <f t="shared" si="23"/>
        <v>9.99</v>
      </c>
    </row>
    <row r="507" spans="3:14" x14ac:dyDescent="0.25">
      <c r="C507" t="str">
        <f>IF(COUNTBLANK(E507:K507) = 7,"",IF(AND(NOT(ISBLANK(E507)),COUNTBLANK(E507:K507) = 6),"3 Delete",IF(ISBLANK(E507),"2 Add",IF(SHA1Range(E507:K507) = "e60afbd7f3778edc12ca005b8daed5a73de31276","0 Original","1 Modify"))))</f>
        <v>0 Original</v>
      </c>
      <c r="D507" s="5" t="s">
        <v>2781</v>
      </c>
      <c r="E507" s="3">
        <v>129</v>
      </c>
      <c r="F507" t="s">
        <v>1108</v>
      </c>
      <c r="G507" t="s">
        <v>784</v>
      </c>
      <c r="H507" s="9">
        <v>5.99</v>
      </c>
      <c r="I507" s="3">
        <v>2</v>
      </c>
      <c r="J507" s="5" t="s">
        <v>68</v>
      </c>
      <c r="K507" s="15">
        <v>41730.027071759258</v>
      </c>
      <c r="L507" s="20">
        <f t="shared" si="21"/>
        <v>41730</v>
      </c>
      <c r="M507" t="str">
        <f t="shared" si="22"/>
        <v>04-2014</v>
      </c>
      <c r="N507">
        <f t="shared" si="23"/>
        <v>11.98</v>
      </c>
    </row>
    <row r="508" spans="3:14" x14ac:dyDescent="0.25">
      <c r="C508" t="str">
        <f>IF(COUNTBLANK(E508:K508) = 7,"",IF(AND(NOT(ISBLANK(E508)),COUNTBLANK(E508:K508) = 6),"3 Delete",IF(ISBLANK(E508),"2 Add",IF(SHA1Range(E508:K508) = "855dbcd695113b8b73bb5e46c05bad563dd647de","0 Original","1 Modify"))))</f>
        <v>0 Original</v>
      </c>
      <c r="D508" s="5" t="s">
        <v>2782</v>
      </c>
      <c r="E508" s="3">
        <v>130</v>
      </c>
      <c r="F508" t="s">
        <v>1108</v>
      </c>
      <c r="G508" t="s">
        <v>729</v>
      </c>
      <c r="H508" s="9">
        <v>8.99</v>
      </c>
      <c r="I508" s="3">
        <v>1</v>
      </c>
      <c r="J508" s="5" t="s">
        <v>68</v>
      </c>
      <c r="K508" s="15">
        <v>41730.027071759258</v>
      </c>
      <c r="L508" s="20">
        <f t="shared" si="21"/>
        <v>41730</v>
      </c>
      <c r="M508" t="str">
        <f t="shared" si="22"/>
        <v>04-2014</v>
      </c>
      <c r="N508">
        <f t="shared" si="23"/>
        <v>8.99</v>
      </c>
    </row>
    <row r="509" spans="3:14" x14ac:dyDescent="0.25">
      <c r="C509" t="str">
        <f>IF(COUNTBLANK(E509:K509) = 7,"",IF(AND(NOT(ISBLANK(E509)),COUNTBLANK(E509:K509) = 6),"3 Delete",IF(ISBLANK(E509),"2 Add",IF(SHA1Range(E509:K509) = "bd7ca63533e323380d09a2e0353d02355536ea88","0 Original","1 Modify"))))</f>
        <v>0 Original</v>
      </c>
      <c r="D509" s="5" t="s">
        <v>2783</v>
      </c>
      <c r="E509" s="3">
        <v>997</v>
      </c>
      <c r="F509" t="s">
        <v>1109</v>
      </c>
      <c r="G509" t="s">
        <v>869</v>
      </c>
      <c r="H509" s="9">
        <v>4.99</v>
      </c>
      <c r="I509" s="3">
        <v>1</v>
      </c>
      <c r="J509" s="5" t="s">
        <v>68</v>
      </c>
      <c r="K509" s="15">
        <v>41730.428761574076</v>
      </c>
      <c r="L509" s="20">
        <f t="shared" si="21"/>
        <v>41730</v>
      </c>
      <c r="M509" t="str">
        <f t="shared" si="22"/>
        <v>04-2014</v>
      </c>
      <c r="N509">
        <f t="shared" si="23"/>
        <v>4.99</v>
      </c>
    </row>
    <row r="510" spans="3:14" x14ac:dyDescent="0.25">
      <c r="C510" t="str">
        <f>IF(COUNTBLANK(E510:K510) = 7,"",IF(AND(NOT(ISBLANK(E510)),COUNTBLANK(E510:K510) = 6),"3 Delete",IF(ISBLANK(E510),"2 Add",IF(SHA1Range(E510:K510) = "4ecea0fa8f303457f7b06203ec97136059a1231d","0 Original","1 Modify"))))</f>
        <v>0 Original</v>
      </c>
      <c r="D510" s="5" t="s">
        <v>2784</v>
      </c>
      <c r="E510" s="3">
        <v>998</v>
      </c>
      <c r="F510" t="s">
        <v>1109</v>
      </c>
      <c r="G510" t="s">
        <v>671</v>
      </c>
      <c r="H510" s="9">
        <v>6.99</v>
      </c>
      <c r="I510" s="3">
        <v>1</v>
      </c>
      <c r="J510" s="5" t="s">
        <v>68</v>
      </c>
      <c r="K510" s="15">
        <v>41730.428761574076</v>
      </c>
      <c r="L510" s="20">
        <f t="shared" si="21"/>
        <v>41730</v>
      </c>
      <c r="M510" t="str">
        <f t="shared" si="22"/>
        <v>04-2014</v>
      </c>
      <c r="N510">
        <f t="shared" si="23"/>
        <v>6.99</v>
      </c>
    </row>
    <row r="511" spans="3:14" x14ac:dyDescent="0.25">
      <c r="C511" t="str">
        <f>IF(COUNTBLANK(E511:K511) = 7,"",IF(AND(NOT(ISBLANK(E511)),COUNTBLANK(E511:K511) = 6),"3 Delete",IF(ISBLANK(E511),"2 Add",IF(SHA1Range(E511:K511) = "424a714db4f7c7df059797bcb5eafa75025fd1d2","0 Original","1 Modify"))))</f>
        <v>0 Original</v>
      </c>
      <c r="D511" s="5" t="s">
        <v>2785</v>
      </c>
      <c r="E511" s="3">
        <v>999</v>
      </c>
      <c r="F511" t="s">
        <v>1109</v>
      </c>
      <c r="G511" t="s">
        <v>596</v>
      </c>
      <c r="H511" s="9">
        <v>7.99</v>
      </c>
      <c r="I511" s="3">
        <v>1</v>
      </c>
      <c r="J511" s="5" t="s">
        <v>68</v>
      </c>
      <c r="K511" s="15">
        <v>41730.428761574076</v>
      </c>
      <c r="L511" s="20">
        <f t="shared" si="21"/>
        <v>41730</v>
      </c>
      <c r="M511" t="str">
        <f t="shared" si="22"/>
        <v>04-2014</v>
      </c>
      <c r="N511">
        <f t="shared" si="23"/>
        <v>7.99</v>
      </c>
    </row>
    <row r="512" spans="3:14" x14ac:dyDescent="0.25">
      <c r="C512" t="str">
        <f>IF(COUNTBLANK(E512:K512) = 7,"",IF(AND(NOT(ISBLANK(E512)),COUNTBLANK(E512:K512) = 6),"3 Delete",IF(ISBLANK(E512),"2 Add",IF(SHA1Range(E512:K512) = "29229363d83273e47580a07ca039a14f8839c8d5","0 Original","1 Modify"))))</f>
        <v>0 Original</v>
      </c>
      <c r="D512" s="5" t="s">
        <v>2786</v>
      </c>
      <c r="E512" s="3">
        <v>1000</v>
      </c>
      <c r="F512" t="s">
        <v>1109</v>
      </c>
      <c r="G512" t="s">
        <v>935</v>
      </c>
      <c r="H512" s="9">
        <v>6.99</v>
      </c>
      <c r="I512" s="3">
        <v>1</v>
      </c>
      <c r="J512" s="5" t="s">
        <v>68</v>
      </c>
      <c r="K512" s="15">
        <v>41730.428761574076</v>
      </c>
      <c r="L512" s="20">
        <f t="shared" si="21"/>
        <v>41730</v>
      </c>
      <c r="M512" t="str">
        <f t="shared" si="22"/>
        <v>04-2014</v>
      </c>
      <c r="N512">
        <f t="shared" si="23"/>
        <v>6.99</v>
      </c>
    </row>
    <row r="513" spans="3:14" x14ac:dyDescent="0.25">
      <c r="C513" t="str">
        <f>IF(COUNTBLANK(E513:K513) = 7,"",IF(AND(NOT(ISBLANK(E513)),COUNTBLANK(E513:K513) = 6),"3 Delete",IF(ISBLANK(E513),"2 Add",IF(SHA1Range(E513:K513) = "77e581e551f9568af3c1d3ef175ce8529bc8d636","0 Original","1 Modify"))))</f>
        <v>0 Original</v>
      </c>
      <c r="D513" s="5" t="s">
        <v>2787</v>
      </c>
      <c r="E513" s="3">
        <v>1001</v>
      </c>
      <c r="F513" t="s">
        <v>1109</v>
      </c>
      <c r="G513" t="s">
        <v>891</v>
      </c>
      <c r="H513" s="9">
        <v>8.99</v>
      </c>
      <c r="I513" s="3">
        <v>1</v>
      </c>
      <c r="J513" s="5" t="s">
        <v>68</v>
      </c>
      <c r="K513" s="15">
        <v>41730.428761574076</v>
      </c>
      <c r="L513" s="20">
        <f t="shared" si="21"/>
        <v>41730</v>
      </c>
      <c r="M513" t="str">
        <f t="shared" si="22"/>
        <v>04-2014</v>
      </c>
      <c r="N513">
        <f t="shared" si="23"/>
        <v>8.99</v>
      </c>
    </row>
    <row r="514" spans="3:14" x14ac:dyDescent="0.25">
      <c r="C514" t="str">
        <f>IF(COUNTBLANK(E514:K514) = 7,"",IF(AND(NOT(ISBLANK(E514)),COUNTBLANK(E514:K514) = 6),"3 Delete",IF(ISBLANK(E514),"2 Add",IF(SHA1Range(E514:K514) = "f41c0d9272156112e3b3f80f30ea8de98a2d02b1","0 Original","1 Modify"))))</f>
        <v>0 Original</v>
      </c>
      <c r="D514" s="5" t="s">
        <v>2788</v>
      </c>
      <c r="E514" s="3">
        <v>3051</v>
      </c>
      <c r="F514" t="s">
        <v>1110</v>
      </c>
      <c r="G514" t="s">
        <v>948</v>
      </c>
      <c r="H514" s="9">
        <v>4.99</v>
      </c>
      <c r="I514" s="3">
        <v>1</v>
      </c>
      <c r="J514" s="5" t="s">
        <v>68</v>
      </c>
      <c r="K514" s="15">
        <v>41730.604108796295</v>
      </c>
      <c r="L514" s="20">
        <f t="shared" si="21"/>
        <v>41730</v>
      </c>
      <c r="M514" t="str">
        <f t="shared" si="22"/>
        <v>04-2014</v>
      </c>
      <c r="N514">
        <f t="shared" si="23"/>
        <v>4.99</v>
      </c>
    </row>
    <row r="515" spans="3:14" x14ac:dyDescent="0.25">
      <c r="C515" t="str">
        <f>IF(COUNTBLANK(E515:K515) = 7,"",IF(AND(NOT(ISBLANK(E515)),COUNTBLANK(E515:K515) = 6),"3 Delete",IF(ISBLANK(E515),"2 Add",IF(SHA1Range(E515:K515) = "49736dd53a7f79a5daae61f35ab75ad93ea370ea","0 Original","1 Modify"))))</f>
        <v>0 Original</v>
      </c>
      <c r="D515" s="5" t="s">
        <v>2789</v>
      </c>
      <c r="E515" s="3">
        <v>3464</v>
      </c>
      <c r="F515" t="s">
        <v>1111</v>
      </c>
      <c r="G515" t="s">
        <v>514</v>
      </c>
      <c r="H515" s="9">
        <v>6.99</v>
      </c>
      <c r="I515" s="3">
        <v>1</v>
      </c>
      <c r="J515" s="5" t="s">
        <v>68</v>
      </c>
      <c r="K515" s="15">
        <v>41730.771527777775</v>
      </c>
      <c r="L515" s="20">
        <f t="shared" ref="L515:L578" si="24">DATEVALUE(LEFT(F515,10))</f>
        <v>41730</v>
      </c>
      <c r="M515" t="str">
        <f t="shared" ref="M515:M578" si="25">TEXT(L515,"mm-yyyy")</f>
        <v>04-2014</v>
      </c>
      <c r="N515">
        <f t="shared" ref="N515:N578" si="26">H515*I515</f>
        <v>6.99</v>
      </c>
    </row>
    <row r="516" spans="3:14" x14ac:dyDescent="0.25">
      <c r="C516" t="str">
        <f>IF(COUNTBLANK(E516:K516) = 7,"",IF(AND(NOT(ISBLANK(E516)),COUNTBLANK(E516:K516) = 6),"3 Delete",IF(ISBLANK(E516),"2 Add",IF(SHA1Range(E516:K516) = "af1a30c871e544c550d8d49edec916a52d64c019","0 Original","1 Modify"))))</f>
        <v>0 Original</v>
      </c>
      <c r="D516" s="5" t="s">
        <v>2790</v>
      </c>
      <c r="E516" s="3">
        <v>750</v>
      </c>
      <c r="F516" t="s">
        <v>1112</v>
      </c>
      <c r="G516" t="s">
        <v>671</v>
      </c>
      <c r="H516" s="9">
        <v>6.99</v>
      </c>
      <c r="I516" s="3">
        <v>1</v>
      </c>
      <c r="J516" s="5" t="s">
        <v>68</v>
      </c>
      <c r="K516" s="15">
        <v>41730.803240740737</v>
      </c>
      <c r="L516" s="20">
        <f t="shared" si="24"/>
        <v>41730</v>
      </c>
      <c r="M516" t="str">
        <f t="shared" si="25"/>
        <v>04-2014</v>
      </c>
      <c r="N516">
        <f t="shared" si="26"/>
        <v>6.99</v>
      </c>
    </row>
    <row r="517" spans="3:14" x14ac:dyDescent="0.25">
      <c r="C517" t="str">
        <f>IF(COUNTBLANK(E517:K517) = 7,"",IF(AND(NOT(ISBLANK(E517)),COUNTBLANK(E517:K517) = 6),"3 Delete",IF(ISBLANK(E517),"2 Add",IF(SHA1Range(E517:K517) = "734933a4cd1e0122ff8600f2adf6f29a02c6b27a","0 Original","1 Modify"))))</f>
        <v>0 Original</v>
      </c>
      <c r="D517" s="5" t="s">
        <v>2791</v>
      </c>
      <c r="E517" s="3">
        <v>751</v>
      </c>
      <c r="F517" t="s">
        <v>1112</v>
      </c>
      <c r="G517" t="s">
        <v>739</v>
      </c>
      <c r="H517" s="9">
        <v>8.99</v>
      </c>
      <c r="I517" s="3">
        <v>1</v>
      </c>
      <c r="J517" s="5" t="s">
        <v>68</v>
      </c>
      <c r="K517" s="15">
        <v>41730.803240740737</v>
      </c>
      <c r="L517" s="20">
        <f t="shared" si="24"/>
        <v>41730</v>
      </c>
      <c r="M517" t="str">
        <f t="shared" si="25"/>
        <v>04-2014</v>
      </c>
      <c r="N517">
        <f t="shared" si="26"/>
        <v>8.99</v>
      </c>
    </row>
    <row r="518" spans="3:14" x14ac:dyDescent="0.25">
      <c r="C518" t="str">
        <f>IF(COUNTBLANK(E518:K518) = 7,"",IF(AND(NOT(ISBLANK(E518)),COUNTBLANK(E518:K518) = 6),"3 Delete",IF(ISBLANK(E518),"2 Add",IF(SHA1Range(E518:K518) = "ba7299db0218885316d85bf85cdb1131905ba671","0 Original","1 Modify"))))</f>
        <v>0 Original</v>
      </c>
      <c r="D518" s="5" t="s">
        <v>2792</v>
      </c>
      <c r="E518" s="3">
        <v>752</v>
      </c>
      <c r="F518" t="s">
        <v>1112</v>
      </c>
      <c r="G518" t="s">
        <v>563</v>
      </c>
      <c r="H518" s="9">
        <v>6.99</v>
      </c>
      <c r="I518" s="3">
        <v>1</v>
      </c>
      <c r="J518" s="5" t="s">
        <v>68</v>
      </c>
      <c r="K518" s="15">
        <v>41730.803240740737</v>
      </c>
      <c r="L518" s="20">
        <f t="shared" si="24"/>
        <v>41730</v>
      </c>
      <c r="M518" t="str">
        <f t="shared" si="25"/>
        <v>04-2014</v>
      </c>
      <c r="N518">
        <f t="shared" si="26"/>
        <v>6.99</v>
      </c>
    </row>
    <row r="519" spans="3:14" x14ac:dyDescent="0.25">
      <c r="C519" t="str">
        <f>IF(COUNTBLANK(E519:K519) = 7,"",IF(AND(NOT(ISBLANK(E519)),COUNTBLANK(E519:K519) = 6),"3 Delete",IF(ISBLANK(E519),"2 Add",IF(SHA1Range(E519:K519) = "e0696b489372d375d2aa97321eca768b5b295fd1","0 Original","1 Modify"))))</f>
        <v>0 Original</v>
      </c>
      <c r="D519" s="5" t="s">
        <v>2793</v>
      </c>
      <c r="E519" s="3">
        <v>753</v>
      </c>
      <c r="F519" t="s">
        <v>1112</v>
      </c>
      <c r="G519" t="s">
        <v>588</v>
      </c>
      <c r="H519" s="9">
        <v>4.99</v>
      </c>
      <c r="I519" s="3">
        <v>1</v>
      </c>
      <c r="J519" s="5" t="s">
        <v>68</v>
      </c>
      <c r="K519" s="15">
        <v>41730.803240740737</v>
      </c>
      <c r="L519" s="20">
        <f t="shared" si="24"/>
        <v>41730</v>
      </c>
      <c r="M519" t="str">
        <f t="shared" si="25"/>
        <v>04-2014</v>
      </c>
      <c r="N519">
        <f t="shared" si="26"/>
        <v>4.99</v>
      </c>
    </row>
    <row r="520" spans="3:14" x14ac:dyDescent="0.25">
      <c r="C520" t="str">
        <f>IF(COUNTBLANK(E520:K520) = 7,"",IF(AND(NOT(ISBLANK(E520)),COUNTBLANK(E520:K520) = 6),"3 Delete",IF(ISBLANK(E520),"2 Add",IF(SHA1Range(E520:K520) = "563662acfcec346754f4454cfa53120f99416045","0 Original","1 Modify"))))</f>
        <v>0 Original</v>
      </c>
      <c r="D520" s="5" t="s">
        <v>2794</v>
      </c>
      <c r="E520" s="3">
        <v>754</v>
      </c>
      <c r="F520" t="s">
        <v>1112</v>
      </c>
      <c r="G520" t="s">
        <v>935</v>
      </c>
      <c r="H520" s="9">
        <v>6.99</v>
      </c>
      <c r="I520" s="3">
        <v>2</v>
      </c>
      <c r="J520" s="5" t="s">
        <v>68</v>
      </c>
      <c r="K520" s="15">
        <v>41730.803240740737</v>
      </c>
      <c r="L520" s="20">
        <f t="shared" si="24"/>
        <v>41730</v>
      </c>
      <c r="M520" t="str">
        <f t="shared" si="25"/>
        <v>04-2014</v>
      </c>
      <c r="N520">
        <f t="shared" si="26"/>
        <v>13.98</v>
      </c>
    </row>
    <row r="521" spans="3:14" x14ac:dyDescent="0.25">
      <c r="C521" t="str">
        <f>IF(COUNTBLANK(E521:K521) = 7,"",IF(AND(NOT(ISBLANK(E521)),COUNTBLANK(E521:K521) = 6),"3 Delete",IF(ISBLANK(E521),"2 Add",IF(SHA1Range(E521:K521) = "a9d3e75c450be137f9cc4b6837c5c11fe145eff6","0 Original","1 Modify"))))</f>
        <v>0 Original</v>
      </c>
      <c r="D521" s="5" t="s">
        <v>2795</v>
      </c>
      <c r="E521" s="3">
        <v>755</v>
      </c>
      <c r="F521" t="s">
        <v>1112</v>
      </c>
      <c r="G521" t="s">
        <v>842</v>
      </c>
      <c r="H521" s="9">
        <v>4.99</v>
      </c>
      <c r="I521" s="3">
        <v>2</v>
      </c>
      <c r="J521" s="5" t="s">
        <v>68</v>
      </c>
      <c r="K521" s="15">
        <v>41730.803240740737</v>
      </c>
      <c r="L521" s="20">
        <f t="shared" si="24"/>
        <v>41730</v>
      </c>
      <c r="M521" t="str">
        <f t="shared" si="25"/>
        <v>04-2014</v>
      </c>
      <c r="N521">
        <f t="shared" si="26"/>
        <v>9.98</v>
      </c>
    </row>
    <row r="522" spans="3:14" x14ac:dyDescent="0.25">
      <c r="C522" t="str">
        <f>IF(COUNTBLANK(E522:K522) = 7,"",IF(AND(NOT(ISBLANK(E522)),COUNTBLANK(E522:K522) = 6),"3 Delete",IF(ISBLANK(E522),"2 Add",IF(SHA1Range(E522:K522) = "db8d863a67e0628f56a05ec796f4f48d71ae7baa","0 Original","1 Modify"))))</f>
        <v>0 Original</v>
      </c>
      <c r="D522" s="5" t="s">
        <v>2796</v>
      </c>
      <c r="E522" s="3">
        <v>756</v>
      </c>
      <c r="F522" t="s">
        <v>1112</v>
      </c>
      <c r="G522" t="s">
        <v>610</v>
      </c>
      <c r="H522" s="9">
        <v>9.99</v>
      </c>
      <c r="I522" s="3">
        <v>1</v>
      </c>
      <c r="J522" s="5" t="s">
        <v>68</v>
      </c>
      <c r="K522" s="15">
        <v>41730.803240740737</v>
      </c>
      <c r="L522" s="20">
        <f t="shared" si="24"/>
        <v>41730</v>
      </c>
      <c r="M522" t="str">
        <f t="shared" si="25"/>
        <v>04-2014</v>
      </c>
      <c r="N522">
        <f t="shared" si="26"/>
        <v>9.99</v>
      </c>
    </row>
    <row r="523" spans="3:14" x14ac:dyDescent="0.25">
      <c r="C523" t="str">
        <f>IF(COUNTBLANK(E523:K523) = 7,"",IF(AND(NOT(ISBLANK(E523)),COUNTBLANK(E523:K523) = 6),"3 Delete",IF(ISBLANK(E523),"2 Add",IF(SHA1Range(E523:K523) = "2d25984e584e115443d1016b2d71bbb5b4018370","0 Original","1 Modify"))))</f>
        <v>0 Original</v>
      </c>
      <c r="D523" s="5" t="s">
        <v>2797</v>
      </c>
      <c r="E523" s="3">
        <v>2880</v>
      </c>
      <c r="F523" t="s">
        <v>1113</v>
      </c>
      <c r="G523" t="s">
        <v>707</v>
      </c>
      <c r="H523" s="9">
        <v>7.99</v>
      </c>
      <c r="I523" s="3">
        <v>1</v>
      </c>
      <c r="J523" s="5" t="s">
        <v>68</v>
      </c>
      <c r="K523" s="15">
        <v>41731.566168981481</v>
      </c>
      <c r="L523" s="20">
        <f t="shared" si="24"/>
        <v>41731</v>
      </c>
      <c r="M523" t="str">
        <f t="shared" si="25"/>
        <v>04-2014</v>
      </c>
      <c r="N523">
        <f t="shared" si="26"/>
        <v>7.99</v>
      </c>
    </row>
    <row r="524" spans="3:14" x14ac:dyDescent="0.25">
      <c r="C524" t="str">
        <f>IF(COUNTBLANK(E524:K524) = 7,"",IF(AND(NOT(ISBLANK(E524)),COUNTBLANK(E524:K524) = 6),"3 Delete",IF(ISBLANK(E524),"2 Add",IF(SHA1Range(E524:K524) = "1c84b0fe2d6ecabbc9a03f9fec8f1e216cd813d9","0 Original","1 Modify"))))</f>
        <v>0 Original</v>
      </c>
      <c r="D524" s="5" t="s">
        <v>2798</v>
      </c>
      <c r="E524" s="3">
        <v>2881</v>
      </c>
      <c r="F524" t="s">
        <v>1113</v>
      </c>
      <c r="G524" t="s">
        <v>373</v>
      </c>
      <c r="H524" s="9">
        <v>7.99</v>
      </c>
      <c r="I524" s="3">
        <v>1</v>
      </c>
      <c r="J524" s="5" t="s">
        <v>68</v>
      </c>
      <c r="K524" s="15">
        <v>41731.566168981481</v>
      </c>
      <c r="L524" s="20">
        <f t="shared" si="24"/>
        <v>41731</v>
      </c>
      <c r="M524" t="str">
        <f t="shared" si="25"/>
        <v>04-2014</v>
      </c>
      <c r="N524">
        <f t="shared" si="26"/>
        <v>7.99</v>
      </c>
    </row>
    <row r="525" spans="3:14" x14ac:dyDescent="0.25">
      <c r="C525" t="str">
        <f>IF(COUNTBLANK(E525:K525) = 7,"",IF(AND(NOT(ISBLANK(E525)),COUNTBLANK(E525:K525) = 6),"3 Delete",IF(ISBLANK(E525),"2 Add",IF(SHA1Range(E525:K525) = "aef921fa915d0db209b41412009ee0b15da507a5","0 Original","1 Modify"))))</f>
        <v>0 Original</v>
      </c>
      <c r="D525" s="5" t="s">
        <v>2799</v>
      </c>
      <c r="E525" s="3">
        <v>2972</v>
      </c>
      <c r="F525" t="s">
        <v>1114</v>
      </c>
      <c r="G525" t="s">
        <v>687</v>
      </c>
      <c r="H525" s="9">
        <v>9.99</v>
      </c>
      <c r="I525" s="3">
        <v>1</v>
      </c>
      <c r="J525" s="5" t="s">
        <v>68</v>
      </c>
      <c r="K525" s="15">
        <v>41731.774664351855</v>
      </c>
      <c r="L525" s="20">
        <f t="shared" si="24"/>
        <v>41731</v>
      </c>
      <c r="M525" t="str">
        <f t="shared" si="25"/>
        <v>04-2014</v>
      </c>
      <c r="N525">
        <f t="shared" si="26"/>
        <v>9.99</v>
      </c>
    </row>
    <row r="526" spans="3:14" x14ac:dyDescent="0.25">
      <c r="C526" t="str">
        <f>IF(COUNTBLANK(E526:K526) = 7,"",IF(AND(NOT(ISBLANK(E526)),COUNTBLANK(E526:K526) = 6),"3 Delete",IF(ISBLANK(E526),"2 Add",IF(SHA1Range(E526:K526) = "5703b98927d0f4e797c1b9f55f1e57e0ff686872","0 Original","1 Modify"))))</f>
        <v>0 Original</v>
      </c>
      <c r="D526" s="5" t="s">
        <v>2800</v>
      </c>
      <c r="E526" s="3">
        <v>2973</v>
      </c>
      <c r="F526" t="s">
        <v>1114</v>
      </c>
      <c r="G526" t="s">
        <v>642</v>
      </c>
      <c r="H526" s="9">
        <v>9.99</v>
      </c>
      <c r="I526" s="3">
        <v>2</v>
      </c>
      <c r="J526" s="5" t="s">
        <v>68</v>
      </c>
      <c r="K526" s="15">
        <v>41731.774664351855</v>
      </c>
      <c r="L526" s="20">
        <f t="shared" si="24"/>
        <v>41731</v>
      </c>
      <c r="M526" t="str">
        <f t="shared" si="25"/>
        <v>04-2014</v>
      </c>
      <c r="N526">
        <f t="shared" si="26"/>
        <v>19.98</v>
      </c>
    </row>
    <row r="527" spans="3:14" x14ac:dyDescent="0.25">
      <c r="C527" t="str">
        <f>IF(COUNTBLANK(E527:K527) = 7,"",IF(AND(NOT(ISBLANK(E527)),COUNTBLANK(E527:K527) = 6),"3 Delete",IF(ISBLANK(E527),"2 Add",IF(SHA1Range(E527:K527) = "f756676783e9465525d3b6f00c0d47f4a2c168b3","0 Original","1 Modify"))))</f>
        <v>0 Original</v>
      </c>
      <c r="D527" s="5" t="s">
        <v>2801</v>
      </c>
      <c r="E527" s="3">
        <v>3848</v>
      </c>
      <c r="F527" t="s">
        <v>1115</v>
      </c>
      <c r="G527" t="s">
        <v>948</v>
      </c>
      <c r="H527" s="9">
        <v>4.99</v>
      </c>
      <c r="I527" s="3">
        <v>1</v>
      </c>
      <c r="J527" s="5" t="s">
        <v>68</v>
      </c>
      <c r="K527" s="15">
        <v>41732.392141203702</v>
      </c>
      <c r="L527" s="20">
        <f t="shared" si="24"/>
        <v>41732</v>
      </c>
      <c r="M527" t="str">
        <f t="shared" si="25"/>
        <v>04-2014</v>
      </c>
      <c r="N527">
        <f t="shared" si="26"/>
        <v>4.99</v>
      </c>
    </row>
    <row r="528" spans="3:14" x14ac:dyDescent="0.25">
      <c r="C528" t="str">
        <f>IF(COUNTBLANK(E528:K528) = 7,"",IF(AND(NOT(ISBLANK(E528)),COUNTBLANK(E528:K528) = 6),"3 Delete",IF(ISBLANK(E528),"2 Add",IF(SHA1Range(E528:K528) = "1bf8fe46fed5c6d70fb6cbcc33bb380358db419c","0 Original","1 Modify"))))</f>
        <v>0 Original</v>
      </c>
      <c r="D528" s="5" t="s">
        <v>2802</v>
      </c>
      <c r="E528" s="3">
        <v>3849</v>
      </c>
      <c r="F528" t="s">
        <v>1115</v>
      </c>
      <c r="G528" t="s">
        <v>552</v>
      </c>
      <c r="H528" s="9">
        <v>6.99</v>
      </c>
      <c r="I528" s="3">
        <v>2</v>
      </c>
      <c r="J528" s="5" t="s">
        <v>68</v>
      </c>
      <c r="K528" s="15">
        <v>41732.392141203702</v>
      </c>
      <c r="L528" s="20">
        <f t="shared" si="24"/>
        <v>41732</v>
      </c>
      <c r="M528" t="str">
        <f t="shared" si="25"/>
        <v>04-2014</v>
      </c>
      <c r="N528">
        <f t="shared" si="26"/>
        <v>13.98</v>
      </c>
    </row>
    <row r="529" spans="3:14" x14ac:dyDescent="0.25">
      <c r="C529" t="str">
        <f>IF(COUNTBLANK(E529:K529) = 7,"",IF(AND(NOT(ISBLANK(E529)),COUNTBLANK(E529:K529) = 6),"3 Delete",IF(ISBLANK(E529),"2 Add",IF(SHA1Range(E529:K529) = "2bd81d47fe543cf8a4a997a9243bc5ec278e35c8","0 Original","1 Modify"))))</f>
        <v>0 Original</v>
      </c>
      <c r="D529" s="5" t="s">
        <v>2803</v>
      </c>
      <c r="E529" s="3">
        <v>3850</v>
      </c>
      <c r="F529" t="s">
        <v>1115</v>
      </c>
      <c r="G529" t="s">
        <v>400</v>
      </c>
      <c r="H529" s="9">
        <v>4.99</v>
      </c>
      <c r="I529" s="3">
        <v>2</v>
      </c>
      <c r="J529" s="5" t="s">
        <v>68</v>
      </c>
      <c r="K529" s="15">
        <v>41732.392141203702</v>
      </c>
      <c r="L529" s="20">
        <f t="shared" si="24"/>
        <v>41732</v>
      </c>
      <c r="M529" t="str">
        <f t="shared" si="25"/>
        <v>04-2014</v>
      </c>
      <c r="N529">
        <f t="shared" si="26"/>
        <v>9.98</v>
      </c>
    </row>
    <row r="530" spans="3:14" x14ac:dyDescent="0.25">
      <c r="C530" t="str">
        <f>IF(COUNTBLANK(E530:K530) = 7,"",IF(AND(NOT(ISBLANK(E530)),COUNTBLANK(E530:K530) = 6),"3 Delete",IF(ISBLANK(E530),"2 Add",IF(SHA1Range(E530:K530) = "0805a66f6fc25cc42232ced974fcce31c4270d88","0 Original","1 Modify"))))</f>
        <v>0 Original</v>
      </c>
      <c r="D530" s="5" t="s">
        <v>2804</v>
      </c>
      <c r="E530" s="3">
        <v>3851</v>
      </c>
      <c r="F530" t="s">
        <v>1115</v>
      </c>
      <c r="G530" t="s">
        <v>687</v>
      </c>
      <c r="H530" s="9">
        <v>9.99</v>
      </c>
      <c r="I530" s="3">
        <v>2</v>
      </c>
      <c r="J530" s="5" t="s">
        <v>68</v>
      </c>
      <c r="K530" s="15">
        <v>41732.392141203702</v>
      </c>
      <c r="L530" s="20">
        <f t="shared" si="24"/>
        <v>41732</v>
      </c>
      <c r="M530" t="str">
        <f t="shared" si="25"/>
        <v>04-2014</v>
      </c>
      <c r="N530">
        <f t="shared" si="26"/>
        <v>19.98</v>
      </c>
    </row>
    <row r="531" spans="3:14" x14ac:dyDescent="0.25">
      <c r="C531" t="str">
        <f>IF(COUNTBLANK(E531:K531) = 7,"",IF(AND(NOT(ISBLANK(E531)),COUNTBLANK(E531:K531) = 6),"3 Delete",IF(ISBLANK(E531),"2 Add",IF(SHA1Range(E531:K531) = "feaa9f9365eeda6e58c3fd0eaacc5a6957176352","0 Original","1 Modify"))))</f>
        <v>0 Original</v>
      </c>
      <c r="D531" s="5" t="s">
        <v>2805</v>
      </c>
      <c r="E531" s="3">
        <v>3852</v>
      </c>
      <c r="F531" t="s">
        <v>1115</v>
      </c>
      <c r="G531" t="s">
        <v>749</v>
      </c>
      <c r="H531" s="9">
        <v>5.99</v>
      </c>
      <c r="I531" s="3">
        <v>1</v>
      </c>
      <c r="J531" s="5" t="s">
        <v>68</v>
      </c>
      <c r="K531" s="15">
        <v>41732.392141203702</v>
      </c>
      <c r="L531" s="20">
        <f t="shared" si="24"/>
        <v>41732</v>
      </c>
      <c r="M531" t="str">
        <f t="shared" si="25"/>
        <v>04-2014</v>
      </c>
      <c r="N531">
        <f t="shared" si="26"/>
        <v>5.99</v>
      </c>
    </row>
    <row r="532" spans="3:14" x14ac:dyDescent="0.25">
      <c r="C532" t="str">
        <f>IF(COUNTBLANK(E532:K532) = 7,"",IF(AND(NOT(ISBLANK(E532)),COUNTBLANK(E532:K532) = 6),"3 Delete",IF(ISBLANK(E532),"2 Add",IF(SHA1Range(E532:K532) = "27c19686d31052ef97f3ae33bff0ff8c6a834786","0 Original","1 Modify"))))</f>
        <v>0 Original</v>
      </c>
      <c r="D532" s="5" t="s">
        <v>2806</v>
      </c>
      <c r="E532" s="3">
        <v>3853</v>
      </c>
      <c r="F532" t="s">
        <v>1115</v>
      </c>
      <c r="G532" t="s">
        <v>514</v>
      </c>
      <c r="H532" s="9">
        <v>6.99</v>
      </c>
      <c r="I532" s="3">
        <v>1</v>
      </c>
      <c r="J532" s="5" t="s">
        <v>68</v>
      </c>
      <c r="K532" s="15">
        <v>41732.392141203702</v>
      </c>
      <c r="L532" s="20">
        <f t="shared" si="24"/>
        <v>41732</v>
      </c>
      <c r="M532" t="str">
        <f t="shared" si="25"/>
        <v>04-2014</v>
      </c>
      <c r="N532">
        <f t="shared" si="26"/>
        <v>6.99</v>
      </c>
    </row>
    <row r="533" spans="3:14" x14ac:dyDescent="0.25">
      <c r="C533" t="str">
        <f>IF(COUNTBLANK(E533:K533) = 7,"",IF(AND(NOT(ISBLANK(E533)),COUNTBLANK(E533:K533) = 6),"3 Delete",IF(ISBLANK(E533),"2 Add",IF(SHA1Range(E533:K533) = "87e6e2faa3b2e956b8d1c5ce0c2182649fc3cbc8","0 Original","1 Modify"))))</f>
        <v>0 Original</v>
      </c>
      <c r="D533" s="5" t="s">
        <v>2807</v>
      </c>
      <c r="E533" s="3">
        <v>3854</v>
      </c>
      <c r="F533" t="s">
        <v>1115</v>
      </c>
      <c r="G533" t="s">
        <v>579</v>
      </c>
      <c r="H533" s="9">
        <v>9.99</v>
      </c>
      <c r="I533" s="3">
        <v>1</v>
      </c>
      <c r="J533" s="5" t="s">
        <v>68</v>
      </c>
      <c r="K533" s="15">
        <v>41732.392141203702</v>
      </c>
      <c r="L533" s="20">
        <f t="shared" si="24"/>
        <v>41732</v>
      </c>
      <c r="M533" t="str">
        <f t="shared" si="25"/>
        <v>04-2014</v>
      </c>
      <c r="N533">
        <f t="shared" si="26"/>
        <v>9.99</v>
      </c>
    </row>
    <row r="534" spans="3:14" x14ac:dyDescent="0.25">
      <c r="C534" t="str">
        <f>IF(COUNTBLANK(E534:K534) = 7,"",IF(AND(NOT(ISBLANK(E534)),COUNTBLANK(E534:K534) = 6),"3 Delete",IF(ISBLANK(E534),"2 Add",IF(SHA1Range(E534:K534) = "d2b09f049c41a6bfce4f94c520ff22d91aea2c45","0 Original","1 Modify"))))</f>
        <v>0 Original</v>
      </c>
      <c r="D534" s="5" t="s">
        <v>2808</v>
      </c>
      <c r="E534" s="3">
        <v>2066</v>
      </c>
      <c r="F534" t="s">
        <v>1116</v>
      </c>
      <c r="G534" t="s">
        <v>503</v>
      </c>
      <c r="H534" s="9">
        <v>9.99</v>
      </c>
      <c r="I534" s="3">
        <v>1</v>
      </c>
      <c r="J534" s="5" t="s">
        <v>68</v>
      </c>
      <c r="K534" s="15">
        <v>41732.904456018521</v>
      </c>
      <c r="L534" s="20">
        <f t="shared" si="24"/>
        <v>41732</v>
      </c>
      <c r="M534" t="str">
        <f t="shared" si="25"/>
        <v>04-2014</v>
      </c>
      <c r="N534">
        <f t="shared" si="26"/>
        <v>9.99</v>
      </c>
    </row>
    <row r="535" spans="3:14" x14ac:dyDescent="0.25">
      <c r="C535" t="str">
        <f>IF(COUNTBLANK(E535:K535) = 7,"",IF(AND(NOT(ISBLANK(E535)),COUNTBLANK(E535:K535) = 6),"3 Delete",IF(ISBLANK(E535),"2 Add",IF(SHA1Range(E535:K535) = "519170b13980c63a9b14fd4484cb637946725397","0 Original","1 Modify"))))</f>
        <v>0 Original</v>
      </c>
      <c r="D535" s="5" t="s">
        <v>2809</v>
      </c>
      <c r="E535" s="3">
        <v>2248</v>
      </c>
      <c r="F535" t="s">
        <v>1117</v>
      </c>
      <c r="G535" t="s">
        <v>588</v>
      </c>
      <c r="H535" s="9">
        <v>4.99</v>
      </c>
      <c r="I535" s="3">
        <v>1</v>
      </c>
      <c r="J535" s="5" t="s">
        <v>68</v>
      </c>
      <c r="K535" s="15">
        <v>41733.280439814815</v>
      </c>
      <c r="L535" s="20">
        <f t="shared" si="24"/>
        <v>41733</v>
      </c>
      <c r="M535" t="str">
        <f t="shared" si="25"/>
        <v>04-2014</v>
      </c>
      <c r="N535">
        <f t="shared" si="26"/>
        <v>4.99</v>
      </c>
    </row>
    <row r="536" spans="3:14" x14ac:dyDescent="0.25">
      <c r="C536" t="str">
        <f>IF(COUNTBLANK(E536:K536) = 7,"",IF(AND(NOT(ISBLANK(E536)),COUNTBLANK(E536:K536) = 6),"3 Delete",IF(ISBLANK(E536),"2 Add",IF(SHA1Range(E536:K536) = "75d81051a2bd18fc18a4e7995aa62d95c87d45c1","0 Original","1 Modify"))))</f>
        <v>0 Original</v>
      </c>
      <c r="D536" s="5" t="s">
        <v>2810</v>
      </c>
      <c r="E536" s="3">
        <v>2249</v>
      </c>
      <c r="F536" t="s">
        <v>1117</v>
      </c>
      <c r="G536" t="s">
        <v>548</v>
      </c>
      <c r="H536" s="9">
        <v>5.99</v>
      </c>
      <c r="I536" s="3">
        <v>1</v>
      </c>
      <c r="J536" s="5" t="s">
        <v>68</v>
      </c>
      <c r="K536" s="15">
        <v>41733.280439814815</v>
      </c>
      <c r="L536" s="20">
        <f t="shared" si="24"/>
        <v>41733</v>
      </c>
      <c r="M536" t="str">
        <f t="shared" si="25"/>
        <v>04-2014</v>
      </c>
      <c r="N536">
        <f t="shared" si="26"/>
        <v>5.99</v>
      </c>
    </row>
    <row r="537" spans="3:14" x14ac:dyDescent="0.25">
      <c r="C537" t="str">
        <f>IF(COUNTBLANK(E537:K537) = 7,"",IF(AND(NOT(ISBLANK(E537)),COUNTBLANK(E537:K537) = 6),"3 Delete",IF(ISBLANK(E537),"2 Add",IF(SHA1Range(E537:K537) = "94bb3093e0adfd74071eb238baf997e4a6f4e316","0 Original","1 Modify"))))</f>
        <v>0 Original</v>
      </c>
      <c r="D537" s="5" t="s">
        <v>2811</v>
      </c>
      <c r="E537" s="3">
        <v>40</v>
      </c>
      <c r="F537" t="s">
        <v>1118</v>
      </c>
      <c r="G537" t="s">
        <v>420</v>
      </c>
      <c r="H537" s="9">
        <v>5.99</v>
      </c>
      <c r="I537" s="3">
        <v>1</v>
      </c>
      <c r="J537" s="5" t="s">
        <v>68</v>
      </c>
      <c r="K537" s="15">
        <v>41733.822824074072</v>
      </c>
      <c r="L537" s="20">
        <f t="shared" si="24"/>
        <v>41733</v>
      </c>
      <c r="M537" t="str">
        <f t="shared" si="25"/>
        <v>04-2014</v>
      </c>
      <c r="N537">
        <f t="shared" si="26"/>
        <v>5.99</v>
      </c>
    </row>
    <row r="538" spans="3:14" x14ac:dyDescent="0.25">
      <c r="C538" t="str">
        <f>IF(COUNTBLANK(E538:K538) = 7,"",IF(AND(NOT(ISBLANK(E538)),COUNTBLANK(E538:K538) = 6),"3 Delete",IF(ISBLANK(E538),"2 Add",IF(SHA1Range(E538:K538) = "02935fa66b9f6414c08ce24e66914394164cdcf3","0 Original","1 Modify"))))</f>
        <v>0 Original</v>
      </c>
      <c r="D538" s="5" t="s">
        <v>2812</v>
      </c>
      <c r="E538" s="3">
        <v>41</v>
      </c>
      <c r="F538" t="s">
        <v>1118</v>
      </c>
      <c r="G538" t="s">
        <v>628</v>
      </c>
      <c r="H538" s="9">
        <v>6.99</v>
      </c>
      <c r="I538" s="3">
        <v>2</v>
      </c>
      <c r="J538" s="5" t="s">
        <v>68</v>
      </c>
      <c r="K538" s="15">
        <v>41733.822824074072</v>
      </c>
      <c r="L538" s="20">
        <f t="shared" si="24"/>
        <v>41733</v>
      </c>
      <c r="M538" t="str">
        <f t="shared" si="25"/>
        <v>04-2014</v>
      </c>
      <c r="N538">
        <f t="shared" si="26"/>
        <v>13.98</v>
      </c>
    </row>
    <row r="539" spans="3:14" x14ac:dyDescent="0.25">
      <c r="C539" t="str">
        <f>IF(COUNTBLANK(E539:K539) = 7,"",IF(AND(NOT(ISBLANK(E539)),COUNTBLANK(E539:K539) = 6),"3 Delete",IF(ISBLANK(E539),"2 Add",IF(SHA1Range(E539:K539) = "3f855e4dd249560c5bcdd2fde9725a739dba123b","0 Original","1 Modify"))))</f>
        <v>0 Original</v>
      </c>
      <c r="D539" s="5" t="s">
        <v>2813</v>
      </c>
      <c r="E539" s="3">
        <v>42</v>
      </c>
      <c r="F539" t="s">
        <v>1118</v>
      </c>
      <c r="G539" t="s">
        <v>648</v>
      </c>
      <c r="H539" s="9">
        <v>6.99</v>
      </c>
      <c r="I539" s="3">
        <v>2</v>
      </c>
      <c r="J539" s="5" t="s">
        <v>68</v>
      </c>
      <c r="K539" s="15">
        <v>41733.822824074072</v>
      </c>
      <c r="L539" s="20">
        <f t="shared" si="24"/>
        <v>41733</v>
      </c>
      <c r="M539" t="str">
        <f t="shared" si="25"/>
        <v>04-2014</v>
      </c>
      <c r="N539">
        <f t="shared" si="26"/>
        <v>13.98</v>
      </c>
    </row>
    <row r="540" spans="3:14" x14ac:dyDescent="0.25">
      <c r="C540" t="str">
        <f>IF(COUNTBLANK(E540:K540) = 7,"",IF(AND(NOT(ISBLANK(E540)),COUNTBLANK(E540:K540) = 6),"3 Delete",IF(ISBLANK(E540),"2 Add",IF(SHA1Range(E540:K540) = "8228a6f45843eacdc29066924dbdf88454bba241","0 Original","1 Modify"))))</f>
        <v>0 Original</v>
      </c>
      <c r="D540" s="5" t="s">
        <v>2814</v>
      </c>
      <c r="E540" s="3">
        <v>43</v>
      </c>
      <c r="F540" t="s">
        <v>1118</v>
      </c>
      <c r="G540" t="s">
        <v>664</v>
      </c>
      <c r="H540" s="9">
        <v>7.99</v>
      </c>
      <c r="I540" s="3">
        <v>1</v>
      </c>
      <c r="J540" s="5" t="s">
        <v>68</v>
      </c>
      <c r="K540" s="15">
        <v>41733.822824074072</v>
      </c>
      <c r="L540" s="20">
        <f t="shared" si="24"/>
        <v>41733</v>
      </c>
      <c r="M540" t="str">
        <f t="shared" si="25"/>
        <v>04-2014</v>
      </c>
      <c r="N540">
        <f t="shared" si="26"/>
        <v>7.99</v>
      </c>
    </row>
    <row r="541" spans="3:14" x14ac:dyDescent="0.25">
      <c r="C541" t="str">
        <f>IF(COUNTBLANK(E541:K541) = 7,"",IF(AND(NOT(ISBLANK(E541)),COUNTBLANK(E541:K541) = 6),"3 Delete",IF(ISBLANK(E541),"2 Add",IF(SHA1Range(E541:K541) = "a99c9038c9539e2cf722931af4111677670067aa","0 Original","1 Modify"))))</f>
        <v>0 Original</v>
      </c>
      <c r="D541" s="5" t="s">
        <v>2815</v>
      </c>
      <c r="E541" s="3">
        <v>3940</v>
      </c>
      <c r="F541" t="s">
        <v>1119</v>
      </c>
      <c r="G541" t="s">
        <v>749</v>
      </c>
      <c r="H541" s="9">
        <v>5.99</v>
      </c>
      <c r="I541" s="3">
        <v>2</v>
      </c>
      <c r="J541" s="5" t="s">
        <v>68</v>
      </c>
      <c r="K541" s="15">
        <v>41734.471099537041</v>
      </c>
      <c r="L541" s="20">
        <f t="shared" si="24"/>
        <v>41734</v>
      </c>
      <c r="M541" t="str">
        <f t="shared" si="25"/>
        <v>04-2014</v>
      </c>
      <c r="N541">
        <f t="shared" si="26"/>
        <v>11.98</v>
      </c>
    </row>
    <row r="542" spans="3:14" x14ac:dyDescent="0.25">
      <c r="C542" t="str">
        <f>IF(COUNTBLANK(E542:K542) = 7,"",IF(AND(NOT(ISBLANK(E542)),COUNTBLANK(E542:K542) = 6),"3 Delete",IF(ISBLANK(E542),"2 Add",IF(SHA1Range(E542:K542) = "589858e9ddc567085d0231d96ea7f09387d039ae","0 Original","1 Modify"))))</f>
        <v>0 Original</v>
      </c>
      <c r="D542" s="5" t="s">
        <v>2816</v>
      </c>
      <c r="E542" s="3">
        <v>3941</v>
      </c>
      <c r="F542" t="s">
        <v>1119</v>
      </c>
      <c r="G542" t="s">
        <v>400</v>
      </c>
      <c r="H542" s="9">
        <v>4.99</v>
      </c>
      <c r="I542" s="3">
        <v>2</v>
      </c>
      <c r="J542" s="5" t="s">
        <v>68</v>
      </c>
      <c r="K542" s="15">
        <v>41734.471099537041</v>
      </c>
      <c r="L542" s="20">
        <f t="shared" si="24"/>
        <v>41734</v>
      </c>
      <c r="M542" t="str">
        <f t="shared" si="25"/>
        <v>04-2014</v>
      </c>
      <c r="N542">
        <f t="shared" si="26"/>
        <v>9.98</v>
      </c>
    </row>
    <row r="543" spans="3:14" x14ac:dyDescent="0.25">
      <c r="C543" t="str">
        <f>IF(COUNTBLANK(E543:K543) = 7,"",IF(AND(NOT(ISBLANK(E543)),COUNTBLANK(E543:K543) = 6),"3 Delete",IF(ISBLANK(E543),"2 Add",IF(SHA1Range(E543:K543) = "b95fc3598b727c4f241eae58534358478839f384","0 Original","1 Modify"))))</f>
        <v>0 Original</v>
      </c>
      <c r="D543" s="5" t="s">
        <v>2817</v>
      </c>
      <c r="E543" s="3">
        <v>1074</v>
      </c>
      <c r="F543" t="s">
        <v>1120</v>
      </c>
      <c r="G543" t="s">
        <v>588</v>
      </c>
      <c r="H543" s="9">
        <v>4.99</v>
      </c>
      <c r="I543" s="3">
        <v>1</v>
      </c>
      <c r="J543" s="5" t="s">
        <v>68</v>
      </c>
      <c r="K543" s="15">
        <v>41735.232407407406</v>
      </c>
      <c r="L543" s="20">
        <f t="shared" si="24"/>
        <v>41735</v>
      </c>
      <c r="M543" t="str">
        <f t="shared" si="25"/>
        <v>04-2014</v>
      </c>
      <c r="N543">
        <f t="shared" si="26"/>
        <v>4.99</v>
      </c>
    </row>
    <row r="544" spans="3:14" x14ac:dyDescent="0.25">
      <c r="C544" t="str">
        <f>IF(COUNTBLANK(E544:K544) = 7,"",IF(AND(NOT(ISBLANK(E544)),COUNTBLANK(E544:K544) = 6),"3 Delete",IF(ISBLANK(E544),"2 Add",IF(SHA1Range(E544:K544) = "0b556057380d4a3a4102b9ba75ef118e05f310bf","0 Original","1 Modify"))))</f>
        <v>0 Original</v>
      </c>
      <c r="D544" s="5" t="s">
        <v>2818</v>
      </c>
      <c r="E544" s="3">
        <v>1075</v>
      </c>
      <c r="F544" t="s">
        <v>1120</v>
      </c>
      <c r="G544" t="s">
        <v>845</v>
      </c>
      <c r="H544" s="9">
        <v>7.99</v>
      </c>
      <c r="I544" s="3">
        <v>1</v>
      </c>
      <c r="J544" s="5" t="s">
        <v>68</v>
      </c>
      <c r="K544" s="15">
        <v>41735.232407407406</v>
      </c>
      <c r="L544" s="20">
        <f t="shared" si="24"/>
        <v>41735</v>
      </c>
      <c r="M544" t="str">
        <f t="shared" si="25"/>
        <v>04-2014</v>
      </c>
      <c r="N544">
        <f t="shared" si="26"/>
        <v>7.99</v>
      </c>
    </row>
    <row r="545" spans="3:14" x14ac:dyDescent="0.25">
      <c r="C545" t="str">
        <f>IF(COUNTBLANK(E545:K545) = 7,"",IF(AND(NOT(ISBLANK(E545)),COUNTBLANK(E545:K545) = 6),"3 Delete",IF(ISBLANK(E545),"2 Add",IF(SHA1Range(E545:K545) = "1a9dcdb75f12f6549b6f6cb6ee7a1fd7fec7f30a","0 Original","1 Modify"))))</f>
        <v>0 Original</v>
      </c>
      <c r="D545" s="5" t="s">
        <v>2819</v>
      </c>
      <c r="E545" s="3">
        <v>1076</v>
      </c>
      <c r="F545" t="s">
        <v>1120</v>
      </c>
      <c r="G545" t="s">
        <v>445</v>
      </c>
      <c r="H545" s="9">
        <v>7.99</v>
      </c>
      <c r="I545" s="3">
        <v>2</v>
      </c>
      <c r="J545" s="5" t="s">
        <v>68</v>
      </c>
      <c r="K545" s="15">
        <v>41735.232407407406</v>
      </c>
      <c r="L545" s="20">
        <f t="shared" si="24"/>
        <v>41735</v>
      </c>
      <c r="M545" t="str">
        <f t="shared" si="25"/>
        <v>04-2014</v>
      </c>
      <c r="N545">
        <f t="shared" si="26"/>
        <v>15.98</v>
      </c>
    </row>
    <row r="546" spans="3:14" x14ac:dyDescent="0.25">
      <c r="C546" t="str">
        <f>IF(COUNTBLANK(E546:K546) = 7,"",IF(AND(NOT(ISBLANK(E546)),COUNTBLANK(E546:K546) = 6),"3 Delete",IF(ISBLANK(E546),"2 Add",IF(SHA1Range(E546:K546) = "24835f35108940c374309a89e46335ab6d4637d7","0 Original","1 Modify"))))</f>
        <v>0 Original</v>
      </c>
      <c r="D546" s="5" t="s">
        <v>2820</v>
      </c>
      <c r="E546" s="3">
        <v>1077</v>
      </c>
      <c r="F546" t="s">
        <v>1120</v>
      </c>
      <c r="G546" t="s">
        <v>445</v>
      </c>
      <c r="H546" s="9">
        <v>7.99</v>
      </c>
      <c r="I546" s="3">
        <v>1</v>
      </c>
      <c r="J546" s="5" t="s">
        <v>68</v>
      </c>
      <c r="K546" s="15">
        <v>41735.232407407406</v>
      </c>
      <c r="L546" s="20">
        <f t="shared" si="24"/>
        <v>41735</v>
      </c>
      <c r="M546" t="str">
        <f t="shared" si="25"/>
        <v>04-2014</v>
      </c>
      <c r="N546">
        <f t="shared" si="26"/>
        <v>7.99</v>
      </c>
    </row>
    <row r="547" spans="3:14" x14ac:dyDescent="0.25">
      <c r="C547" t="str">
        <f>IF(COUNTBLANK(E547:K547) = 7,"",IF(AND(NOT(ISBLANK(E547)),COUNTBLANK(E547:K547) = 6),"3 Delete",IF(ISBLANK(E547),"2 Add",IF(SHA1Range(E547:K547) = "0d4cd719318e1b0407ff0b5a83b1d938df8dc81d","0 Original","1 Modify"))))</f>
        <v>0 Original</v>
      </c>
      <c r="D547" s="5" t="s">
        <v>2821</v>
      </c>
      <c r="E547" s="3">
        <v>1078</v>
      </c>
      <c r="F547" t="s">
        <v>1120</v>
      </c>
      <c r="G547" t="s">
        <v>693</v>
      </c>
      <c r="H547" s="9">
        <v>7.99</v>
      </c>
      <c r="I547" s="3">
        <v>2</v>
      </c>
      <c r="J547" s="5" t="s">
        <v>68</v>
      </c>
      <c r="K547" s="15">
        <v>41735.232407407406</v>
      </c>
      <c r="L547" s="20">
        <f t="shared" si="24"/>
        <v>41735</v>
      </c>
      <c r="M547" t="str">
        <f t="shared" si="25"/>
        <v>04-2014</v>
      </c>
      <c r="N547">
        <f t="shared" si="26"/>
        <v>15.98</v>
      </c>
    </row>
    <row r="548" spans="3:14" x14ac:dyDescent="0.25">
      <c r="C548" t="str">
        <f>IF(COUNTBLANK(E548:K548) = 7,"",IF(AND(NOT(ISBLANK(E548)),COUNTBLANK(E548:K548) = 6),"3 Delete",IF(ISBLANK(E548),"2 Add",IF(SHA1Range(E548:K548) = "4b4a19bce375e559c24a5bc3e81dcbbffa3038be","0 Original","1 Modify"))))</f>
        <v>0 Original</v>
      </c>
      <c r="D548" s="5" t="s">
        <v>2822</v>
      </c>
      <c r="E548" s="3">
        <v>2118</v>
      </c>
      <c r="F548" t="s">
        <v>1121</v>
      </c>
      <c r="G548" t="s">
        <v>482</v>
      </c>
      <c r="H548" s="9">
        <v>8.99</v>
      </c>
      <c r="I548" s="3">
        <v>2</v>
      </c>
      <c r="J548" s="5" t="s">
        <v>68</v>
      </c>
      <c r="K548" s="15">
        <v>41735.248530092591</v>
      </c>
      <c r="L548" s="20">
        <f t="shared" si="24"/>
        <v>41735</v>
      </c>
      <c r="M548" t="str">
        <f t="shared" si="25"/>
        <v>04-2014</v>
      </c>
      <c r="N548">
        <f t="shared" si="26"/>
        <v>17.98</v>
      </c>
    </row>
    <row r="549" spans="3:14" x14ac:dyDescent="0.25">
      <c r="C549" t="str">
        <f>IF(COUNTBLANK(E549:K549) = 7,"",IF(AND(NOT(ISBLANK(E549)),COUNTBLANK(E549:K549) = 6),"3 Delete",IF(ISBLANK(E549),"2 Add",IF(SHA1Range(E549:K549) = "e65da8e423549b41ed67c224c81bcf9c09012a01","0 Original","1 Modify"))))</f>
        <v>0 Original</v>
      </c>
      <c r="D549" s="5" t="s">
        <v>2823</v>
      </c>
      <c r="E549" s="3">
        <v>2119</v>
      </c>
      <c r="F549" t="s">
        <v>1121</v>
      </c>
      <c r="G549" t="s">
        <v>845</v>
      </c>
      <c r="H549" s="9">
        <v>7.99</v>
      </c>
      <c r="I549" s="3">
        <v>2</v>
      </c>
      <c r="J549" s="5" t="s">
        <v>68</v>
      </c>
      <c r="K549" s="15">
        <v>41735.248530092591</v>
      </c>
      <c r="L549" s="20">
        <f t="shared" si="24"/>
        <v>41735</v>
      </c>
      <c r="M549" t="str">
        <f t="shared" si="25"/>
        <v>04-2014</v>
      </c>
      <c r="N549">
        <f t="shared" si="26"/>
        <v>15.98</v>
      </c>
    </row>
    <row r="550" spans="3:14" x14ac:dyDescent="0.25">
      <c r="C550" t="str">
        <f>IF(COUNTBLANK(E550:K550) = 7,"",IF(AND(NOT(ISBLANK(E550)),COUNTBLANK(E550:K550) = 6),"3 Delete",IF(ISBLANK(E550),"2 Add",IF(SHA1Range(E550:K550) = "fdd6114e4ce58f3eac5ad7f35515934e34dd25c5","0 Original","1 Modify"))))</f>
        <v>0 Original</v>
      </c>
      <c r="D550" s="5" t="s">
        <v>2824</v>
      </c>
      <c r="E550" s="3">
        <v>2120</v>
      </c>
      <c r="F550" t="s">
        <v>1121</v>
      </c>
      <c r="G550" t="s">
        <v>935</v>
      </c>
      <c r="H550" s="9">
        <v>6.99</v>
      </c>
      <c r="I550" s="3">
        <v>1</v>
      </c>
      <c r="J550" s="5" t="s">
        <v>68</v>
      </c>
      <c r="K550" s="15">
        <v>41735.248530092591</v>
      </c>
      <c r="L550" s="20">
        <f t="shared" si="24"/>
        <v>41735</v>
      </c>
      <c r="M550" t="str">
        <f t="shared" si="25"/>
        <v>04-2014</v>
      </c>
      <c r="N550">
        <f t="shared" si="26"/>
        <v>6.99</v>
      </c>
    </row>
    <row r="551" spans="3:14" x14ac:dyDescent="0.25">
      <c r="C551" t="str">
        <f>IF(COUNTBLANK(E551:K551) = 7,"",IF(AND(NOT(ISBLANK(E551)),COUNTBLANK(E551:K551) = 6),"3 Delete",IF(ISBLANK(E551),"2 Add",IF(SHA1Range(E551:K551) = "d77f0bcef966bcb9cc7deab2fc4d8285fc277342","0 Original","1 Modify"))))</f>
        <v>0 Original</v>
      </c>
      <c r="D551" s="5" t="s">
        <v>2825</v>
      </c>
      <c r="E551" s="3">
        <v>2382</v>
      </c>
      <c r="F551" t="s">
        <v>1122</v>
      </c>
      <c r="G551" t="s">
        <v>400</v>
      </c>
      <c r="H551" s="9">
        <v>4.99</v>
      </c>
      <c r="I551" s="3">
        <v>1</v>
      </c>
      <c r="J551" s="5" t="s">
        <v>68</v>
      </c>
      <c r="K551" s="15">
        <v>41735.543877314813</v>
      </c>
      <c r="L551" s="20">
        <f t="shared" si="24"/>
        <v>41735</v>
      </c>
      <c r="M551" t="str">
        <f t="shared" si="25"/>
        <v>04-2014</v>
      </c>
      <c r="N551">
        <f t="shared" si="26"/>
        <v>4.99</v>
      </c>
    </row>
    <row r="552" spans="3:14" x14ac:dyDescent="0.25">
      <c r="C552" t="str">
        <f>IF(COUNTBLANK(E552:K552) = 7,"",IF(AND(NOT(ISBLANK(E552)),COUNTBLANK(E552:K552) = 6),"3 Delete",IF(ISBLANK(E552),"2 Add",IF(SHA1Range(E552:K552) = "618b48672d5b1403df2f948c32e1a3b6c279600e","0 Original","1 Modify"))))</f>
        <v>0 Original</v>
      </c>
      <c r="D552" s="5" t="s">
        <v>2826</v>
      </c>
      <c r="E552" s="3">
        <v>2383</v>
      </c>
      <c r="F552" t="s">
        <v>1122</v>
      </c>
      <c r="G552" t="s">
        <v>642</v>
      </c>
      <c r="H552" s="9">
        <v>9.99</v>
      </c>
      <c r="I552" s="3">
        <v>1</v>
      </c>
      <c r="J552" s="5" t="s">
        <v>68</v>
      </c>
      <c r="K552" s="15">
        <v>41735.543877314813</v>
      </c>
      <c r="L552" s="20">
        <f t="shared" si="24"/>
        <v>41735</v>
      </c>
      <c r="M552" t="str">
        <f t="shared" si="25"/>
        <v>04-2014</v>
      </c>
      <c r="N552">
        <f t="shared" si="26"/>
        <v>9.99</v>
      </c>
    </row>
    <row r="553" spans="3:14" x14ac:dyDescent="0.25">
      <c r="C553" t="str">
        <f>IF(COUNTBLANK(E553:K553) = 7,"",IF(AND(NOT(ISBLANK(E553)),COUNTBLANK(E553:K553) = 6),"3 Delete",IF(ISBLANK(E553),"2 Add",IF(SHA1Range(E553:K553) = "0b9376a78a626528165960b15db5d8bebbaa582c","0 Original","1 Modify"))))</f>
        <v>0 Original</v>
      </c>
      <c r="D553" s="5" t="s">
        <v>2827</v>
      </c>
      <c r="E553" s="3">
        <v>2384</v>
      </c>
      <c r="F553" t="s">
        <v>1122</v>
      </c>
      <c r="G553" t="s">
        <v>552</v>
      </c>
      <c r="H553" s="9">
        <v>6.99</v>
      </c>
      <c r="I553" s="3">
        <v>1</v>
      </c>
      <c r="J553" s="5" t="s">
        <v>68</v>
      </c>
      <c r="K553" s="15">
        <v>41735.543877314813</v>
      </c>
      <c r="L553" s="20">
        <f t="shared" si="24"/>
        <v>41735</v>
      </c>
      <c r="M553" t="str">
        <f t="shared" si="25"/>
        <v>04-2014</v>
      </c>
      <c r="N553">
        <f t="shared" si="26"/>
        <v>6.99</v>
      </c>
    </row>
    <row r="554" spans="3:14" x14ac:dyDescent="0.25">
      <c r="C554" t="str">
        <f>IF(COUNTBLANK(E554:K554) = 7,"",IF(AND(NOT(ISBLANK(E554)),COUNTBLANK(E554:K554) = 6),"3 Delete",IF(ISBLANK(E554),"2 Add",IF(SHA1Range(E554:K554) = "794a2942355c4b2767fe4234943ea8276c90f169","0 Original","1 Modify"))))</f>
        <v>0 Original</v>
      </c>
      <c r="D554" s="5" t="s">
        <v>2828</v>
      </c>
      <c r="E554" s="3">
        <v>2385</v>
      </c>
      <c r="F554" t="s">
        <v>1122</v>
      </c>
      <c r="G554" t="s">
        <v>579</v>
      </c>
      <c r="H554" s="9">
        <v>9.99</v>
      </c>
      <c r="I554" s="3">
        <v>1</v>
      </c>
      <c r="J554" s="5" t="s">
        <v>68</v>
      </c>
      <c r="K554" s="15">
        <v>41735.543877314813</v>
      </c>
      <c r="L554" s="20">
        <f t="shared" si="24"/>
        <v>41735</v>
      </c>
      <c r="M554" t="str">
        <f t="shared" si="25"/>
        <v>04-2014</v>
      </c>
      <c r="N554">
        <f t="shared" si="26"/>
        <v>9.99</v>
      </c>
    </row>
    <row r="555" spans="3:14" x14ac:dyDescent="0.25">
      <c r="C555" t="str">
        <f>IF(COUNTBLANK(E555:K555) = 7,"",IF(AND(NOT(ISBLANK(E555)),COUNTBLANK(E555:K555) = 6),"3 Delete",IF(ISBLANK(E555),"2 Add",IF(SHA1Range(E555:K555) = "1315e7923d59fdab4a7f5c0adb7c9162ab07fff8","0 Original","1 Modify"))))</f>
        <v>0 Original</v>
      </c>
      <c r="D555" s="5" t="s">
        <v>2829</v>
      </c>
      <c r="E555" s="3">
        <v>2386</v>
      </c>
      <c r="F555" t="s">
        <v>1122</v>
      </c>
      <c r="G555" t="s">
        <v>552</v>
      </c>
      <c r="H555" s="9">
        <v>6.99</v>
      </c>
      <c r="I555" s="3">
        <v>2</v>
      </c>
      <c r="J555" s="5" t="s">
        <v>68</v>
      </c>
      <c r="K555" s="15">
        <v>41735.543877314813</v>
      </c>
      <c r="L555" s="20">
        <f t="shared" si="24"/>
        <v>41735</v>
      </c>
      <c r="M555" t="str">
        <f t="shared" si="25"/>
        <v>04-2014</v>
      </c>
      <c r="N555">
        <f t="shared" si="26"/>
        <v>13.98</v>
      </c>
    </row>
    <row r="556" spans="3:14" x14ac:dyDescent="0.25">
      <c r="C556" t="str">
        <f>IF(COUNTBLANK(E556:K556) = 7,"",IF(AND(NOT(ISBLANK(E556)),COUNTBLANK(E556:K556) = 6),"3 Delete",IF(ISBLANK(E556),"2 Add",IF(SHA1Range(E556:K556) = "1b4bd1e9cf98fe4f96461605d559bad654ed72cd","0 Original","1 Modify"))))</f>
        <v>0 Original</v>
      </c>
      <c r="D556" s="5" t="s">
        <v>2830</v>
      </c>
      <c r="E556" s="3">
        <v>80</v>
      </c>
      <c r="F556" t="s">
        <v>1123</v>
      </c>
      <c r="G556" t="s">
        <v>839</v>
      </c>
      <c r="H556" s="9">
        <v>4.99</v>
      </c>
      <c r="I556" s="3">
        <v>2</v>
      </c>
      <c r="J556" s="5" t="s">
        <v>68</v>
      </c>
      <c r="K556" s="15">
        <v>41736.022187499999</v>
      </c>
      <c r="L556" s="20">
        <f t="shared" si="24"/>
        <v>41736</v>
      </c>
      <c r="M556" t="str">
        <f t="shared" si="25"/>
        <v>04-2014</v>
      </c>
      <c r="N556">
        <f t="shared" si="26"/>
        <v>9.98</v>
      </c>
    </row>
    <row r="557" spans="3:14" x14ac:dyDescent="0.25">
      <c r="C557" t="str">
        <f>IF(COUNTBLANK(E557:K557) = 7,"",IF(AND(NOT(ISBLANK(E557)),COUNTBLANK(E557:K557) = 6),"3 Delete",IF(ISBLANK(E557),"2 Add",IF(SHA1Range(E557:K557) = "3298f84a618205912c95b791e74e85a757778588","0 Original","1 Modify"))))</f>
        <v>0 Original</v>
      </c>
      <c r="D557" s="5" t="s">
        <v>2831</v>
      </c>
      <c r="E557" s="3">
        <v>81</v>
      </c>
      <c r="F557" t="s">
        <v>1123</v>
      </c>
      <c r="G557" t="s">
        <v>878</v>
      </c>
      <c r="H557" s="9">
        <v>8.99</v>
      </c>
      <c r="I557" s="3">
        <v>1</v>
      </c>
      <c r="J557" s="5" t="s">
        <v>68</v>
      </c>
      <c r="K557" s="15">
        <v>41736.022187499999</v>
      </c>
      <c r="L557" s="20">
        <f t="shared" si="24"/>
        <v>41736</v>
      </c>
      <c r="M557" t="str">
        <f t="shared" si="25"/>
        <v>04-2014</v>
      </c>
      <c r="N557">
        <f t="shared" si="26"/>
        <v>8.99</v>
      </c>
    </row>
    <row r="558" spans="3:14" x14ac:dyDescent="0.25">
      <c r="C558" t="str">
        <f>IF(COUNTBLANK(E558:K558) = 7,"",IF(AND(NOT(ISBLANK(E558)),COUNTBLANK(E558:K558) = 6),"3 Delete",IF(ISBLANK(E558),"2 Add",IF(SHA1Range(E558:K558) = "98613ddb43661c1714f5a239bf363e48bb7b12e0","0 Original","1 Modify"))))</f>
        <v>0 Original</v>
      </c>
      <c r="D558" s="5" t="s">
        <v>2832</v>
      </c>
      <c r="E558" s="3">
        <v>82</v>
      </c>
      <c r="F558" t="s">
        <v>1123</v>
      </c>
      <c r="G558" t="s">
        <v>878</v>
      </c>
      <c r="H558" s="9">
        <v>8.99</v>
      </c>
      <c r="I558" s="3">
        <v>2</v>
      </c>
      <c r="J558" s="5" t="s">
        <v>68</v>
      </c>
      <c r="K558" s="15">
        <v>41736.022187499999</v>
      </c>
      <c r="L558" s="20">
        <f t="shared" si="24"/>
        <v>41736</v>
      </c>
      <c r="M558" t="str">
        <f t="shared" si="25"/>
        <v>04-2014</v>
      </c>
      <c r="N558">
        <f t="shared" si="26"/>
        <v>17.98</v>
      </c>
    </row>
    <row r="559" spans="3:14" x14ac:dyDescent="0.25">
      <c r="C559" t="str">
        <f>IF(COUNTBLANK(E559:K559) = 7,"",IF(AND(NOT(ISBLANK(E559)),COUNTBLANK(E559:K559) = 6),"3 Delete",IF(ISBLANK(E559),"2 Add",IF(SHA1Range(E559:K559) = "ba4988f202ab4b1a5b072290e39a49c56bcdc9a5","0 Original","1 Modify"))))</f>
        <v>0 Original</v>
      </c>
      <c r="D559" s="5" t="s">
        <v>2833</v>
      </c>
      <c r="E559" s="3">
        <v>83</v>
      </c>
      <c r="F559" t="s">
        <v>1123</v>
      </c>
      <c r="G559" t="s">
        <v>573</v>
      </c>
      <c r="H559" s="9">
        <v>4.99</v>
      </c>
      <c r="I559" s="3">
        <v>2</v>
      </c>
      <c r="J559" s="5" t="s">
        <v>68</v>
      </c>
      <c r="K559" s="15">
        <v>41736.022187499999</v>
      </c>
      <c r="L559" s="20">
        <f t="shared" si="24"/>
        <v>41736</v>
      </c>
      <c r="M559" t="str">
        <f t="shared" si="25"/>
        <v>04-2014</v>
      </c>
      <c r="N559">
        <f t="shared" si="26"/>
        <v>9.98</v>
      </c>
    </row>
    <row r="560" spans="3:14" x14ac:dyDescent="0.25">
      <c r="C560" t="str">
        <f>IF(COUNTBLANK(E560:K560) = 7,"",IF(AND(NOT(ISBLANK(E560)),COUNTBLANK(E560:K560) = 6),"3 Delete",IF(ISBLANK(E560),"2 Add",IF(SHA1Range(E560:K560) = "d73e288e0f7ea8f2ef406018704bb94d62b622de","0 Original","1 Modify"))))</f>
        <v>0 Original</v>
      </c>
      <c r="D560" s="5" t="s">
        <v>2834</v>
      </c>
      <c r="E560" s="3">
        <v>84</v>
      </c>
      <c r="F560" t="s">
        <v>1123</v>
      </c>
      <c r="G560" t="s">
        <v>802</v>
      </c>
      <c r="H560" s="9">
        <v>8.99</v>
      </c>
      <c r="I560" s="3">
        <v>1</v>
      </c>
      <c r="J560" s="5" t="s">
        <v>68</v>
      </c>
      <c r="K560" s="15">
        <v>41736.022187499999</v>
      </c>
      <c r="L560" s="20">
        <f t="shared" si="24"/>
        <v>41736</v>
      </c>
      <c r="M560" t="str">
        <f t="shared" si="25"/>
        <v>04-2014</v>
      </c>
      <c r="N560">
        <f t="shared" si="26"/>
        <v>8.99</v>
      </c>
    </row>
    <row r="561" spans="3:14" x14ac:dyDescent="0.25">
      <c r="C561" t="str">
        <f>IF(COUNTBLANK(E561:K561) = 7,"",IF(AND(NOT(ISBLANK(E561)),COUNTBLANK(E561:K561) = 6),"3 Delete",IF(ISBLANK(E561),"2 Add",IF(SHA1Range(E561:K561) = "79ed135e42c9c911aa1603c88304d2dedb1f6b0b","0 Original","1 Modify"))))</f>
        <v>0 Original</v>
      </c>
      <c r="D561" s="5" t="s">
        <v>2835</v>
      </c>
      <c r="E561" s="3">
        <v>978</v>
      </c>
      <c r="F561" t="s">
        <v>1124</v>
      </c>
      <c r="G561" t="s">
        <v>845</v>
      </c>
      <c r="H561" s="9">
        <v>7.99</v>
      </c>
      <c r="I561" s="3">
        <v>1</v>
      </c>
      <c r="J561" s="5" t="s">
        <v>68</v>
      </c>
      <c r="K561" s="15">
        <v>41737.083680555559</v>
      </c>
      <c r="L561" s="20">
        <f t="shared" si="24"/>
        <v>41737</v>
      </c>
      <c r="M561" t="str">
        <f t="shared" si="25"/>
        <v>04-2014</v>
      </c>
      <c r="N561">
        <f t="shared" si="26"/>
        <v>7.99</v>
      </c>
    </row>
    <row r="562" spans="3:14" x14ac:dyDescent="0.25">
      <c r="C562" t="str">
        <f>IF(COUNTBLANK(E562:K562) = 7,"",IF(AND(NOT(ISBLANK(E562)),COUNTBLANK(E562:K562) = 6),"3 Delete",IF(ISBLANK(E562),"2 Add",IF(SHA1Range(E562:K562) = "c87cea0c35e3cbc30c40f48af19bb1add1203ae7","0 Original","1 Modify"))))</f>
        <v>0 Original</v>
      </c>
      <c r="D562" s="5" t="s">
        <v>2836</v>
      </c>
      <c r="E562" s="3">
        <v>979</v>
      </c>
      <c r="F562" t="s">
        <v>1124</v>
      </c>
      <c r="G562" t="s">
        <v>588</v>
      </c>
      <c r="H562" s="9">
        <v>4.99</v>
      </c>
      <c r="I562" s="3">
        <v>1</v>
      </c>
      <c r="J562" s="5" t="s">
        <v>68</v>
      </c>
      <c r="K562" s="15">
        <v>41737.083680555559</v>
      </c>
      <c r="L562" s="20">
        <f t="shared" si="24"/>
        <v>41737</v>
      </c>
      <c r="M562" t="str">
        <f t="shared" si="25"/>
        <v>04-2014</v>
      </c>
      <c r="N562">
        <f t="shared" si="26"/>
        <v>4.99</v>
      </c>
    </row>
    <row r="563" spans="3:14" x14ac:dyDescent="0.25">
      <c r="C563" t="str">
        <f>IF(COUNTBLANK(E563:K563) = 7,"",IF(AND(NOT(ISBLANK(E563)),COUNTBLANK(E563:K563) = 6),"3 Delete",IF(ISBLANK(E563),"2 Add",IF(SHA1Range(E563:K563) = "701afa83e4c86bd059e6e8464094781edde7ca7c","0 Original","1 Modify"))))</f>
        <v>0 Original</v>
      </c>
      <c r="D563" s="5" t="s">
        <v>2837</v>
      </c>
      <c r="E563" s="3">
        <v>980</v>
      </c>
      <c r="F563" t="s">
        <v>1124</v>
      </c>
      <c r="G563" t="s">
        <v>897</v>
      </c>
      <c r="H563" s="9">
        <v>6.99</v>
      </c>
      <c r="I563" s="3">
        <v>1</v>
      </c>
      <c r="J563" s="5" t="s">
        <v>68</v>
      </c>
      <c r="K563" s="15">
        <v>41737.083680555559</v>
      </c>
      <c r="L563" s="20">
        <f t="shared" si="24"/>
        <v>41737</v>
      </c>
      <c r="M563" t="str">
        <f t="shared" si="25"/>
        <v>04-2014</v>
      </c>
      <c r="N563">
        <f t="shared" si="26"/>
        <v>6.99</v>
      </c>
    </row>
    <row r="564" spans="3:14" x14ac:dyDescent="0.25">
      <c r="C564" t="str">
        <f>IF(COUNTBLANK(E564:K564) = 7,"",IF(AND(NOT(ISBLANK(E564)),COUNTBLANK(E564:K564) = 6),"3 Delete",IF(ISBLANK(E564),"2 Add",IF(SHA1Range(E564:K564) = "6d34f239db0d12703e80d612eeacee8c62aca736","0 Original","1 Modify"))))</f>
        <v>0 Original</v>
      </c>
      <c r="D564" s="5" t="s">
        <v>2838</v>
      </c>
      <c r="E564" s="3">
        <v>1035</v>
      </c>
      <c r="F564" t="s">
        <v>1125</v>
      </c>
      <c r="G564" t="s">
        <v>704</v>
      </c>
      <c r="H564" s="9">
        <v>4.99</v>
      </c>
      <c r="I564" s="3">
        <v>2</v>
      </c>
      <c r="J564" s="5" t="s">
        <v>68</v>
      </c>
      <c r="K564" s="15">
        <v>41737.829155092593</v>
      </c>
      <c r="L564" s="20">
        <f t="shared" si="24"/>
        <v>41737</v>
      </c>
      <c r="M564" t="str">
        <f t="shared" si="25"/>
        <v>04-2014</v>
      </c>
      <c r="N564">
        <f t="shared" si="26"/>
        <v>9.98</v>
      </c>
    </row>
    <row r="565" spans="3:14" x14ac:dyDescent="0.25">
      <c r="C565" t="str">
        <f>IF(COUNTBLANK(E565:K565) = 7,"",IF(AND(NOT(ISBLANK(E565)),COUNTBLANK(E565:K565) = 6),"3 Delete",IF(ISBLANK(E565),"2 Add",IF(SHA1Range(E565:K565) = "d2859882ecbeb31ddbf558f176891d28498b6293","0 Original","1 Modify"))))</f>
        <v>0 Original</v>
      </c>
      <c r="D565" s="5" t="s">
        <v>2839</v>
      </c>
      <c r="E565" s="3">
        <v>1036</v>
      </c>
      <c r="F565" t="s">
        <v>1125</v>
      </c>
      <c r="G565" t="s">
        <v>955</v>
      </c>
      <c r="H565" s="9">
        <v>8.99</v>
      </c>
      <c r="I565" s="3">
        <v>1</v>
      </c>
      <c r="J565" s="5" t="s">
        <v>68</v>
      </c>
      <c r="K565" s="15">
        <v>41737.829155092593</v>
      </c>
      <c r="L565" s="20">
        <f t="shared" si="24"/>
        <v>41737</v>
      </c>
      <c r="M565" t="str">
        <f t="shared" si="25"/>
        <v>04-2014</v>
      </c>
      <c r="N565">
        <f t="shared" si="26"/>
        <v>8.99</v>
      </c>
    </row>
    <row r="566" spans="3:14" x14ac:dyDescent="0.25">
      <c r="C566" t="str">
        <f>IF(COUNTBLANK(E566:K566) = 7,"",IF(AND(NOT(ISBLANK(E566)),COUNTBLANK(E566:K566) = 6),"3 Delete",IF(ISBLANK(E566),"2 Add",IF(SHA1Range(E566:K566) = "df0499ef9d46d3453dac0780e237043efd9ff618","0 Original","1 Modify"))))</f>
        <v>0 Original</v>
      </c>
      <c r="D566" s="5" t="s">
        <v>2840</v>
      </c>
      <c r="E566" s="3">
        <v>1037</v>
      </c>
      <c r="F566" t="s">
        <v>1125</v>
      </c>
      <c r="G566" t="s">
        <v>657</v>
      </c>
      <c r="H566" s="9">
        <v>9.99</v>
      </c>
      <c r="I566" s="3">
        <v>1</v>
      </c>
      <c r="J566" s="5" t="s">
        <v>68</v>
      </c>
      <c r="K566" s="15">
        <v>41737.829155092593</v>
      </c>
      <c r="L566" s="20">
        <f t="shared" si="24"/>
        <v>41737</v>
      </c>
      <c r="M566" t="str">
        <f t="shared" si="25"/>
        <v>04-2014</v>
      </c>
      <c r="N566">
        <f t="shared" si="26"/>
        <v>9.99</v>
      </c>
    </row>
    <row r="567" spans="3:14" x14ac:dyDescent="0.25">
      <c r="C567" t="str">
        <f>IF(COUNTBLANK(E567:K567) = 7,"",IF(AND(NOT(ISBLANK(E567)),COUNTBLANK(E567:K567) = 6),"3 Delete",IF(ISBLANK(E567),"2 Add",IF(SHA1Range(E567:K567) = "46dd18c6dcb578eaf9cad5478f3c5568884537c1","0 Original","1 Modify"))))</f>
        <v>0 Original</v>
      </c>
      <c r="D567" s="5" t="s">
        <v>2841</v>
      </c>
      <c r="E567" s="3">
        <v>1038</v>
      </c>
      <c r="F567" t="s">
        <v>1125</v>
      </c>
      <c r="G567" t="s">
        <v>955</v>
      </c>
      <c r="H567" s="9">
        <v>8.99</v>
      </c>
      <c r="I567" s="3">
        <v>1</v>
      </c>
      <c r="J567" s="5" t="s">
        <v>68</v>
      </c>
      <c r="K567" s="15">
        <v>41737.829155092593</v>
      </c>
      <c r="L567" s="20">
        <f t="shared" si="24"/>
        <v>41737</v>
      </c>
      <c r="M567" t="str">
        <f t="shared" si="25"/>
        <v>04-2014</v>
      </c>
      <c r="N567">
        <f t="shared" si="26"/>
        <v>8.99</v>
      </c>
    </row>
    <row r="568" spans="3:14" x14ac:dyDescent="0.25">
      <c r="C568" t="str">
        <f>IF(COUNTBLANK(E568:K568) = 7,"",IF(AND(NOT(ISBLANK(E568)),COUNTBLANK(E568:K568) = 6),"3 Delete",IF(ISBLANK(E568),"2 Add",IF(SHA1Range(E568:K568) = "4c2979838311cff5df7eebdadca5aa4b64df60aa","0 Original","1 Modify"))))</f>
        <v>0 Original</v>
      </c>
      <c r="D568" s="5" t="s">
        <v>2842</v>
      </c>
      <c r="E568" s="3">
        <v>1708</v>
      </c>
      <c r="F568" t="s">
        <v>1126</v>
      </c>
      <c r="G568" t="s">
        <v>563</v>
      </c>
      <c r="H568" s="9">
        <v>6.99</v>
      </c>
      <c r="I568" s="3">
        <v>2</v>
      </c>
      <c r="J568" s="5" t="s">
        <v>68</v>
      </c>
      <c r="K568" s="15">
        <v>41740.915335648147</v>
      </c>
      <c r="L568" s="20">
        <f t="shared" si="24"/>
        <v>41740</v>
      </c>
      <c r="M568" t="str">
        <f t="shared" si="25"/>
        <v>04-2014</v>
      </c>
      <c r="N568">
        <f t="shared" si="26"/>
        <v>13.98</v>
      </c>
    </row>
    <row r="569" spans="3:14" x14ac:dyDescent="0.25">
      <c r="C569" t="str">
        <f>IF(COUNTBLANK(E569:K569) = 7,"",IF(AND(NOT(ISBLANK(E569)),COUNTBLANK(E569:K569) = 6),"3 Delete",IF(ISBLANK(E569),"2 Add",IF(SHA1Range(E569:K569) = "8a7a6687217e433b4e8712924b55eae8fc0b1dc7","0 Original","1 Modify"))))</f>
        <v>0 Original</v>
      </c>
      <c r="D569" s="5" t="s">
        <v>2843</v>
      </c>
      <c r="E569" s="3">
        <v>1709</v>
      </c>
      <c r="F569" t="s">
        <v>1126</v>
      </c>
      <c r="G569" t="s">
        <v>704</v>
      </c>
      <c r="H569" s="9">
        <v>4.99</v>
      </c>
      <c r="I569" s="3">
        <v>2</v>
      </c>
      <c r="J569" s="5" t="s">
        <v>68</v>
      </c>
      <c r="K569" s="15">
        <v>41740.915335648147</v>
      </c>
      <c r="L569" s="20">
        <f t="shared" si="24"/>
        <v>41740</v>
      </c>
      <c r="M569" t="str">
        <f t="shared" si="25"/>
        <v>04-2014</v>
      </c>
      <c r="N569">
        <f t="shared" si="26"/>
        <v>9.98</v>
      </c>
    </row>
    <row r="570" spans="3:14" x14ac:dyDescent="0.25">
      <c r="C570" t="str">
        <f>IF(COUNTBLANK(E570:K570) = 7,"",IF(AND(NOT(ISBLANK(E570)),COUNTBLANK(E570:K570) = 6),"3 Delete",IF(ISBLANK(E570),"2 Add",IF(SHA1Range(E570:K570) = "7715bb4899de17ca84e833d126bba04764983289","0 Original","1 Modify"))))</f>
        <v>0 Original</v>
      </c>
      <c r="D570" s="5" t="s">
        <v>2844</v>
      </c>
      <c r="E570" s="3">
        <v>1710</v>
      </c>
      <c r="F570" t="s">
        <v>1126</v>
      </c>
      <c r="G570" t="s">
        <v>445</v>
      </c>
      <c r="H570" s="9">
        <v>7.99</v>
      </c>
      <c r="I570" s="3">
        <v>1</v>
      </c>
      <c r="J570" s="5" t="s">
        <v>68</v>
      </c>
      <c r="K570" s="15">
        <v>41740.915335648147</v>
      </c>
      <c r="L570" s="20">
        <f t="shared" si="24"/>
        <v>41740</v>
      </c>
      <c r="M570" t="str">
        <f t="shared" si="25"/>
        <v>04-2014</v>
      </c>
      <c r="N570">
        <f t="shared" si="26"/>
        <v>7.99</v>
      </c>
    </row>
    <row r="571" spans="3:14" x14ac:dyDescent="0.25">
      <c r="C571" t="str">
        <f>IF(COUNTBLANK(E571:K571) = 7,"",IF(AND(NOT(ISBLANK(E571)),COUNTBLANK(E571:K571) = 6),"3 Delete",IF(ISBLANK(E571),"2 Add",IF(SHA1Range(E571:K571) = "4ce6e0e73cbee753b476ab355019cf31574b07e1","0 Original","1 Modify"))))</f>
        <v>0 Original</v>
      </c>
      <c r="D571" s="5" t="s">
        <v>2845</v>
      </c>
      <c r="E571" s="3">
        <v>2089</v>
      </c>
      <c r="F571" t="s">
        <v>1127</v>
      </c>
      <c r="G571" t="s">
        <v>792</v>
      </c>
      <c r="H571" s="9">
        <v>9.99</v>
      </c>
      <c r="I571" s="3">
        <v>1</v>
      </c>
      <c r="J571" s="5" t="s">
        <v>68</v>
      </c>
      <c r="K571" s="15">
        <v>41741.171238425923</v>
      </c>
      <c r="L571" s="20">
        <f t="shared" si="24"/>
        <v>41741</v>
      </c>
      <c r="M571" t="str">
        <f t="shared" si="25"/>
        <v>04-2014</v>
      </c>
      <c r="N571">
        <f t="shared" si="26"/>
        <v>9.99</v>
      </c>
    </row>
    <row r="572" spans="3:14" x14ac:dyDescent="0.25">
      <c r="C572" t="str">
        <f>IF(COUNTBLANK(E572:K572) = 7,"",IF(AND(NOT(ISBLANK(E572)),COUNTBLANK(E572:K572) = 6),"3 Delete",IF(ISBLANK(E572),"2 Add",IF(SHA1Range(E572:K572) = "60ceded067350329694e32aa79c92d7a121372fd","0 Original","1 Modify"))))</f>
        <v>0 Original</v>
      </c>
      <c r="D572" s="5" t="s">
        <v>2846</v>
      </c>
      <c r="E572" s="3">
        <v>2090</v>
      </c>
      <c r="F572" t="s">
        <v>1127</v>
      </c>
      <c r="G572" t="s">
        <v>680</v>
      </c>
      <c r="H572" s="9">
        <v>8.99</v>
      </c>
      <c r="I572" s="3">
        <v>1</v>
      </c>
      <c r="J572" s="5" t="s">
        <v>68</v>
      </c>
      <c r="K572" s="15">
        <v>41741.171238425923</v>
      </c>
      <c r="L572" s="20">
        <f t="shared" si="24"/>
        <v>41741</v>
      </c>
      <c r="M572" t="str">
        <f t="shared" si="25"/>
        <v>04-2014</v>
      </c>
      <c r="N572">
        <f t="shared" si="26"/>
        <v>8.99</v>
      </c>
    </row>
    <row r="573" spans="3:14" x14ac:dyDescent="0.25">
      <c r="C573" t="str">
        <f>IF(COUNTBLANK(E573:K573) = 7,"",IF(AND(NOT(ISBLANK(E573)),COUNTBLANK(E573:K573) = 6),"3 Delete",IF(ISBLANK(E573),"2 Add",IF(SHA1Range(E573:K573) = "bee37c0015c4b3c38125911f75c7f98836716669","0 Original","1 Modify"))))</f>
        <v>0 Original</v>
      </c>
      <c r="D573" s="5" t="s">
        <v>2847</v>
      </c>
      <c r="E573" s="3">
        <v>2091</v>
      </c>
      <c r="F573" t="s">
        <v>1127</v>
      </c>
      <c r="G573" t="s">
        <v>749</v>
      </c>
      <c r="H573" s="9">
        <v>5.99</v>
      </c>
      <c r="I573" s="3">
        <v>1</v>
      </c>
      <c r="J573" s="5" t="s">
        <v>68</v>
      </c>
      <c r="K573" s="15">
        <v>41741.171238425923</v>
      </c>
      <c r="L573" s="20">
        <f t="shared" si="24"/>
        <v>41741</v>
      </c>
      <c r="M573" t="str">
        <f t="shared" si="25"/>
        <v>04-2014</v>
      </c>
      <c r="N573">
        <f t="shared" si="26"/>
        <v>5.99</v>
      </c>
    </row>
    <row r="574" spans="3:14" x14ac:dyDescent="0.25">
      <c r="C574" t="str">
        <f>IF(COUNTBLANK(E574:K574) = 7,"",IF(AND(NOT(ISBLANK(E574)),COUNTBLANK(E574:K574) = 6),"3 Delete",IF(ISBLANK(E574),"2 Add",IF(SHA1Range(E574:K574) = "52eba36c7e04215cff1317dcda61a1e1ea4ccf8b","0 Original","1 Modify"))))</f>
        <v>0 Original</v>
      </c>
      <c r="D574" s="5" t="s">
        <v>2848</v>
      </c>
      <c r="E574" s="3">
        <v>2092</v>
      </c>
      <c r="F574" t="s">
        <v>1127</v>
      </c>
      <c r="G574" t="s">
        <v>600</v>
      </c>
      <c r="H574" s="9">
        <v>5.99</v>
      </c>
      <c r="I574" s="3">
        <v>1</v>
      </c>
      <c r="J574" s="5" t="s">
        <v>68</v>
      </c>
      <c r="K574" s="15">
        <v>41741.171238425923</v>
      </c>
      <c r="L574" s="20">
        <f t="shared" si="24"/>
        <v>41741</v>
      </c>
      <c r="M574" t="str">
        <f t="shared" si="25"/>
        <v>04-2014</v>
      </c>
      <c r="N574">
        <f t="shared" si="26"/>
        <v>5.99</v>
      </c>
    </row>
    <row r="575" spans="3:14" x14ac:dyDescent="0.25">
      <c r="C575" t="str">
        <f>IF(COUNTBLANK(E575:K575) = 7,"",IF(AND(NOT(ISBLANK(E575)),COUNTBLANK(E575:K575) = 6),"3 Delete",IF(ISBLANK(E575),"2 Add",IF(SHA1Range(E575:K575) = "6a64e1b9b0a3d72e725f201b6bc0daa520977bf6","0 Original","1 Modify"))))</f>
        <v>0 Original</v>
      </c>
      <c r="D575" s="5" t="s">
        <v>2849</v>
      </c>
      <c r="E575" s="3">
        <v>2093</v>
      </c>
      <c r="F575" t="s">
        <v>1127</v>
      </c>
      <c r="G575" t="s">
        <v>389</v>
      </c>
      <c r="H575" s="9">
        <v>4.99</v>
      </c>
      <c r="I575" s="3">
        <v>2</v>
      </c>
      <c r="J575" s="5" t="s">
        <v>68</v>
      </c>
      <c r="K575" s="15">
        <v>41741.171238425923</v>
      </c>
      <c r="L575" s="20">
        <f t="shared" si="24"/>
        <v>41741</v>
      </c>
      <c r="M575" t="str">
        <f t="shared" si="25"/>
        <v>04-2014</v>
      </c>
      <c r="N575">
        <f t="shared" si="26"/>
        <v>9.98</v>
      </c>
    </row>
    <row r="576" spans="3:14" x14ac:dyDescent="0.25">
      <c r="C576" t="str">
        <f>IF(COUNTBLANK(E576:K576) = 7,"",IF(AND(NOT(ISBLANK(E576)),COUNTBLANK(E576:K576) = 6),"3 Delete",IF(ISBLANK(E576),"2 Add",IF(SHA1Range(E576:K576) = "111511d4386dc97fab6b51d7ac73256391dc25d9","0 Original","1 Modify"))))</f>
        <v>0 Original</v>
      </c>
      <c r="D576" s="5" t="s">
        <v>2850</v>
      </c>
      <c r="E576" s="3">
        <v>2094</v>
      </c>
      <c r="F576" t="s">
        <v>1127</v>
      </c>
      <c r="G576" t="s">
        <v>528</v>
      </c>
      <c r="H576" s="9">
        <v>5.99</v>
      </c>
      <c r="I576" s="3">
        <v>1</v>
      </c>
      <c r="J576" s="5" t="s">
        <v>68</v>
      </c>
      <c r="K576" s="15">
        <v>41741.171238425923</v>
      </c>
      <c r="L576" s="20">
        <f t="shared" si="24"/>
        <v>41741</v>
      </c>
      <c r="M576" t="str">
        <f t="shared" si="25"/>
        <v>04-2014</v>
      </c>
      <c r="N576">
        <f t="shared" si="26"/>
        <v>5.99</v>
      </c>
    </row>
    <row r="577" spans="3:14" x14ac:dyDescent="0.25">
      <c r="C577" t="str">
        <f>IF(COUNTBLANK(E577:K577) = 7,"",IF(AND(NOT(ISBLANK(E577)),COUNTBLANK(E577:K577) = 6),"3 Delete",IF(ISBLANK(E577),"2 Add",IF(SHA1Range(E577:K577) = "3d69301c3682dce5139ab0bddaa86edda5d5c39e","0 Original","1 Modify"))))</f>
        <v>0 Original</v>
      </c>
      <c r="D577" s="5" t="s">
        <v>2851</v>
      </c>
      <c r="E577" s="3">
        <v>2060</v>
      </c>
      <c r="F577" t="s">
        <v>1128</v>
      </c>
      <c r="G577" t="s">
        <v>548</v>
      </c>
      <c r="H577" s="9">
        <v>5.99</v>
      </c>
      <c r="I577" s="3">
        <v>1</v>
      </c>
      <c r="J577" s="5" t="s">
        <v>68</v>
      </c>
      <c r="K577" s="15">
        <v>41741.330300925925</v>
      </c>
      <c r="L577" s="20">
        <f t="shared" si="24"/>
        <v>41741</v>
      </c>
      <c r="M577" t="str">
        <f t="shared" si="25"/>
        <v>04-2014</v>
      </c>
      <c r="N577">
        <f t="shared" si="26"/>
        <v>5.99</v>
      </c>
    </row>
    <row r="578" spans="3:14" x14ac:dyDescent="0.25">
      <c r="C578" t="str">
        <f>IF(COUNTBLANK(E578:K578) = 7,"",IF(AND(NOT(ISBLANK(E578)),COUNTBLANK(E578:K578) = 6),"3 Delete",IF(ISBLANK(E578),"2 Add",IF(SHA1Range(E578:K578) = "4982b627637b38a1a343f1ad808848b4f8ce4c0f","0 Original","1 Modify"))))</f>
        <v>0 Original</v>
      </c>
      <c r="D578" s="5" t="s">
        <v>2852</v>
      </c>
      <c r="E578" s="3">
        <v>2061</v>
      </c>
      <c r="F578" t="s">
        <v>1128</v>
      </c>
      <c r="G578" t="s">
        <v>697</v>
      </c>
      <c r="H578" s="9">
        <v>5.99</v>
      </c>
      <c r="I578" s="3">
        <v>1</v>
      </c>
      <c r="J578" s="5" t="s">
        <v>68</v>
      </c>
      <c r="K578" s="15">
        <v>41741.330300925925</v>
      </c>
      <c r="L578" s="20">
        <f t="shared" si="24"/>
        <v>41741</v>
      </c>
      <c r="M578" t="str">
        <f t="shared" si="25"/>
        <v>04-2014</v>
      </c>
      <c r="N578">
        <f t="shared" si="26"/>
        <v>5.99</v>
      </c>
    </row>
    <row r="579" spans="3:14" x14ac:dyDescent="0.25">
      <c r="C579" t="str">
        <f>IF(COUNTBLANK(E579:K579) = 7,"",IF(AND(NOT(ISBLANK(E579)),COUNTBLANK(E579:K579) = 6),"3 Delete",IF(ISBLANK(E579),"2 Add",IF(SHA1Range(E579:K579) = "c25ba1c17604b92af03eecea9793b55f821721b6","0 Original","1 Modify"))))</f>
        <v>0 Original</v>
      </c>
      <c r="D579" s="5" t="s">
        <v>2853</v>
      </c>
      <c r="E579" s="3">
        <v>2062</v>
      </c>
      <c r="F579" t="s">
        <v>1128</v>
      </c>
      <c r="G579" t="s">
        <v>926</v>
      </c>
      <c r="H579" s="9">
        <v>9.99</v>
      </c>
      <c r="I579" s="3">
        <v>1</v>
      </c>
      <c r="J579" s="5" t="s">
        <v>68</v>
      </c>
      <c r="K579" s="15">
        <v>41741.330300925925</v>
      </c>
      <c r="L579" s="20">
        <f t="shared" ref="L579:L642" si="27">DATEVALUE(LEFT(F579,10))</f>
        <v>41741</v>
      </c>
      <c r="M579" t="str">
        <f t="shared" ref="M579:M642" si="28">TEXT(L579,"mm-yyyy")</f>
        <v>04-2014</v>
      </c>
      <c r="N579">
        <f t="shared" ref="N579:N642" si="29">H579*I579</f>
        <v>9.99</v>
      </c>
    </row>
    <row r="580" spans="3:14" x14ac:dyDescent="0.25">
      <c r="C580" t="str">
        <f>IF(COUNTBLANK(E580:K580) = 7,"",IF(AND(NOT(ISBLANK(E580)),COUNTBLANK(E580:K580) = 6),"3 Delete",IF(ISBLANK(E580),"2 Add",IF(SHA1Range(E580:K580) = "f6cfd4cdcdee277f86e975264ea8239ed65ba804","0 Original","1 Modify"))))</f>
        <v>0 Original</v>
      </c>
      <c r="D580" s="5" t="s">
        <v>2854</v>
      </c>
      <c r="E580" s="3">
        <v>2063</v>
      </c>
      <c r="F580" t="s">
        <v>1128</v>
      </c>
      <c r="G580" t="s">
        <v>761</v>
      </c>
      <c r="H580" s="9">
        <v>8.99</v>
      </c>
      <c r="I580" s="3">
        <v>2</v>
      </c>
      <c r="J580" s="5" t="s">
        <v>68</v>
      </c>
      <c r="K580" s="15">
        <v>41741.330300925925</v>
      </c>
      <c r="L580" s="20">
        <f t="shared" si="27"/>
        <v>41741</v>
      </c>
      <c r="M580" t="str">
        <f t="shared" si="28"/>
        <v>04-2014</v>
      </c>
      <c r="N580">
        <f t="shared" si="29"/>
        <v>17.98</v>
      </c>
    </row>
    <row r="581" spans="3:14" x14ac:dyDescent="0.25">
      <c r="C581" t="str">
        <f>IF(COUNTBLANK(E581:K581) = 7,"",IF(AND(NOT(ISBLANK(E581)),COUNTBLANK(E581:K581) = 6),"3 Delete",IF(ISBLANK(E581),"2 Add",IF(SHA1Range(E581:K581) = "1180a76fd633721f9299d628c70bc1b3f035e7ff","0 Original","1 Modify"))))</f>
        <v>0 Original</v>
      </c>
      <c r="D581" s="5" t="s">
        <v>2855</v>
      </c>
      <c r="E581" s="3">
        <v>2064</v>
      </c>
      <c r="F581" t="s">
        <v>1128</v>
      </c>
      <c r="G581" t="s">
        <v>771</v>
      </c>
      <c r="H581" s="9">
        <v>9.99</v>
      </c>
      <c r="I581" s="3">
        <v>2</v>
      </c>
      <c r="J581" s="5" t="s">
        <v>68</v>
      </c>
      <c r="K581" s="15">
        <v>41741.330300925925</v>
      </c>
      <c r="L581" s="20">
        <f t="shared" si="27"/>
        <v>41741</v>
      </c>
      <c r="M581" t="str">
        <f t="shared" si="28"/>
        <v>04-2014</v>
      </c>
      <c r="N581">
        <f t="shared" si="29"/>
        <v>19.98</v>
      </c>
    </row>
    <row r="582" spans="3:14" x14ac:dyDescent="0.25">
      <c r="C582" t="str">
        <f>IF(COUNTBLANK(E582:K582) = 7,"",IF(AND(NOT(ISBLANK(E582)),COUNTBLANK(E582:K582) = 6),"3 Delete",IF(ISBLANK(E582),"2 Add",IF(SHA1Range(E582:K582) = "4f68b07e9fcfb87e9e191f28a243cff3575f06d6","0 Original","1 Modify"))))</f>
        <v>0 Original</v>
      </c>
      <c r="D582" s="5" t="s">
        <v>2856</v>
      </c>
      <c r="E582" s="3">
        <v>2065</v>
      </c>
      <c r="F582" t="s">
        <v>1128</v>
      </c>
      <c r="G582" t="s">
        <v>687</v>
      </c>
      <c r="H582" s="9">
        <v>9.99</v>
      </c>
      <c r="I582" s="3">
        <v>2</v>
      </c>
      <c r="J582" s="5" t="s">
        <v>68</v>
      </c>
      <c r="K582" s="15">
        <v>41741.330300925925</v>
      </c>
      <c r="L582" s="20">
        <f t="shared" si="27"/>
        <v>41741</v>
      </c>
      <c r="M582" t="str">
        <f t="shared" si="28"/>
        <v>04-2014</v>
      </c>
      <c r="N582">
        <f t="shared" si="29"/>
        <v>19.98</v>
      </c>
    </row>
    <row r="583" spans="3:14" x14ac:dyDescent="0.25">
      <c r="C583" t="str">
        <f>IF(COUNTBLANK(E583:K583) = 7,"",IF(AND(NOT(ISBLANK(E583)),COUNTBLANK(E583:K583) = 6),"3 Delete",IF(ISBLANK(E583),"2 Add",IF(SHA1Range(E583:K583) = "91989cecd9e555e64a83415de3e2f218c01a0c27","0 Original","1 Modify"))))</f>
        <v>0 Original</v>
      </c>
      <c r="D583" s="5" t="s">
        <v>2857</v>
      </c>
      <c r="E583" s="3">
        <v>1217</v>
      </c>
      <c r="F583" t="s">
        <v>1129</v>
      </c>
      <c r="G583" t="s">
        <v>657</v>
      </c>
      <c r="H583" s="9">
        <v>9.99</v>
      </c>
      <c r="I583" s="3">
        <v>2</v>
      </c>
      <c r="J583" s="5" t="s">
        <v>68</v>
      </c>
      <c r="K583" s="15">
        <v>41741.471643518518</v>
      </c>
      <c r="L583" s="20">
        <f t="shared" si="27"/>
        <v>41741</v>
      </c>
      <c r="M583" t="str">
        <f t="shared" si="28"/>
        <v>04-2014</v>
      </c>
      <c r="N583">
        <f t="shared" si="29"/>
        <v>19.98</v>
      </c>
    </row>
    <row r="584" spans="3:14" x14ac:dyDescent="0.25">
      <c r="C584" t="str">
        <f>IF(COUNTBLANK(E584:K584) = 7,"",IF(AND(NOT(ISBLANK(E584)),COUNTBLANK(E584:K584) = 6),"3 Delete",IF(ISBLANK(E584),"2 Add",IF(SHA1Range(E584:K584) = "bbf94011eb5edf2ad4d0c69c5e02d76793163dd5","0 Original","1 Modify"))))</f>
        <v>0 Original</v>
      </c>
      <c r="D584" s="5" t="s">
        <v>2858</v>
      </c>
      <c r="E584" s="3">
        <v>1218</v>
      </c>
      <c r="F584" t="s">
        <v>1129</v>
      </c>
      <c r="G584" t="s">
        <v>570</v>
      </c>
      <c r="H584" s="9">
        <v>6.99</v>
      </c>
      <c r="I584" s="3">
        <v>2</v>
      </c>
      <c r="J584" s="5" t="s">
        <v>68</v>
      </c>
      <c r="K584" s="15">
        <v>41741.471643518518</v>
      </c>
      <c r="L584" s="20">
        <f t="shared" si="27"/>
        <v>41741</v>
      </c>
      <c r="M584" t="str">
        <f t="shared" si="28"/>
        <v>04-2014</v>
      </c>
      <c r="N584">
        <f t="shared" si="29"/>
        <v>13.98</v>
      </c>
    </row>
    <row r="585" spans="3:14" x14ac:dyDescent="0.25">
      <c r="C585" t="str">
        <f>IF(COUNTBLANK(E585:K585) = 7,"",IF(AND(NOT(ISBLANK(E585)),COUNTBLANK(E585:K585) = 6),"3 Delete",IF(ISBLANK(E585),"2 Add",IF(SHA1Range(E585:K585) = "225d51e317452d89ff8a9c42191f6c2de6af4e47","0 Original","1 Modify"))))</f>
        <v>0 Original</v>
      </c>
      <c r="D585" s="5" t="s">
        <v>2859</v>
      </c>
      <c r="E585" s="3">
        <v>1219</v>
      </c>
      <c r="F585" t="s">
        <v>1129</v>
      </c>
      <c r="G585" t="s">
        <v>842</v>
      </c>
      <c r="H585" s="9">
        <v>4.99</v>
      </c>
      <c r="I585" s="3">
        <v>1</v>
      </c>
      <c r="J585" s="5" t="s">
        <v>68</v>
      </c>
      <c r="K585" s="15">
        <v>41741.471643518518</v>
      </c>
      <c r="L585" s="20">
        <f t="shared" si="27"/>
        <v>41741</v>
      </c>
      <c r="M585" t="str">
        <f t="shared" si="28"/>
        <v>04-2014</v>
      </c>
      <c r="N585">
        <f t="shared" si="29"/>
        <v>4.99</v>
      </c>
    </row>
    <row r="586" spans="3:14" x14ac:dyDescent="0.25">
      <c r="C586" t="str">
        <f>IF(COUNTBLANK(E586:K586) = 7,"",IF(AND(NOT(ISBLANK(E586)),COUNTBLANK(E586:K586) = 6),"3 Delete",IF(ISBLANK(E586),"2 Add",IF(SHA1Range(E586:K586) = "a5987b999955475ee598f7a5f79481eb436c3c47","0 Original","1 Modify"))))</f>
        <v>0 Original</v>
      </c>
      <c r="D586" s="5" t="s">
        <v>2860</v>
      </c>
      <c r="E586" s="3">
        <v>1220</v>
      </c>
      <c r="F586" t="s">
        <v>1129</v>
      </c>
      <c r="G586" t="s">
        <v>588</v>
      </c>
      <c r="H586" s="9">
        <v>4.99</v>
      </c>
      <c r="I586" s="3">
        <v>1</v>
      </c>
      <c r="J586" s="5" t="s">
        <v>68</v>
      </c>
      <c r="K586" s="15">
        <v>41741.471643518518</v>
      </c>
      <c r="L586" s="20">
        <f t="shared" si="27"/>
        <v>41741</v>
      </c>
      <c r="M586" t="str">
        <f t="shared" si="28"/>
        <v>04-2014</v>
      </c>
      <c r="N586">
        <f t="shared" si="29"/>
        <v>4.99</v>
      </c>
    </row>
    <row r="587" spans="3:14" x14ac:dyDescent="0.25">
      <c r="C587" t="str">
        <f>IF(COUNTBLANK(E587:K587) = 7,"",IF(AND(NOT(ISBLANK(E587)),COUNTBLANK(E587:K587) = 6),"3 Delete",IF(ISBLANK(E587),"2 Add",IF(SHA1Range(E587:K587) = "dd342942359d2a83db4bdf8666d5be1abec7d0da","0 Original","1 Modify"))))</f>
        <v>0 Original</v>
      </c>
      <c r="D587" s="5" t="s">
        <v>2861</v>
      </c>
      <c r="E587" s="3">
        <v>1221</v>
      </c>
      <c r="F587" t="s">
        <v>1129</v>
      </c>
      <c r="G587" t="s">
        <v>732</v>
      </c>
      <c r="H587" s="9">
        <v>9.99</v>
      </c>
      <c r="I587" s="3">
        <v>1</v>
      </c>
      <c r="J587" s="5" t="s">
        <v>68</v>
      </c>
      <c r="K587" s="15">
        <v>41741.471643518518</v>
      </c>
      <c r="L587" s="20">
        <f t="shared" si="27"/>
        <v>41741</v>
      </c>
      <c r="M587" t="str">
        <f t="shared" si="28"/>
        <v>04-2014</v>
      </c>
      <c r="N587">
        <f t="shared" si="29"/>
        <v>9.99</v>
      </c>
    </row>
    <row r="588" spans="3:14" x14ac:dyDescent="0.25">
      <c r="C588" t="str">
        <f>IF(COUNTBLANK(E588:K588) = 7,"",IF(AND(NOT(ISBLANK(E588)),COUNTBLANK(E588:K588) = 6),"3 Delete",IF(ISBLANK(E588),"2 Add",IF(SHA1Range(E588:K588) = "d07b7ea0575b413714a203916b32148b17c884df","0 Original","1 Modify"))))</f>
        <v>0 Original</v>
      </c>
      <c r="D588" s="5" t="s">
        <v>2862</v>
      </c>
      <c r="E588" s="3">
        <v>895</v>
      </c>
      <c r="F588" t="s">
        <v>1130</v>
      </c>
      <c r="G588" t="s">
        <v>732</v>
      </c>
      <c r="H588" s="9">
        <v>9.99</v>
      </c>
      <c r="I588" s="3">
        <v>2</v>
      </c>
      <c r="J588" s="5" t="s">
        <v>68</v>
      </c>
      <c r="K588" s="15">
        <v>41742.382152777776</v>
      </c>
      <c r="L588" s="20">
        <f t="shared" si="27"/>
        <v>41742</v>
      </c>
      <c r="M588" t="str">
        <f t="shared" si="28"/>
        <v>04-2014</v>
      </c>
      <c r="N588">
        <f t="shared" si="29"/>
        <v>19.98</v>
      </c>
    </row>
    <row r="589" spans="3:14" x14ac:dyDescent="0.25">
      <c r="C589" t="str">
        <f>IF(COUNTBLANK(E589:K589) = 7,"",IF(AND(NOT(ISBLANK(E589)),COUNTBLANK(E589:K589) = 6),"3 Delete",IF(ISBLANK(E589),"2 Add",IF(SHA1Range(E589:K589) = "aa59ac05d65e53c823405afce5cf425624c9d365","0 Original","1 Modify"))))</f>
        <v>0 Original</v>
      </c>
      <c r="D589" s="5" t="s">
        <v>2863</v>
      </c>
      <c r="E589" s="3">
        <v>100</v>
      </c>
      <c r="F589" t="s">
        <v>1131</v>
      </c>
      <c r="G589" t="s">
        <v>408</v>
      </c>
      <c r="H589" s="9">
        <v>9.99</v>
      </c>
      <c r="I589" s="3">
        <v>2</v>
      </c>
      <c r="J589" s="5" t="s">
        <v>68</v>
      </c>
      <c r="K589" s="15">
        <v>41743.070949074077</v>
      </c>
      <c r="L589" s="20">
        <f t="shared" si="27"/>
        <v>41743</v>
      </c>
      <c r="M589" t="str">
        <f t="shared" si="28"/>
        <v>04-2014</v>
      </c>
      <c r="N589">
        <f t="shared" si="29"/>
        <v>19.98</v>
      </c>
    </row>
    <row r="590" spans="3:14" x14ac:dyDescent="0.25">
      <c r="C590" t="str">
        <f>IF(COUNTBLANK(E590:K590) = 7,"",IF(AND(NOT(ISBLANK(E590)),COUNTBLANK(E590:K590) = 6),"3 Delete",IF(ISBLANK(E590),"2 Add",IF(SHA1Range(E590:K590) = "44ae987f59ea8ea05cc32ca07aeafc8c29d7442f","0 Original","1 Modify"))))</f>
        <v>0 Original</v>
      </c>
      <c r="D590" s="5" t="s">
        <v>2864</v>
      </c>
      <c r="E590" s="3">
        <v>101</v>
      </c>
      <c r="F590" t="s">
        <v>1131</v>
      </c>
      <c r="G590" t="s">
        <v>535</v>
      </c>
      <c r="H590" s="9">
        <v>4.99</v>
      </c>
      <c r="I590" s="3">
        <v>1</v>
      </c>
      <c r="J590" s="5" t="s">
        <v>68</v>
      </c>
      <c r="K590" s="15">
        <v>41743.070949074077</v>
      </c>
      <c r="L590" s="20">
        <f t="shared" si="27"/>
        <v>41743</v>
      </c>
      <c r="M590" t="str">
        <f t="shared" si="28"/>
        <v>04-2014</v>
      </c>
      <c r="N590">
        <f t="shared" si="29"/>
        <v>4.99</v>
      </c>
    </row>
    <row r="591" spans="3:14" x14ac:dyDescent="0.25">
      <c r="C591" t="str">
        <f>IF(COUNTBLANK(E591:K591) = 7,"",IF(AND(NOT(ISBLANK(E591)),COUNTBLANK(E591:K591) = 6),"3 Delete",IF(ISBLANK(E591),"2 Add",IF(SHA1Range(E591:K591) = "5b3d40a4338b6daeb2656c0942f05499ee728178","0 Original","1 Modify"))))</f>
        <v>0 Original</v>
      </c>
      <c r="D591" s="5" t="s">
        <v>2865</v>
      </c>
      <c r="E591" s="3">
        <v>2727</v>
      </c>
      <c r="F591" t="s">
        <v>1132</v>
      </c>
      <c r="G591" t="s">
        <v>552</v>
      </c>
      <c r="H591" s="9">
        <v>6.99</v>
      </c>
      <c r="I591" s="3">
        <v>2</v>
      </c>
      <c r="J591" s="5" t="s">
        <v>68</v>
      </c>
      <c r="K591" s="15">
        <v>41743.937384259261</v>
      </c>
      <c r="L591" s="20">
        <f t="shared" si="27"/>
        <v>41743</v>
      </c>
      <c r="M591" t="str">
        <f t="shared" si="28"/>
        <v>04-2014</v>
      </c>
      <c r="N591">
        <f t="shared" si="29"/>
        <v>13.98</v>
      </c>
    </row>
    <row r="592" spans="3:14" x14ac:dyDescent="0.25">
      <c r="C592" t="str">
        <f>IF(COUNTBLANK(E592:K592) = 7,"",IF(AND(NOT(ISBLANK(E592)),COUNTBLANK(E592:K592) = 6),"3 Delete",IF(ISBLANK(E592),"2 Add",IF(SHA1Range(E592:K592) = "974be50296ad2737679ed5e12b8867fee2250a81","0 Original","1 Modify"))))</f>
        <v>0 Original</v>
      </c>
      <c r="D592" s="5" t="s">
        <v>2866</v>
      </c>
      <c r="E592" s="3">
        <v>2728</v>
      </c>
      <c r="F592" t="s">
        <v>1132</v>
      </c>
      <c r="G592" t="s">
        <v>707</v>
      </c>
      <c r="H592" s="9">
        <v>7.99</v>
      </c>
      <c r="I592" s="3">
        <v>1</v>
      </c>
      <c r="J592" s="5" t="s">
        <v>68</v>
      </c>
      <c r="K592" s="15">
        <v>41743.937384259261</v>
      </c>
      <c r="L592" s="20">
        <f t="shared" si="27"/>
        <v>41743</v>
      </c>
      <c r="M592" t="str">
        <f t="shared" si="28"/>
        <v>04-2014</v>
      </c>
      <c r="N592">
        <f t="shared" si="29"/>
        <v>7.99</v>
      </c>
    </row>
    <row r="593" spans="3:14" x14ac:dyDescent="0.25">
      <c r="C593" t="str">
        <f>IF(COUNTBLANK(E593:K593) = 7,"",IF(AND(NOT(ISBLANK(E593)),COUNTBLANK(E593:K593) = 6),"3 Delete",IF(ISBLANK(E593),"2 Add",IF(SHA1Range(E593:K593) = "afc3f0a52883742ea8ddd2055747506bfa581a83","0 Original","1 Modify"))))</f>
        <v>0 Original</v>
      </c>
      <c r="D593" s="5" t="s">
        <v>2867</v>
      </c>
      <c r="E593" s="3">
        <v>2729</v>
      </c>
      <c r="F593" t="s">
        <v>1132</v>
      </c>
      <c r="G593" t="s">
        <v>687</v>
      </c>
      <c r="H593" s="9">
        <v>9.99</v>
      </c>
      <c r="I593" s="3">
        <v>1</v>
      </c>
      <c r="J593" s="5" t="s">
        <v>68</v>
      </c>
      <c r="K593" s="15">
        <v>41743.937384259261</v>
      </c>
      <c r="L593" s="20">
        <f t="shared" si="27"/>
        <v>41743</v>
      </c>
      <c r="M593" t="str">
        <f t="shared" si="28"/>
        <v>04-2014</v>
      </c>
      <c r="N593">
        <f t="shared" si="29"/>
        <v>9.99</v>
      </c>
    </row>
    <row r="594" spans="3:14" x14ac:dyDescent="0.25">
      <c r="C594" t="str">
        <f>IF(COUNTBLANK(E594:K594) = 7,"",IF(AND(NOT(ISBLANK(E594)),COUNTBLANK(E594:K594) = 6),"3 Delete",IF(ISBLANK(E594),"2 Add",IF(SHA1Range(E594:K594) = "418ef7b9bad46b8f240cfebbd9b25681f04ae74f","0 Original","1 Modify"))))</f>
        <v>0 Original</v>
      </c>
      <c r="D594" s="5" t="s">
        <v>2868</v>
      </c>
      <c r="E594" s="3">
        <v>2730</v>
      </c>
      <c r="F594" t="s">
        <v>1132</v>
      </c>
      <c r="G594" t="s">
        <v>552</v>
      </c>
      <c r="H594" s="9">
        <v>6.99</v>
      </c>
      <c r="I594" s="3">
        <v>1</v>
      </c>
      <c r="J594" s="5" t="s">
        <v>68</v>
      </c>
      <c r="K594" s="15">
        <v>41743.937384259261</v>
      </c>
      <c r="L594" s="20">
        <f t="shared" si="27"/>
        <v>41743</v>
      </c>
      <c r="M594" t="str">
        <f t="shared" si="28"/>
        <v>04-2014</v>
      </c>
      <c r="N594">
        <f t="shared" si="29"/>
        <v>6.99</v>
      </c>
    </row>
    <row r="595" spans="3:14" x14ac:dyDescent="0.25">
      <c r="C595" t="str">
        <f>IF(COUNTBLANK(E595:K595) = 7,"",IF(AND(NOT(ISBLANK(E595)),COUNTBLANK(E595:K595) = 6),"3 Delete",IF(ISBLANK(E595),"2 Add",IF(SHA1Range(E595:K595) = "a735839699358e1a6cde8e6775c71808bb2d9b48","0 Original","1 Modify"))))</f>
        <v>0 Original</v>
      </c>
      <c r="D595" s="5" t="s">
        <v>2869</v>
      </c>
      <c r="E595" s="3">
        <v>62</v>
      </c>
      <c r="F595" t="s">
        <v>1133</v>
      </c>
      <c r="G595" t="s">
        <v>687</v>
      </c>
      <c r="H595" s="9">
        <v>9.99</v>
      </c>
      <c r="I595" s="3">
        <v>1</v>
      </c>
      <c r="J595" s="5" t="s">
        <v>68</v>
      </c>
      <c r="K595" s="15">
        <v>41744.066099537034</v>
      </c>
      <c r="L595" s="20">
        <f t="shared" si="27"/>
        <v>41744</v>
      </c>
      <c r="M595" t="str">
        <f t="shared" si="28"/>
        <v>04-2014</v>
      </c>
      <c r="N595">
        <f t="shared" si="29"/>
        <v>9.99</v>
      </c>
    </row>
    <row r="596" spans="3:14" x14ac:dyDescent="0.25">
      <c r="C596" t="str">
        <f>IF(COUNTBLANK(E596:K596) = 7,"",IF(AND(NOT(ISBLANK(E596)),COUNTBLANK(E596:K596) = 6),"3 Delete",IF(ISBLANK(E596),"2 Add",IF(SHA1Range(E596:K596) = "b5a9c251294e438d58a09e0fe411b27f6fa75282","0 Original","1 Modify"))))</f>
        <v>0 Original</v>
      </c>
      <c r="D596" s="5" t="s">
        <v>2870</v>
      </c>
      <c r="E596" s="3">
        <v>63</v>
      </c>
      <c r="F596" t="s">
        <v>1133</v>
      </c>
      <c r="G596" t="s">
        <v>861</v>
      </c>
      <c r="H596" s="9">
        <v>8.99</v>
      </c>
      <c r="I596" s="3">
        <v>1</v>
      </c>
      <c r="J596" s="5" t="s">
        <v>68</v>
      </c>
      <c r="K596" s="15">
        <v>41744.066099537034</v>
      </c>
      <c r="L596" s="20">
        <f t="shared" si="27"/>
        <v>41744</v>
      </c>
      <c r="M596" t="str">
        <f t="shared" si="28"/>
        <v>04-2014</v>
      </c>
      <c r="N596">
        <f t="shared" si="29"/>
        <v>8.99</v>
      </c>
    </row>
    <row r="597" spans="3:14" x14ac:dyDescent="0.25">
      <c r="C597" t="str">
        <f>IF(COUNTBLANK(E597:K597) = 7,"",IF(AND(NOT(ISBLANK(E597)),COUNTBLANK(E597:K597) = 6),"3 Delete",IF(ISBLANK(E597),"2 Add",IF(SHA1Range(E597:K597) = "aeed1c18af65c2ac2ed09d235ce5f21fa9365ced","0 Original","1 Modify"))))</f>
        <v>0 Original</v>
      </c>
      <c r="D597" s="5" t="s">
        <v>2871</v>
      </c>
      <c r="E597" s="3">
        <v>64</v>
      </c>
      <c r="F597" t="s">
        <v>1133</v>
      </c>
      <c r="G597" t="s">
        <v>426</v>
      </c>
      <c r="H597" s="9">
        <v>8.99</v>
      </c>
      <c r="I597" s="3">
        <v>2</v>
      </c>
      <c r="J597" s="5" t="s">
        <v>68</v>
      </c>
      <c r="K597" s="15">
        <v>41744.066099537034</v>
      </c>
      <c r="L597" s="20">
        <f t="shared" si="27"/>
        <v>41744</v>
      </c>
      <c r="M597" t="str">
        <f t="shared" si="28"/>
        <v>04-2014</v>
      </c>
      <c r="N597">
        <f t="shared" si="29"/>
        <v>17.98</v>
      </c>
    </row>
    <row r="598" spans="3:14" x14ac:dyDescent="0.25">
      <c r="C598" t="str">
        <f>IF(COUNTBLANK(E598:K598) = 7,"",IF(AND(NOT(ISBLANK(E598)),COUNTBLANK(E598:K598) = 6),"3 Delete",IF(ISBLANK(E598),"2 Add",IF(SHA1Range(E598:K598) = "54c1887e288f41c181c752aebf8e5fe970a661e6","0 Original","1 Modify"))))</f>
        <v>0 Original</v>
      </c>
      <c r="D598" s="5" t="s">
        <v>2872</v>
      </c>
      <c r="E598" s="3">
        <v>65</v>
      </c>
      <c r="F598" t="s">
        <v>1133</v>
      </c>
      <c r="G598" t="s">
        <v>461</v>
      </c>
      <c r="H598" s="9">
        <v>6.99</v>
      </c>
      <c r="I598" s="3">
        <v>1</v>
      </c>
      <c r="J598" s="5" t="s">
        <v>68</v>
      </c>
      <c r="K598" s="15">
        <v>41744.066099537034</v>
      </c>
      <c r="L598" s="20">
        <f t="shared" si="27"/>
        <v>41744</v>
      </c>
      <c r="M598" t="str">
        <f t="shared" si="28"/>
        <v>04-2014</v>
      </c>
      <c r="N598">
        <f t="shared" si="29"/>
        <v>6.99</v>
      </c>
    </row>
    <row r="599" spans="3:14" x14ac:dyDescent="0.25">
      <c r="C599" t="str">
        <f>IF(COUNTBLANK(E599:K599) = 7,"",IF(AND(NOT(ISBLANK(E599)),COUNTBLANK(E599:K599) = 6),"3 Delete",IF(ISBLANK(E599),"2 Add",IF(SHA1Range(E599:K599) = "1b31ca500e5ac5c13d5f130958d93111240bea29","0 Original","1 Modify"))))</f>
        <v>0 Original</v>
      </c>
      <c r="D599" s="5" t="s">
        <v>2873</v>
      </c>
      <c r="E599" s="3">
        <v>66</v>
      </c>
      <c r="F599" t="s">
        <v>1133</v>
      </c>
      <c r="G599" t="s">
        <v>829</v>
      </c>
      <c r="H599" s="9">
        <v>5.99</v>
      </c>
      <c r="I599" s="3">
        <v>1</v>
      </c>
      <c r="J599" s="5" t="s">
        <v>68</v>
      </c>
      <c r="K599" s="15">
        <v>41744.066099537034</v>
      </c>
      <c r="L599" s="20">
        <f t="shared" si="27"/>
        <v>41744</v>
      </c>
      <c r="M599" t="str">
        <f t="shared" si="28"/>
        <v>04-2014</v>
      </c>
      <c r="N599">
        <f t="shared" si="29"/>
        <v>5.99</v>
      </c>
    </row>
    <row r="600" spans="3:14" x14ac:dyDescent="0.25">
      <c r="C600" t="str">
        <f>IF(COUNTBLANK(E600:K600) = 7,"",IF(AND(NOT(ISBLANK(E600)),COUNTBLANK(E600:K600) = 6),"3 Delete",IF(ISBLANK(E600),"2 Add",IF(SHA1Range(E600:K600) = "445ad8a059c94032f970a72577be3dfbe8366c4c","0 Original","1 Modify"))))</f>
        <v>0 Original</v>
      </c>
      <c r="D600" s="5" t="s">
        <v>2874</v>
      </c>
      <c r="E600" s="3">
        <v>67</v>
      </c>
      <c r="F600" t="s">
        <v>1133</v>
      </c>
      <c r="G600" t="s">
        <v>771</v>
      </c>
      <c r="H600" s="9">
        <v>9.99</v>
      </c>
      <c r="I600" s="3">
        <v>1</v>
      </c>
      <c r="J600" s="5" t="s">
        <v>68</v>
      </c>
      <c r="K600" s="15">
        <v>41744.066099537034</v>
      </c>
      <c r="L600" s="20">
        <f t="shared" si="27"/>
        <v>41744</v>
      </c>
      <c r="M600" t="str">
        <f t="shared" si="28"/>
        <v>04-2014</v>
      </c>
      <c r="N600">
        <f t="shared" si="29"/>
        <v>9.99</v>
      </c>
    </row>
    <row r="601" spans="3:14" x14ac:dyDescent="0.25">
      <c r="C601" t="str">
        <f>IF(COUNTBLANK(E601:K601) = 7,"",IF(AND(NOT(ISBLANK(E601)),COUNTBLANK(E601:K601) = 6),"3 Delete",IF(ISBLANK(E601),"2 Add",IF(SHA1Range(E601:K601) = "cde3c73125fd797275566502fa3cae3adc4ae50f","0 Original","1 Modify"))))</f>
        <v>0 Original</v>
      </c>
      <c r="D601" s="5" t="s">
        <v>2875</v>
      </c>
      <c r="E601" s="3">
        <v>68</v>
      </c>
      <c r="F601" t="s">
        <v>1133</v>
      </c>
      <c r="G601" t="s">
        <v>517</v>
      </c>
      <c r="H601" s="9">
        <v>5.99</v>
      </c>
      <c r="I601" s="3">
        <v>1</v>
      </c>
      <c r="J601" s="5" t="s">
        <v>68</v>
      </c>
      <c r="K601" s="15">
        <v>41744.066099537034</v>
      </c>
      <c r="L601" s="20">
        <f t="shared" si="27"/>
        <v>41744</v>
      </c>
      <c r="M601" t="str">
        <f t="shared" si="28"/>
        <v>04-2014</v>
      </c>
      <c r="N601">
        <f t="shared" si="29"/>
        <v>5.99</v>
      </c>
    </row>
    <row r="602" spans="3:14" x14ac:dyDescent="0.25">
      <c r="C602" t="str">
        <f>IF(COUNTBLANK(E602:K602) = 7,"",IF(AND(NOT(ISBLANK(E602)),COUNTBLANK(E602:K602) = 6),"3 Delete",IF(ISBLANK(E602),"2 Add",IF(SHA1Range(E602:K602) = "270b0c338dbb4d611b10bf6403b82f30adad6aed","0 Original","1 Modify"))))</f>
        <v>0 Original</v>
      </c>
      <c r="D602" s="5" t="s">
        <v>2876</v>
      </c>
      <c r="E602" s="3">
        <v>69</v>
      </c>
      <c r="F602" t="s">
        <v>1133</v>
      </c>
      <c r="G602" t="s">
        <v>875</v>
      </c>
      <c r="H602" s="9">
        <v>8.99</v>
      </c>
      <c r="I602" s="3">
        <v>2</v>
      </c>
      <c r="J602" s="5" t="s">
        <v>68</v>
      </c>
      <c r="K602" s="15">
        <v>41744.066099537034</v>
      </c>
      <c r="L602" s="20">
        <f t="shared" si="27"/>
        <v>41744</v>
      </c>
      <c r="M602" t="str">
        <f t="shared" si="28"/>
        <v>04-2014</v>
      </c>
      <c r="N602">
        <f t="shared" si="29"/>
        <v>17.98</v>
      </c>
    </row>
    <row r="603" spans="3:14" x14ac:dyDescent="0.25">
      <c r="C603" t="str">
        <f>IF(COUNTBLANK(E603:K603) = 7,"",IF(AND(NOT(ISBLANK(E603)),COUNTBLANK(E603:K603) = 6),"3 Delete",IF(ISBLANK(E603),"2 Add",IF(SHA1Range(E603:K603) = "24e4982f3f91271e4a5dd17cb9b476cc8ffef4dc","0 Original","1 Modify"))))</f>
        <v>0 Original</v>
      </c>
      <c r="D603" s="5" t="s">
        <v>2877</v>
      </c>
      <c r="E603" s="3">
        <v>595</v>
      </c>
      <c r="F603" t="s">
        <v>1134</v>
      </c>
      <c r="G603" t="s">
        <v>881</v>
      </c>
      <c r="H603" s="9">
        <v>4.99</v>
      </c>
      <c r="I603" s="3">
        <v>2</v>
      </c>
      <c r="J603" s="5" t="s">
        <v>68</v>
      </c>
      <c r="K603" s="15">
        <v>41744.142222222225</v>
      </c>
      <c r="L603" s="20">
        <f t="shared" si="27"/>
        <v>41744</v>
      </c>
      <c r="M603" t="str">
        <f t="shared" si="28"/>
        <v>04-2014</v>
      </c>
      <c r="N603">
        <f t="shared" si="29"/>
        <v>9.98</v>
      </c>
    </row>
    <row r="604" spans="3:14" x14ac:dyDescent="0.25">
      <c r="C604" t="str">
        <f>IF(COUNTBLANK(E604:K604) = 7,"",IF(AND(NOT(ISBLANK(E604)),COUNTBLANK(E604:K604) = 6),"3 Delete",IF(ISBLANK(E604),"2 Add",IF(SHA1Range(E604:K604) = "4939d9e5bb92a90c42ae6e11deb982ba3db3d06f","0 Original","1 Modify"))))</f>
        <v>0 Original</v>
      </c>
      <c r="D604" s="5" t="s">
        <v>2878</v>
      </c>
      <c r="E604" s="3">
        <v>596</v>
      </c>
      <c r="F604" t="s">
        <v>1134</v>
      </c>
      <c r="G604" t="s">
        <v>451</v>
      </c>
      <c r="H604" s="9">
        <v>5.99</v>
      </c>
      <c r="I604" s="3">
        <v>2</v>
      </c>
      <c r="J604" s="5" t="s">
        <v>68</v>
      </c>
      <c r="K604" s="15">
        <v>41744.142222222225</v>
      </c>
      <c r="L604" s="20">
        <f t="shared" si="27"/>
        <v>41744</v>
      </c>
      <c r="M604" t="str">
        <f t="shared" si="28"/>
        <v>04-2014</v>
      </c>
      <c r="N604">
        <f t="shared" si="29"/>
        <v>11.98</v>
      </c>
    </row>
    <row r="605" spans="3:14" x14ac:dyDescent="0.25">
      <c r="C605" t="str">
        <f>IF(COUNTBLANK(E605:K605) = 7,"",IF(AND(NOT(ISBLANK(E605)),COUNTBLANK(E605:K605) = 6),"3 Delete",IF(ISBLANK(E605),"2 Add",IF(SHA1Range(E605:K605) = "959b14c670b4b38c403703b3cdb898def3925e67","0 Original","1 Modify"))))</f>
        <v>0 Original</v>
      </c>
      <c r="D605" s="5" t="s">
        <v>2879</v>
      </c>
      <c r="E605" s="3">
        <v>597</v>
      </c>
      <c r="F605" t="s">
        <v>1134</v>
      </c>
      <c r="G605" t="s">
        <v>416</v>
      </c>
      <c r="H605" s="9">
        <v>7.99</v>
      </c>
      <c r="I605" s="3">
        <v>1</v>
      </c>
      <c r="J605" s="5" t="s">
        <v>68</v>
      </c>
      <c r="K605" s="15">
        <v>41744.142222222225</v>
      </c>
      <c r="L605" s="20">
        <f t="shared" si="27"/>
        <v>41744</v>
      </c>
      <c r="M605" t="str">
        <f t="shared" si="28"/>
        <v>04-2014</v>
      </c>
      <c r="N605">
        <f t="shared" si="29"/>
        <v>7.99</v>
      </c>
    </row>
    <row r="606" spans="3:14" x14ac:dyDescent="0.25">
      <c r="C606" t="str">
        <f>IF(COUNTBLANK(E606:K606) = 7,"",IF(AND(NOT(ISBLANK(E606)),COUNTBLANK(E606:K606) = 6),"3 Delete",IF(ISBLANK(E606),"2 Add",IF(SHA1Range(E606:K606) = "7bd04343591aa408676643870bd7bf0669b16b35","0 Original","1 Modify"))))</f>
        <v>0 Original</v>
      </c>
      <c r="D606" s="5" t="s">
        <v>2880</v>
      </c>
      <c r="E606" s="3">
        <v>598</v>
      </c>
      <c r="F606" t="s">
        <v>1134</v>
      </c>
      <c r="G606" t="s">
        <v>468</v>
      </c>
      <c r="H606" s="9">
        <v>5.99</v>
      </c>
      <c r="I606" s="3">
        <v>1</v>
      </c>
      <c r="J606" s="5" t="s">
        <v>68</v>
      </c>
      <c r="K606" s="15">
        <v>41744.142222222225</v>
      </c>
      <c r="L606" s="20">
        <f t="shared" si="27"/>
        <v>41744</v>
      </c>
      <c r="M606" t="str">
        <f t="shared" si="28"/>
        <v>04-2014</v>
      </c>
      <c r="N606">
        <f t="shared" si="29"/>
        <v>5.99</v>
      </c>
    </row>
    <row r="607" spans="3:14" x14ac:dyDescent="0.25">
      <c r="C607" t="str">
        <f>IF(COUNTBLANK(E607:K607) = 7,"",IF(AND(NOT(ISBLANK(E607)),COUNTBLANK(E607:K607) = 6),"3 Delete",IF(ISBLANK(E607),"2 Add",IF(SHA1Range(E607:K607) = "eb21bc47fc129060902e8e37bf54db5b7b626df7","0 Original","1 Modify"))))</f>
        <v>0 Original</v>
      </c>
      <c r="D607" s="5" t="s">
        <v>2881</v>
      </c>
      <c r="E607" s="3">
        <v>3138</v>
      </c>
      <c r="F607" t="s">
        <v>1135</v>
      </c>
      <c r="G607" t="s">
        <v>579</v>
      </c>
      <c r="H607" s="9">
        <v>9.99</v>
      </c>
      <c r="I607" s="3">
        <v>1</v>
      </c>
      <c r="J607" s="5" t="s">
        <v>68</v>
      </c>
      <c r="K607" s="15">
        <v>41745.498194444444</v>
      </c>
      <c r="L607" s="20">
        <f t="shared" si="27"/>
        <v>41745</v>
      </c>
      <c r="M607" t="str">
        <f t="shared" si="28"/>
        <v>04-2014</v>
      </c>
      <c r="N607">
        <f t="shared" si="29"/>
        <v>9.99</v>
      </c>
    </row>
    <row r="608" spans="3:14" x14ac:dyDescent="0.25">
      <c r="C608" t="str">
        <f>IF(COUNTBLANK(E608:K608) = 7,"",IF(AND(NOT(ISBLANK(E608)),COUNTBLANK(E608:K608) = 6),"3 Delete",IF(ISBLANK(E608),"2 Add",IF(SHA1Range(E608:K608) = "700b70b9363b4f5c21adea7fa74bee2599508d98","0 Original","1 Modify"))))</f>
        <v>0 Original</v>
      </c>
      <c r="D608" s="5" t="s">
        <v>2882</v>
      </c>
      <c r="E608" s="3">
        <v>3139</v>
      </c>
      <c r="F608" t="s">
        <v>1135</v>
      </c>
      <c r="G608" t="s">
        <v>373</v>
      </c>
      <c r="H608" s="9">
        <v>7.99</v>
      </c>
      <c r="I608" s="3">
        <v>1</v>
      </c>
      <c r="J608" s="5" t="s">
        <v>68</v>
      </c>
      <c r="K608" s="15">
        <v>41745.498194444444</v>
      </c>
      <c r="L608" s="20">
        <f t="shared" si="27"/>
        <v>41745</v>
      </c>
      <c r="M608" t="str">
        <f t="shared" si="28"/>
        <v>04-2014</v>
      </c>
      <c r="N608">
        <f t="shared" si="29"/>
        <v>7.99</v>
      </c>
    </row>
    <row r="609" spans="3:14" x14ac:dyDescent="0.25">
      <c r="C609" t="str">
        <f>IF(COUNTBLANK(E609:K609) = 7,"",IF(AND(NOT(ISBLANK(E609)),COUNTBLANK(E609:K609) = 6),"3 Delete",IF(ISBLANK(E609),"2 Add",IF(SHA1Range(E609:K609) = "3bac32d116a9cea1452bcb923eac760f261a88e4","0 Original","1 Modify"))))</f>
        <v>0 Original</v>
      </c>
      <c r="D609" s="5" t="s">
        <v>2883</v>
      </c>
      <c r="E609" s="3">
        <v>3140</v>
      </c>
      <c r="F609" t="s">
        <v>1135</v>
      </c>
      <c r="G609" t="s">
        <v>687</v>
      </c>
      <c r="H609" s="9">
        <v>9.99</v>
      </c>
      <c r="I609" s="3">
        <v>1</v>
      </c>
      <c r="J609" s="5" t="s">
        <v>68</v>
      </c>
      <c r="K609" s="15">
        <v>41745.498194444444</v>
      </c>
      <c r="L609" s="20">
        <f t="shared" si="27"/>
        <v>41745</v>
      </c>
      <c r="M609" t="str">
        <f t="shared" si="28"/>
        <v>04-2014</v>
      </c>
      <c r="N609">
        <f t="shared" si="29"/>
        <v>9.99</v>
      </c>
    </row>
    <row r="610" spans="3:14" x14ac:dyDescent="0.25">
      <c r="C610" t="str">
        <f>IF(COUNTBLANK(E610:K610) = 7,"",IF(AND(NOT(ISBLANK(E610)),COUNTBLANK(E610:K610) = 6),"3 Delete",IF(ISBLANK(E610),"2 Add",IF(SHA1Range(E610:K610) = "39d51c7b9dc5a90d8f4b28057f08a584780ad531","0 Original","1 Modify"))))</f>
        <v>0 Original</v>
      </c>
      <c r="D610" s="5" t="s">
        <v>2884</v>
      </c>
      <c r="E610" s="3">
        <v>2687</v>
      </c>
      <c r="F610" t="s">
        <v>1136</v>
      </c>
      <c r="G610" t="s">
        <v>373</v>
      </c>
      <c r="H610" s="9">
        <v>7.99</v>
      </c>
      <c r="I610" s="3">
        <v>1</v>
      </c>
      <c r="J610" s="5" t="s">
        <v>68</v>
      </c>
      <c r="K610" s="15">
        <v>41745.590671296297</v>
      </c>
      <c r="L610" s="20">
        <f t="shared" si="27"/>
        <v>41745</v>
      </c>
      <c r="M610" t="str">
        <f t="shared" si="28"/>
        <v>04-2014</v>
      </c>
      <c r="N610">
        <f t="shared" si="29"/>
        <v>7.99</v>
      </c>
    </row>
    <row r="611" spans="3:14" x14ac:dyDescent="0.25">
      <c r="C611" t="str">
        <f>IF(COUNTBLANK(E611:K611) = 7,"",IF(AND(NOT(ISBLANK(E611)),COUNTBLANK(E611:K611) = 6),"3 Delete",IF(ISBLANK(E611),"2 Add",IF(SHA1Range(E611:K611) = "043ce4d6414bff655eceaa5f8663446aecae244e","0 Original","1 Modify"))))</f>
        <v>0 Original</v>
      </c>
      <c r="D611" s="5" t="s">
        <v>2885</v>
      </c>
      <c r="E611" s="3">
        <v>2688</v>
      </c>
      <c r="F611" t="s">
        <v>1136</v>
      </c>
      <c r="G611" t="s">
        <v>400</v>
      </c>
      <c r="H611" s="9">
        <v>4.99</v>
      </c>
      <c r="I611" s="3">
        <v>2</v>
      </c>
      <c r="J611" s="5" t="s">
        <v>68</v>
      </c>
      <c r="K611" s="15">
        <v>41745.590671296297</v>
      </c>
      <c r="L611" s="20">
        <f t="shared" si="27"/>
        <v>41745</v>
      </c>
      <c r="M611" t="str">
        <f t="shared" si="28"/>
        <v>04-2014</v>
      </c>
      <c r="N611">
        <f t="shared" si="29"/>
        <v>9.98</v>
      </c>
    </row>
    <row r="612" spans="3:14" x14ac:dyDescent="0.25">
      <c r="C612" t="str">
        <f>IF(COUNTBLANK(E612:K612) = 7,"",IF(AND(NOT(ISBLANK(E612)),COUNTBLANK(E612:K612) = 6),"3 Delete",IF(ISBLANK(E612),"2 Add",IF(SHA1Range(E612:K612) = "758020ba2be1e31efb46b7b1205c6cea783edc23","0 Original","1 Modify"))))</f>
        <v>0 Original</v>
      </c>
      <c r="D612" s="5" t="s">
        <v>2886</v>
      </c>
      <c r="E612" s="3">
        <v>2980</v>
      </c>
      <c r="F612" t="s">
        <v>1137</v>
      </c>
      <c r="G612" t="s">
        <v>948</v>
      </c>
      <c r="H612" s="9">
        <v>4.99</v>
      </c>
      <c r="I612" s="3">
        <v>1</v>
      </c>
      <c r="J612" s="5" t="s">
        <v>68</v>
      </c>
      <c r="K612" s="15">
        <v>41746.250254629631</v>
      </c>
      <c r="L612" s="20">
        <f t="shared" si="27"/>
        <v>41746</v>
      </c>
      <c r="M612" t="str">
        <f t="shared" si="28"/>
        <v>04-2014</v>
      </c>
      <c r="N612">
        <f t="shared" si="29"/>
        <v>4.99</v>
      </c>
    </row>
    <row r="613" spans="3:14" x14ac:dyDescent="0.25">
      <c r="C613" t="str">
        <f>IF(COUNTBLANK(E613:K613) = 7,"",IF(AND(NOT(ISBLANK(E613)),COUNTBLANK(E613:K613) = 6),"3 Delete",IF(ISBLANK(E613),"2 Add",IF(SHA1Range(E613:K613) = "a6c75fe136acc6bc1a422603c20a92df5c1c434b","0 Original","1 Modify"))))</f>
        <v>0 Original</v>
      </c>
      <c r="D613" s="5" t="s">
        <v>2887</v>
      </c>
      <c r="E613" s="3">
        <v>2981</v>
      </c>
      <c r="F613" t="s">
        <v>1137</v>
      </c>
      <c r="G613" t="s">
        <v>514</v>
      </c>
      <c r="H613" s="9">
        <v>6.99</v>
      </c>
      <c r="I613" s="3">
        <v>1</v>
      </c>
      <c r="J613" s="5" t="s">
        <v>68</v>
      </c>
      <c r="K613" s="15">
        <v>41746.250254629631</v>
      </c>
      <c r="L613" s="20">
        <f t="shared" si="27"/>
        <v>41746</v>
      </c>
      <c r="M613" t="str">
        <f t="shared" si="28"/>
        <v>04-2014</v>
      </c>
      <c r="N613">
        <f t="shared" si="29"/>
        <v>6.99</v>
      </c>
    </row>
    <row r="614" spans="3:14" x14ac:dyDescent="0.25">
      <c r="C614" t="str">
        <f>IF(COUNTBLANK(E614:K614) = 7,"",IF(AND(NOT(ISBLANK(E614)),COUNTBLANK(E614:K614) = 6),"3 Delete",IF(ISBLANK(E614),"2 Add",IF(SHA1Range(E614:K614) = "94427072083c0154bfd767c3cb5112a5b8c03fc5","0 Original","1 Modify"))))</f>
        <v>0 Original</v>
      </c>
      <c r="D614" s="5" t="s">
        <v>2888</v>
      </c>
      <c r="E614" s="3">
        <v>2586</v>
      </c>
      <c r="F614" t="s">
        <v>1138</v>
      </c>
      <c r="G614" t="s">
        <v>514</v>
      </c>
      <c r="H614" s="9">
        <v>6.99</v>
      </c>
      <c r="I614" s="3">
        <v>1</v>
      </c>
      <c r="J614" s="5" t="s">
        <v>68</v>
      </c>
      <c r="K614" s="15">
        <v>41746.349016203705</v>
      </c>
      <c r="L614" s="20">
        <f t="shared" si="27"/>
        <v>41746</v>
      </c>
      <c r="M614" t="str">
        <f t="shared" si="28"/>
        <v>04-2014</v>
      </c>
      <c r="N614">
        <f t="shared" si="29"/>
        <v>6.99</v>
      </c>
    </row>
    <row r="615" spans="3:14" x14ac:dyDescent="0.25">
      <c r="C615" t="str">
        <f>IF(COUNTBLANK(E615:K615) = 7,"",IF(AND(NOT(ISBLANK(E615)),COUNTBLANK(E615:K615) = 6),"3 Delete",IF(ISBLANK(E615),"2 Add",IF(SHA1Range(E615:K615) = "2ef76e15db48c64027c8d2aa4f94da8af3cff070","0 Original","1 Modify"))))</f>
        <v>0 Original</v>
      </c>
      <c r="D615" s="5" t="s">
        <v>2889</v>
      </c>
      <c r="E615" s="3">
        <v>2587</v>
      </c>
      <c r="F615" t="s">
        <v>1138</v>
      </c>
      <c r="G615" t="s">
        <v>687</v>
      </c>
      <c r="H615" s="9">
        <v>9.99</v>
      </c>
      <c r="I615" s="3">
        <v>1</v>
      </c>
      <c r="J615" s="5" t="s">
        <v>68</v>
      </c>
      <c r="K615" s="15">
        <v>41746.349016203705</v>
      </c>
      <c r="L615" s="20">
        <f t="shared" si="27"/>
        <v>41746</v>
      </c>
      <c r="M615" t="str">
        <f t="shared" si="28"/>
        <v>04-2014</v>
      </c>
      <c r="N615">
        <f t="shared" si="29"/>
        <v>9.99</v>
      </c>
    </row>
    <row r="616" spans="3:14" x14ac:dyDescent="0.25">
      <c r="C616" t="str">
        <f>IF(COUNTBLANK(E616:K616) = 7,"",IF(AND(NOT(ISBLANK(E616)),COUNTBLANK(E616:K616) = 6),"3 Delete",IF(ISBLANK(E616),"2 Add",IF(SHA1Range(E616:K616) = "c02572f67dba8a845e2d2b80d305dd4f62b3d6af","0 Original","1 Modify"))))</f>
        <v>0 Original</v>
      </c>
      <c r="D616" s="5" t="s">
        <v>2890</v>
      </c>
      <c r="E616" s="3">
        <v>371</v>
      </c>
      <c r="F616" t="s">
        <v>1139</v>
      </c>
      <c r="G616" t="s">
        <v>381</v>
      </c>
      <c r="H616" s="9">
        <v>8.99</v>
      </c>
      <c r="I616" s="3">
        <v>2</v>
      </c>
      <c r="J616" s="5" t="s">
        <v>68</v>
      </c>
      <c r="K616" s="15">
        <v>41746.520312499997</v>
      </c>
      <c r="L616" s="20">
        <f t="shared" si="27"/>
        <v>41746</v>
      </c>
      <c r="M616" t="str">
        <f t="shared" si="28"/>
        <v>04-2014</v>
      </c>
      <c r="N616">
        <f t="shared" si="29"/>
        <v>17.98</v>
      </c>
    </row>
    <row r="617" spans="3:14" x14ac:dyDescent="0.25">
      <c r="C617" t="str">
        <f>IF(COUNTBLANK(E617:K617) = 7,"",IF(AND(NOT(ISBLANK(E617)),COUNTBLANK(E617:K617) = 6),"3 Delete",IF(ISBLANK(E617),"2 Add",IF(SHA1Range(E617:K617) = "34ba1c38a1732654969dd63349606b4bf14d2f3a","0 Original","1 Modify"))))</f>
        <v>0 Original</v>
      </c>
      <c r="D617" s="5" t="s">
        <v>2891</v>
      </c>
      <c r="E617" s="3">
        <v>352</v>
      </c>
      <c r="F617" t="s">
        <v>1140</v>
      </c>
      <c r="G617" t="s">
        <v>634</v>
      </c>
      <c r="H617" s="9">
        <v>6.99</v>
      </c>
      <c r="I617" s="3">
        <v>2</v>
      </c>
      <c r="J617" s="5" t="s">
        <v>68</v>
      </c>
      <c r="K617" s="15">
        <v>41747.473229166666</v>
      </c>
      <c r="L617" s="20">
        <f t="shared" si="27"/>
        <v>41747</v>
      </c>
      <c r="M617" t="str">
        <f t="shared" si="28"/>
        <v>04-2014</v>
      </c>
      <c r="N617">
        <f t="shared" si="29"/>
        <v>13.98</v>
      </c>
    </row>
    <row r="618" spans="3:14" x14ac:dyDescent="0.25">
      <c r="C618" t="str">
        <f>IF(COUNTBLANK(E618:K618) = 7,"",IF(AND(NOT(ISBLANK(E618)),COUNTBLANK(E618:K618) = 6),"3 Delete",IF(ISBLANK(E618),"2 Add",IF(SHA1Range(E618:K618) = "ffcf33542e07a224c68dc9b9e2b73715adbc6f1c","0 Original","1 Modify"))))</f>
        <v>0 Original</v>
      </c>
      <c r="D618" s="5" t="s">
        <v>2892</v>
      </c>
      <c r="E618" s="3">
        <v>353</v>
      </c>
      <c r="F618" t="s">
        <v>1140</v>
      </c>
      <c r="G618" t="s">
        <v>761</v>
      </c>
      <c r="H618" s="9">
        <v>8.99</v>
      </c>
      <c r="I618" s="3">
        <v>1</v>
      </c>
      <c r="J618" s="5" t="s">
        <v>68</v>
      </c>
      <c r="K618" s="15">
        <v>41747.473229166666</v>
      </c>
      <c r="L618" s="20">
        <f t="shared" si="27"/>
        <v>41747</v>
      </c>
      <c r="M618" t="str">
        <f t="shared" si="28"/>
        <v>04-2014</v>
      </c>
      <c r="N618">
        <f t="shared" si="29"/>
        <v>8.99</v>
      </c>
    </row>
    <row r="619" spans="3:14" x14ac:dyDescent="0.25">
      <c r="C619" t="str">
        <f>IF(COUNTBLANK(E619:K619) = 7,"",IF(AND(NOT(ISBLANK(E619)),COUNTBLANK(E619:K619) = 6),"3 Delete",IF(ISBLANK(E619),"2 Add",IF(SHA1Range(E619:K619) = "866da0f56b138f3f72775345b0348d045b94b86c","0 Original","1 Modify"))))</f>
        <v>0 Original</v>
      </c>
      <c r="D619" s="5" t="s">
        <v>2893</v>
      </c>
      <c r="E619" s="3">
        <v>652</v>
      </c>
      <c r="F619" t="s">
        <v>1141</v>
      </c>
      <c r="G619" t="s">
        <v>749</v>
      </c>
      <c r="H619" s="9">
        <v>5.99</v>
      </c>
      <c r="I619" s="3">
        <v>1</v>
      </c>
      <c r="J619" s="5" t="s">
        <v>68</v>
      </c>
      <c r="K619" s="15">
        <v>41747.547407407408</v>
      </c>
      <c r="L619" s="20">
        <f t="shared" si="27"/>
        <v>41747</v>
      </c>
      <c r="M619" t="str">
        <f t="shared" si="28"/>
        <v>04-2014</v>
      </c>
      <c r="N619">
        <f t="shared" si="29"/>
        <v>5.99</v>
      </c>
    </row>
    <row r="620" spans="3:14" x14ac:dyDescent="0.25">
      <c r="C620" t="str">
        <f>IF(COUNTBLANK(E620:K620) = 7,"",IF(AND(NOT(ISBLANK(E620)),COUNTBLANK(E620:K620) = 6),"3 Delete",IF(ISBLANK(E620),"2 Add",IF(SHA1Range(E620:K620) = "d3de8b2801f6949618db459e0ffa0f59717d4191","0 Original","1 Modify"))))</f>
        <v>0 Original</v>
      </c>
      <c r="D620" s="5" t="s">
        <v>2894</v>
      </c>
      <c r="E620" s="3">
        <v>653</v>
      </c>
      <c r="F620" t="s">
        <v>1141</v>
      </c>
      <c r="G620" t="s">
        <v>832</v>
      </c>
      <c r="H620" s="9">
        <v>5.99</v>
      </c>
      <c r="I620" s="3">
        <v>1</v>
      </c>
      <c r="J620" s="5" t="s">
        <v>68</v>
      </c>
      <c r="K620" s="15">
        <v>41747.547407407408</v>
      </c>
      <c r="L620" s="20">
        <f t="shared" si="27"/>
        <v>41747</v>
      </c>
      <c r="M620" t="str">
        <f t="shared" si="28"/>
        <v>04-2014</v>
      </c>
      <c r="N620">
        <f t="shared" si="29"/>
        <v>5.99</v>
      </c>
    </row>
    <row r="621" spans="3:14" x14ac:dyDescent="0.25">
      <c r="C621" t="str">
        <f>IF(COUNTBLANK(E621:K621) = 7,"",IF(AND(NOT(ISBLANK(E621)),COUNTBLANK(E621:K621) = 6),"3 Delete",IF(ISBLANK(E621),"2 Add",IF(SHA1Range(E621:K621) = "d1b8be194ce0426d8528cc9f75bf04762fc46abe","0 Original","1 Modify"))))</f>
        <v>0 Original</v>
      </c>
      <c r="D621" s="5" t="s">
        <v>2895</v>
      </c>
      <c r="E621" s="3">
        <v>654</v>
      </c>
      <c r="F621" t="s">
        <v>1141</v>
      </c>
      <c r="G621" t="s">
        <v>711</v>
      </c>
      <c r="H621" s="9">
        <v>4.99</v>
      </c>
      <c r="I621" s="3">
        <v>1</v>
      </c>
      <c r="J621" s="5" t="s">
        <v>68</v>
      </c>
      <c r="K621" s="15">
        <v>41747.547407407408</v>
      </c>
      <c r="L621" s="20">
        <f t="shared" si="27"/>
        <v>41747</v>
      </c>
      <c r="M621" t="str">
        <f t="shared" si="28"/>
        <v>04-2014</v>
      </c>
      <c r="N621">
        <f t="shared" si="29"/>
        <v>4.99</v>
      </c>
    </row>
    <row r="622" spans="3:14" x14ac:dyDescent="0.25">
      <c r="C622" t="str">
        <f>IF(COUNTBLANK(E622:K622) = 7,"",IF(AND(NOT(ISBLANK(E622)),COUNTBLANK(E622:K622) = 6),"3 Delete",IF(ISBLANK(E622),"2 Add",IF(SHA1Range(E622:K622) = "a51aa7ecf28cba31d4dea7988b48095698a3253a","0 Original","1 Modify"))))</f>
        <v>0 Original</v>
      </c>
      <c r="D622" s="5" t="s">
        <v>2896</v>
      </c>
      <c r="E622" s="3">
        <v>655</v>
      </c>
      <c r="F622" t="s">
        <v>1141</v>
      </c>
      <c r="G622" t="s">
        <v>566</v>
      </c>
      <c r="H622" s="9">
        <v>6.99</v>
      </c>
      <c r="I622" s="3">
        <v>2</v>
      </c>
      <c r="J622" s="5" t="s">
        <v>68</v>
      </c>
      <c r="K622" s="15">
        <v>41747.547407407408</v>
      </c>
      <c r="L622" s="20">
        <f t="shared" si="27"/>
        <v>41747</v>
      </c>
      <c r="M622" t="str">
        <f t="shared" si="28"/>
        <v>04-2014</v>
      </c>
      <c r="N622">
        <f t="shared" si="29"/>
        <v>13.98</v>
      </c>
    </row>
    <row r="623" spans="3:14" x14ac:dyDescent="0.25">
      <c r="C623" t="str">
        <f>IF(COUNTBLANK(E623:K623) = 7,"",IF(AND(NOT(ISBLANK(E623)),COUNTBLANK(E623:K623) = 6),"3 Delete",IF(ISBLANK(E623),"2 Add",IF(SHA1Range(E623:K623) = "bc883de649ccde8c43e1b1c75c1379edd6469971","0 Original","1 Modify"))))</f>
        <v>0 Original</v>
      </c>
      <c r="D623" s="5" t="s">
        <v>2897</v>
      </c>
      <c r="E623" s="3">
        <v>1839</v>
      </c>
      <c r="F623" t="s">
        <v>1142</v>
      </c>
      <c r="G623" t="s">
        <v>585</v>
      </c>
      <c r="H623" s="9">
        <v>9.99</v>
      </c>
      <c r="I623" s="3">
        <v>1</v>
      </c>
      <c r="J623" s="5" t="s">
        <v>68</v>
      </c>
      <c r="K623" s="15">
        <v>41747.850706018522</v>
      </c>
      <c r="L623" s="20">
        <f t="shared" si="27"/>
        <v>41747</v>
      </c>
      <c r="M623" t="str">
        <f t="shared" si="28"/>
        <v>04-2014</v>
      </c>
      <c r="N623">
        <f t="shared" si="29"/>
        <v>9.99</v>
      </c>
    </row>
    <row r="624" spans="3:14" x14ac:dyDescent="0.25">
      <c r="C624" t="str">
        <f>IF(COUNTBLANK(E624:K624) = 7,"",IF(AND(NOT(ISBLANK(E624)),COUNTBLANK(E624:K624) = 6),"3 Delete",IF(ISBLANK(E624),"2 Add",IF(SHA1Range(E624:K624) = "6c163ec3c135a2d0ca877d359954ab6e6b128683","0 Original","1 Modify"))))</f>
        <v>0 Original</v>
      </c>
      <c r="D624" s="5" t="s">
        <v>2898</v>
      </c>
      <c r="E624" s="3">
        <v>1840</v>
      </c>
      <c r="F624" t="s">
        <v>1142</v>
      </c>
      <c r="G624" t="s">
        <v>528</v>
      </c>
      <c r="H624" s="9">
        <v>5.99</v>
      </c>
      <c r="I624" s="3">
        <v>1</v>
      </c>
      <c r="J624" s="5" t="s">
        <v>68</v>
      </c>
      <c r="K624" s="15">
        <v>41747.850706018522</v>
      </c>
      <c r="L624" s="20">
        <f t="shared" si="27"/>
        <v>41747</v>
      </c>
      <c r="M624" t="str">
        <f t="shared" si="28"/>
        <v>04-2014</v>
      </c>
      <c r="N624">
        <f t="shared" si="29"/>
        <v>5.99</v>
      </c>
    </row>
    <row r="625" spans="3:14" x14ac:dyDescent="0.25">
      <c r="C625" t="str">
        <f>IF(COUNTBLANK(E625:K625) = 7,"",IF(AND(NOT(ISBLANK(E625)),COUNTBLANK(E625:K625) = 6),"3 Delete",IF(ISBLANK(E625),"2 Add",IF(SHA1Range(E625:K625) = "190f13e3c1eba0a9419a6e8d53c2c9edcc0bff69","0 Original","1 Modify"))))</f>
        <v>0 Original</v>
      </c>
      <c r="D625" s="5" t="s">
        <v>2899</v>
      </c>
      <c r="E625" s="3">
        <v>1841</v>
      </c>
      <c r="F625" t="s">
        <v>1142</v>
      </c>
      <c r="G625" t="s">
        <v>854</v>
      </c>
      <c r="H625" s="9">
        <v>8.99</v>
      </c>
      <c r="I625" s="3">
        <v>1</v>
      </c>
      <c r="J625" s="5" t="s">
        <v>68</v>
      </c>
      <c r="K625" s="15">
        <v>41747.850706018522</v>
      </c>
      <c r="L625" s="20">
        <f t="shared" si="27"/>
        <v>41747</v>
      </c>
      <c r="M625" t="str">
        <f t="shared" si="28"/>
        <v>04-2014</v>
      </c>
      <c r="N625">
        <f t="shared" si="29"/>
        <v>8.99</v>
      </c>
    </row>
    <row r="626" spans="3:14" x14ac:dyDescent="0.25">
      <c r="C626" t="str">
        <f>IF(COUNTBLANK(E626:K626) = 7,"",IF(AND(NOT(ISBLANK(E626)),COUNTBLANK(E626:K626) = 6),"3 Delete",IF(ISBLANK(E626),"2 Add",IF(SHA1Range(E626:K626) = "63d7aada35f2f71b120c71faf6f944ee04a49926","0 Original","1 Modify"))))</f>
        <v>0 Original</v>
      </c>
      <c r="D626" s="5" t="s">
        <v>2900</v>
      </c>
      <c r="E626" s="3">
        <v>1842</v>
      </c>
      <c r="F626" t="s">
        <v>1142</v>
      </c>
      <c r="G626" t="s">
        <v>735</v>
      </c>
      <c r="H626" s="9">
        <v>4.99</v>
      </c>
      <c r="I626" s="3">
        <v>2</v>
      </c>
      <c r="J626" s="5" t="s">
        <v>68</v>
      </c>
      <c r="K626" s="15">
        <v>41747.850706018522</v>
      </c>
      <c r="L626" s="20">
        <f t="shared" si="27"/>
        <v>41747</v>
      </c>
      <c r="M626" t="str">
        <f t="shared" si="28"/>
        <v>04-2014</v>
      </c>
      <c r="N626">
        <f t="shared" si="29"/>
        <v>9.98</v>
      </c>
    </row>
    <row r="627" spans="3:14" x14ac:dyDescent="0.25">
      <c r="C627" t="str">
        <f>IF(COUNTBLANK(E627:K627) = 7,"",IF(AND(NOT(ISBLANK(E627)),COUNTBLANK(E627:K627) = 6),"3 Delete",IF(ISBLANK(E627),"2 Add",IF(SHA1Range(E627:K627) = "72580ff3516095200cc2a74c3ff96bcf3ae69aac","0 Original","1 Modify"))))</f>
        <v>0 Original</v>
      </c>
      <c r="D627" s="5" t="s">
        <v>2901</v>
      </c>
      <c r="E627" s="3">
        <v>1843</v>
      </c>
      <c r="F627" t="s">
        <v>1142</v>
      </c>
      <c r="G627" t="s">
        <v>507</v>
      </c>
      <c r="H627" s="9">
        <v>6.99</v>
      </c>
      <c r="I627" s="3">
        <v>2</v>
      </c>
      <c r="J627" s="5" t="s">
        <v>68</v>
      </c>
      <c r="K627" s="15">
        <v>41747.850706018522</v>
      </c>
      <c r="L627" s="20">
        <f t="shared" si="27"/>
        <v>41747</v>
      </c>
      <c r="M627" t="str">
        <f t="shared" si="28"/>
        <v>04-2014</v>
      </c>
      <c r="N627">
        <f t="shared" si="29"/>
        <v>13.98</v>
      </c>
    </row>
    <row r="628" spans="3:14" x14ac:dyDescent="0.25">
      <c r="C628" t="str">
        <f>IF(COUNTBLANK(E628:K628) = 7,"",IF(AND(NOT(ISBLANK(E628)),COUNTBLANK(E628:K628) = 6),"3 Delete",IF(ISBLANK(E628),"2 Add",IF(SHA1Range(E628:K628) = "c84a7bec028bc7ffe4c95764dd2f31305c930bf8","0 Original","1 Modify"))))</f>
        <v>0 Original</v>
      </c>
      <c r="D628" s="5" t="s">
        <v>2902</v>
      </c>
      <c r="E628" s="3">
        <v>1844</v>
      </c>
      <c r="F628" t="s">
        <v>1142</v>
      </c>
      <c r="G628" t="s">
        <v>697</v>
      </c>
      <c r="H628" s="9">
        <v>5.99</v>
      </c>
      <c r="I628" s="3">
        <v>2</v>
      </c>
      <c r="J628" s="5" t="s">
        <v>68</v>
      </c>
      <c r="K628" s="15">
        <v>41747.850706018522</v>
      </c>
      <c r="L628" s="20">
        <f t="shared" si="27"/>
        <v>41747</v>
      </c>
      <c r="M628" t="str">
        <f t="shared" si="28"/>
        <v>04-2014</v>
      </c>
      <c r="N628">
        <f t="shared" si="29"/>
        <v>11.98</v>
      </c>
    </row>
    <row r="629" spans="3:14" x14ac:dyDescent="0.25">
      <c r="C629" t="str">
        <f>IF(COUNTBLANK(E629:K629) = 7,"",IF(AND(NOT(ISBLANK(E629)),COUNTBLANK(E629:K629) = 6),"3 Delete",IF(ISBLANK(E629),"2 Add",IF(SHA1Range(E629:K629) = "5aa936ec68f7f7596838d03515d3c1f0b8ab3e96","0 Original","1 Modify"))))</f>
        <v>0 Original</v>
      </c>
      <c r="D629" s="5" t="s">
        <v>2903</v>
      </c>
      <c r="E629" s="3">
        <v>2269</v>
      </c>
      <c r="F629" t="s">
        <v>1143</v>
      </c>
      <c r="G629" t="s">
        <v>684</v>
      </c>
      <c r="H629" s="9">
        <v>8.99</v>
      </c>
      <c r="I629" s="3">
        <v>1</v>
      </c>
      <c r="J629" s="5" t="s">
        <v>68</v>
      </c>
      <c r="K629" s="15">
        <v>41748.316400462965</v>
      </c>
      <c r="L629" s="20">
        <f t="shared" si="27"/>
        <v>41748</v>
      </c>
      <c r="M629" t="str">
        <f t="shared" si="28"/>
        <v>04-2014</v>
      </c>
      <c r="N629">
        <f t="shared" si="29"/>
        <v>8.99</v>
      </c>
    </row>
    <row r="630" spans="3:14" x14ac:dyDescent="0.25">
      <c r="C630" t="str">
        <f>IF(COUNTBLANK(E630:K630) = 7,"",IF(AND(NOT(ISBLANK(E630)),COUNTBLANK(E630:K630) = 6),"3 Delete",IF(ISBLANK(E630),"2 Add",IF(SHA1Range(E630:K630) = "731f5d473da0b862e46f51edcd60082199249ae5","0 Original","1 Modify"))))</f>
        <v>0 Original</v>
      </c>
      <c r="D630" s="5" t="s">
        <v>2904</v>
      </c>
      <c r="E630" s="3">
        <v>3584</v>
      </c>
      <c r="F630" t="s">
        <v>1144</v>
      </c>
      <c r="G630" t="s">
        <v>579</v>
      </c>
      <c r="H630" s="9">
        <v>9.99</v>
      </c>
      <c r="I630" s="3">
        <v>1</v>
      </c>
      <c r="J630" s="5" t="s">
        <v>68</v>
      </c>
      <c r="K630" s="15">
        <v>41750.882118055553</v>
      </c>
      <c r="L630" s="20">
        <f t="shared" si="27"/>
        <v>41750</v>
      </c>
      <c r="M630" t="str">
        <f t="shared" si="28"/>
        <v>04-2014</v>
      </c>
      <c r="N630">
        <f t="shared" si="29"/>
        <v>9.99</v>
      </c>
    </row>
    <row r="631" spans="3:14" x14ac:dyDescent="0.25">
      <c r="C631" t="str">
        <f>IF(COUNTBLANK(E631:K631) = 7,"",IF(AND(NOT(ISBLANK(E631)),COUNTBLANK(E631:K631) = 6),"3 Delete",IF(ISBLANK(E631),"2 Add",IF(SHA1Range(E631:K631) = "c969ad2b62de510c4e0a69878231cd61a34a2398","0 Original","1 Modify"))))</f>
        <v>0 Original</v>
      </c>
      <c r="D631" s="5" t="s">
        <v>2905</v>
      </c>
      <c r="E631" s="3">
        <v>3585</v>
      </c>
      <c r="F631" t="s">
        <v>1144</v>
      </c>
      <c r="G631" t="s">
        <v>400</v>
      </c>
      <c r="H631" s="9">
        <v>4.99</v>
      </c>
      <c r="I631" s="3">
        <v>1</v>
      </c>
      <c r="J631" s="5" t="s">
        <v>68</v>
      </c>
      <c r="K631" s="15">
        <v>41750.882118055553</v>
      </c>
      <c r="L631" s="20">
        <f t="shared" si="27"/>
        <v>41750</v>
      </c>
      <c r="M631" t="str">
        <f t="shared" si="28"/>
        <v>04-2014</v>
      </c>
      <c r="N631">
        <f t="shared" si="29"/>
        <v>4.99</v>
      </c>
    </row>
    <row r="632" spans="3:14" x14ac:dyDescent="0.25">
      <c r="C632" t="str">
        <f>IF(COUNTBLANK(E632:K632) = 7,"",IF(AND(NOT(ISBLANK(E632)),COUNTBLANK(E632:K632) = 6),"3 Delete",IF(ISBLANK(E632),"2 Add",IF(SHA1Range(E632:K632) = "c723734c11023821c56ee2edf213e2fce540a73e","0 Original","1 Modify"))))</f>
        <v>0 Original</v>
      </c>
      <c r="D632" s="5" t="s">
        <v>2906</v>
      </c>
      <c r="E632" s="3">
        <v>2903</v>
      </c>
      <c r="F632" t="s">
        <v>1145</v>
      </c>
      <c r="G632" t="s">
        <v>749</v>
      </c>
      <c r="H632" s="9">
        <v>5.99</v>
      </c>
      <c r="I632" s="3">
        <v>2</v>
      </c>
      <c r="J632" s="5" t="s">
        <v>68</v>
      </c>
      <c r="K632" s="15">
        <v>41751.05641203704</v>
      </c>
      <c r="L632" s="20">
        <f t="shared" si="27"/>
        <v>41751</v>
      </c>
      <c r="M632" t="str">
        <f t="shared" si="28"/>
        <v>04-2014</v>
      </c>
      <c r="N632">
        <f t="shared" si="29"/>
        <v>11.98</v>
      </c>
    </row>
    <row r="633" spans="3:14" x14ac:dyDescent="0.25">
      <c r="C633" t="str">
        <f>IF(COUNTBLANK(E633:K633) = 7,"",IF(AND(NOT(ISBLANK(E633)),COUNTBLANK(E633:K633) = 6),"3 Delete",IF(ISBLANK(E633),"2 Add",IF(SHA1Range(E633:K633) = "7adb1a7836726e2a7e77b6bb06a10004b52bc25d","0 Original","1 Modify"))))</f>
        <v>0 Original</v>
      </c>
      <c r="D633" s="5" t="s">
        <v>2907</v>
      </c>
      <c r="E633" s="3">
        <v>1142</v>
      </c>
      <c r="F633" t="s">
        <v>1146</v>
      </c>
      <c r="G633" t="s">
        <v>514</v>
      </c>
      <c r="H633" s="9">
        <v>6.99</v>
      </c>
      <c r="I633" s="3">
        <v>2</v>
      </c>
      <c r="J633" s="5" t="s">
        <v>68</v>
      </c>
      <c r="K633" s="15">
        <v>41752.013379629629</v>
      </c>
      <c r="L633" s="20">
        <f t="shared" si="27"/>
        <v>41752</v>
      </c>
      <c r="M633" t="str">
        <f t="shared" si="28"/>
        <v>04-2014</v>
      </c>
      <c r="N633">
        <f t="shared" si="29"/>
        <v>13.98</v>
      </c>
    </row>
    <row r="634" spans="3:14" x14ac:dyDescent="0.25">
      <c r="C634" t="str">
        <f>IF(COUNTBLANK(E634:K634) = 7,"",IF(AND(NOT(ISBLANK(E634)),COUNTBLANK(E634:K634) = 6),"3 Delete",IF(ISBLANK(E634),"2 Add",IF(SHA1Range(E634:K634) = "5b1ac1fbda29b0c227be954a1f05e186c7906f09","0 Original","1 Modify"))))</f>
        <v>0 Original</v>
      </c>
      <c r="D634" s="5" t="s">
        <v>2908</v>
      </c>
      <c r="E634" s="3">
        <v>1143</v>
      </c>
      <c r="F634" t="s">
        <v>1146</v>
      </c>
      <c r="G634" t="s">
        <v>570</v>
      </c>
      <c r="H634" s="9">
        <v>6.99</v>
      </c>
      <c r="I634" s="3">
        <v>1</v>
      </c>
      <c r="J634" s="5" t="s">
        <v>68</v>
      </c>
      <c r="K634" s="15">
        <v>41752.013379629629</v>
      </c>
      <c r="L634" s="20">
        <f t="shared" si="27"/>
        <v>41752</v>
      </c>
      <c r="M634" t="str">
        <f t="shared" si="28"/>
        <v>04-2014</v>
      </c>
      <c r="N634">
        <f t="shared" si="29"/>
        <v>6.99</v>
      </c>
    </row>
    <row r="635" spans="3:14" x14ac:dyDescent="0.25">
      <c r="C635" t="str">
        <f>IF(COUNTBLANK(E635:K635) = 7,"",IF(AND(NOT(ISBLANK(E635)),COUNTBLANK(E635:K635) = 6),"3 Delete",IF(ISBLANK(E635),"2 Add",IF(SHA1Range(E635:K635) = "5eb00af65a915c51edef014a363b430f3e9b5cf7","0 Original","1 Modify"))))</f>
        <v>0 Original</v>
      </c>
      <c r="D635" s="5" t="s">
        <v>2909</v>
      </c>
      <c r="E635" s="3">
        <v>1361</v>
      </c>
      <c r="F635" t="s">
        <v>1147</v>
      </c>
      <c r="G635" t="s">
        <v>781</v>
      </c>
      <c r="H635" s="9">
        <v>5.99</v>
      </c>
      <c r="I635" s="3">
        <v>1</v>
      </c>
      <c r="J635" s="5" t="s">
        <v>68</v>
      </c>
      <c r="K635" s="15">
        <v>41752.286215277774</v>
      </c>
      <c r="L635" s="20">
        <f t="shared" si="27"/>
        <v>41752</v>
      </c>
      <c r="M635" t="str">
        <f t="shared" si="28"/>
        <v>04-2014</v>
      </c>
      <c r="N635">
        <f t="shared" si="29"/>
        <v>5.99</v>
      </c>
    </row>
    <row r="636" spans="3:14" x14ac:dyDescent="0.25">
      <c r="C636" t="str">
        <f>IF(COUNTBLANK(E636:K636) = 7,"",IF(AND(NOT(ISBLANK(E636)),COUNTBLANK(E636:K636) = 6),"3 Delete",IF(ISBLANK(E636),"2 Add",IF(SHA1Range(E636:K636) = "3425efce8a02801f50ababba84ae7d32f5cf8a0e","0 Original","1 Modify"))))</f>
        <v>0 Original</v>
      </c>
      <c r="D636" s="5" t="s">
        <v>2910</v>
      </c>
      <c r="E636" s="3">
        <v>1362</v>
      </c>
      <c r="F636" t="s">
        <v>1147</v>
      </c>
      <c r="G636" t="s">
        <v>680</v>
      </c>
      <c r="H636" s="9">
        <v>8.99</v>
      </c>
      <c r="I636" s="3">
        <v>1</v>
      </c>
      <c r="J636" s="5" t="s">
        <v>68</v>
      </c>
      <c r="K636" s="15">
        <v>41752.286215277774</v>
      </c>
      <c r="L636" s="20">
        <f t="shared" si="27"/>
        <v>41752</v>
      </c>
      <c r="M636" t="str">
        <f t="shared" si="28"/>
        <v>04-2014</v>
      </c>
      <c r="N636">
        <f t="shared" si="29"/>
        <v>8.99</v>
      </c>
    </row>
    <row r="637" spans="3:14" x14ac:dyDescent="0.25">
      <c r="C637" t="str">
        <f>IF(COUNTBLANK(E637:K637) = 7,"",IF(AND(NOT(ISBLANK(E637)),COUNTBLANK(E637:K637) = 6),"3 Delete",IF(ISBLANK(E637),"2 Add",IF(SHA1Range(E637:K637) = "3db98def84fcc08ca332f55cd55a5a78197446f1","0 Original","1 Modify"))))</f>
        <v>0 Original</v>
      </c>
      <c r="D637" s="5" t="s">
        <v>2911</v>
      </c>
      <c r="E637" s="3">
        <v>1363</v>
      </c>
      <c r="F637" t="s">
        <v>1147</v>
      </c>
      <c r="G637" t="s">
        <v>657</v>
      </c>
      <c r="H637" s="9">
        <v>9.99</v>
      </c>
      <c r="I637" s="3">
        <v>1</v>
      </c>
      <c r="J637" s="5" t="s">
        <v>68</v>
      </c>
      <c r="K637" s="15">
        <v>41752.286215277774</v>
      </c>
      <c r="L637" s="20">
        <f t="shared" si="27"/>
        <v>41752</v>
      </c>
      <c r="M637" t="str">
        <f t="shared" si="28"/>
        <v>04-2014</v>
      </c>
      <c r="N637">
        <f t="shared" si="29"/>
        <v>9.99</v>
      </c>
    </row>
    <row r="638" spans="3:14" x14ac:dyDescent="0.25">
      <c r="C638" t="str">
        <f>IF(COUNTBLANK(E638:K638) = 7,"",IF(AND(NOT(ISBLANK(E638)),COUNTBLANK(E638:K638) = 6),"3 Delete",IF(ISBLANK(E638),"2 Add",IF(SHA1Range(E638:K638) = "96846b6705c441f6a17399aa2b488d4f786a0f2c","0 Original","1 Modify"))))</f>
        <v>0 Original</v>
      </c>
      <c r="D638" s="5" t="s">
        <v>2912</v>
      </c>
      <c r="E638" s="3">
        <v>1364</v>
      </c>
      <c r="F638" t="s">
        <v>1147</v>
      </c>
      <c r="G638" t="s">
        <v>560</v>
      </c>
      <c r="H638" s="9">
        <v>8.99</v>
      </c>
      <c r="I638" s="3">
        <v>1</v>
      </c>
      <c r="J638" s="5" t="s">
        <v>68</v>
      </c>
      <c r="K638" s="15">
        <v>41752.286215277774</v>
      </c>
      <c r="L638" s="20">
        <f t="shared" si="27"/>
        <v>41752</v>
      </c>
      <c r="M638" t="str">
        <f t="shared" si="28"/>
        <v>04-2014</v>
      </c>
      <c r="N638">
        <f t="shared" si="29"/>
        <v>8.99</v>
      </c>
    </row>
    <row r="639" spans="3:14" x14ac:dyDescent="0.25">
      <c r="C639" t="str">
        <f>IF(COUNTBLANK(E639:K639) = 7,"",IF(AND(NOT(ISBLANK(E639)),COUNTBLANK(E639:K639) = 6),"3 Delete",IF(ISBLANK(E639),"2 Add",IF(SHA1Range(E639:K639) = "11dc8d389c97fa7ab3d3a6f60571e2e8876c8045","0 Original","1 Modify"))))</f>
        <v>0 Original</v>
      </c>
      <c r="D639" s="5" t="s">
        <v>2913</v>
      </c>
      <c r="E639" s="3">
        <v>1365</v>
      </c>
      <c r="F639" t="s">
        <v>1147</v>
      </c>
      <c r="G639" t="s">
        <v>585</v>
      </c>
      <c r="H639" s="9">
        <v>9.99</v>
      </c>
      <c r="I639" s="3">
        <v>1</v>
      </c>
      <c r="J639" s="5" t="s">
        <v>68</v>
      </c>
      <c r="K639" s="15">
        <v>41752.286215277774</v>
      </c>
      <c r="L639" s="20">
        <f t="shared" si="27"/>
        <v>41752</v>
      </c>
      <c r="M639" t="str">
        <f t="shared" si="28"/>
        <v>04-2014</v>
      </c>
      <c r="N639">
        <f t="shared" si="29"/>
        <v>9.99</v>
      </c>
    </row>
    <row r="640" spans="3:14" x14ac:dyDescent="0.25">
      <c r="C640" t="str">
        <f>IF(COUNTBLANK(E640:K640) = 7,"",IF(AND(NOT(ISBLANK(E640)),COUNTBLANK(E640:K640) = 6),"3 Delete",IF(ISBLANK(E640),"2 Add",IF(SHA1Range(E640:K640) = "dd0d76fa55713b9b09addeec9cfabbf2effa40f0","0 Original","1 Modify"))))</f>
        <v>0 Original</v>
      </c>
      <c r="D640" s="5" t="s">
        <v>2914</v>
      </c>
      <c r="E640" s="3">
        <v>3684</v>
      </c>
      <c r="F640" t="s">
        <v>1148</v>
      </c>
      <c r="G640" t="s">
        <v>373</v>
      </c>
      <c r="H640" s="9">
        <v>7.99</v>
      </c>
      <c r="I640" s="3">
        <v>1</v>
      </c>
      <c r="J640" s="5" t="s">
        <v>68</v>
      </c>
      <c r="K640" s="15">
        <v>41753.272372685184</v>
      </c>
      <c r="L640" s="20">
        <f t="shared" si="27"/>
        <v>41753</v>
      </c>
      <c r="M640" t="str">
        <f t="shared" si="28"/>
        <v>04-2014</v>
      </c>
      <c r="N640">
        <f t="shared" si="29"/>
        <v>7.99</v>
      </c>
    </row>
    <row r="641" spans="3:14" x14ac:dyDescent="0.25">
      <c r="C641" t="str">
        <f>IF(COUNTBLANK(E641:K641) = 7,"",IF(AND(NOT(ISBLANK(E641)),COUNTBLANK(E641:K641) = 6),"3 Delete",IF(ISBLANK(E641),"2 Add",IF(SHA1Range(E641:K641) = "4885b187c5cc5d0788269a4734e6dc9e14243528","0 Original","1 Modify"))))</f>
        <v>0 Original</v>
      </c>
      <c r="D641" s="5" t="s">
        <v>2915</v>
      </c>
      <c r="E641" s="3">
        <v>3685</v>
      </c>
      <c r="F641" t="s">
        <v>1148</v>
      </c>
      <c r="G641" t="s">
        <v>642</v>
      </c>
      <c r="H641" s="9">
        <v>9.99</v>
      </c>
      <c r="I641" s="3">
        <v>2</v>
      </c>
      <c r="J641" s="5" t="s">
        <v>68</v>
      </c>
      <c r="K641" s="15">
        <v>41753.272372685184</v>
      </c>
      <c r="L641" s="20">
        <f t="shared" si="27"/>
        <v>41753</v>
      </c>
      <c r="M641" t="str">
        <f t="shared" si="28"/>
        <v>04-2014</v>
      </c>
      <c r="N641">
        <f t="shared" si="29"/>
        <v>19.98</v>
      </c>
    </row>
    <row r="642" spans="3:14" x14ac:dyDescent="0.25">
      <c r="C642" t="str">
        <f>IF(COUNTBLANK(E642:K642) = 7,"",IF(AND(NOT(ISBLANK(E642)),COUNTBLANK(E642:K642) = 6),"3 Delete",IF(ISBLANK(E642),"2 Add",IF(SHA1Range(E642:K642) = "4e69325e259fa2a53f250b504072826ef06b28bf","0 Original","1 Modify"))))</f>
        <v>0 Original</v>
      </c>
      <c r="D642" s="5" t="s">
        <v>2916</v>
      </c>
      <c r="E642" s="3">
        <v>3686</v>
      </c>
      <c r="F642" t="s">
        <v>1148</v>
      </c>
      <c r="G642" t="s">
        <v>687</v>
      </c>
      <c r="H642" s="9">
        <v>9.99</v>
      </c>
      <c r="I642" s="3">
        <v>1</v>
      </c>
      <c r="J642" s="5" t="s">
        <v>68</v>
      </c>
      <c r="K642" s="15">
        <v>41753.272372685184</v>
      </c>
      <c r="L642" s="20">
        <f t="shared" si="27"/>
        <v>41753</v>
      </c>
      <c r="M642" t="str">
        <f t="shared" si="28"/>
        <v>04-2014</v>
      </c>
      <c r="N642">
        <f t="shared" si="29"/>
        <v>9.99</v>
      </c>
    </row>
    <row r="643" spans="3:14" x14ac:dyDescent="0.25">
      <c r="C643" t="str">
        <f>IF(COUNTBLANK(E643:K643) = 7,"",IF(AND(NOT(ISBLANK(E643)),COUNTBLANK(E643:K643) = 6),"3 Delete",IF(ISBLANK(E643),"2 Add",IF(SHA1Range(E643:K643) = "927e85220ec87d43ae86d37232406595bc26fa63","0 Original","1 Modify"))))</f>
        <v>0 Original</v>
      </c>
      <c r="D643" s="5" t="s">
        <v>2917</v>
      </c>
      <c r="E643" s="3">
        <v>3030</v>
      </c>
      <c r="F643" t="s">
        <v>1149</v>
      </c>
      <c r="G643" t="s">
        <v>749</v>
      </c>
      <c r="H643" s="9">
        <v>5.99</v>
      </c>
      <c r="I643" s="3">
        <v>1</v>
      </c>
      <c r="J643" s="5" t="s">
        <v>68</v>
      </c>
      <c r="K643" s="15">
        <v>41755.384756944448</v>
      </c>
      <c r="L643" s="20">
        <f t="shared" ref="L643:L706" si="30">DATEVALUE(LEFT(F643,10))</f>
        <v>41755</v>
      </c>
      <c r="M643" t="str">
        <f t="shared" ref="M643:M706" si="31">TEXT(L643,"mm-yyyy")</f>
        <v>04-2014</v>
      </c>
      <c r="N643">
        <f t="shared" ref="N643:N706" si="32">H643*I643</f>
        <v>5.99</v>
      </c>
    </row>
    <row r="644" spans="3:14" x14ac:dyDescent="0.25">
      <c r="C644" t="str">
        <f>IF(COUNTBLANK(E644:K644) = 7,"",IF(AND(NOT(ISBLANK(E644)),COUNTBLANK(E644:K644) = 6),"3 Delete",IF(ISBLANK(E644),"2 Add",IF(SHA1Range(E644:K644) = "419c018416b6db60d7a626d86d02431cc9402299","0 Original","1 Modify"))))</f>
        <v>0 Original</v>
      </c>
      <c r="D644" s="5" t="s">
        <v>2918</v>
      </c>
      <c r="E644" s="3">
        <v>3031</v>
      </c>
      <c r="F644" t="s">
        <v>1149</v>
      </c>
      <c r="G644" t="s">
        <v>400</v>
      </c>
      <c r="H644" s="9">
        <v>4.99</v>
      </c>
      <c r="I644" s="3">
        <v>1</v>
      </c>
      <c r="J644" s="5" t="s">
        <v>68</v>
      </c>
      <c r="K644" s="15">
        <v>41755.384756944448</v>
      </c>
      <c r="L644" s="20">
        <f t="shared" si="30"/>
        <v>41755</v>
      </c>
      <c r="M644" t="str">
        <f t="shared" si="31"/>
        <v>04-2014</v>
      </c>
      <c r="N644">
        <f t="shared" si="32"/>
        <v>4.99</v>
      </c>
    </row>
    <row r="645" spans="3:14" x14ac:dyDescent="0.25">
      <c r="C645" t="str">
        <f>IF(COUNTBLANK(E645:K645) = 7,"",IF(AND(NOT(ISBLANK(E645)),COUNTBLANK(E645:K645) = 6),"3 Delete",IF(ISBLANK(E645),"2 Add",IF(SHA1Range(E645:K645) = "049faf88d0a6901e719fe2085b9161dc296495f0","0 Original","1 Modify"))))</f>
        <v>0 Original</v>
      </c>
      <c r="D645" s="5" t="s">
        <v>2919</v>
      </c>
      <c r="E645" s="3">
        <v>3032</v>
      </c>
      <c r="F645" t="s">
        <v>1149</v>
      </c>
      <c r="G645" t="s">
        <v>579</v>
      </c>
      <c r="H645" s="9">
        <v>9.99</v>
      </c>
      <c r="I645" s="3">
        <v>1</v>
      </c>
      <c r="J645" s="5" t="s">
        <v>68</v>
      </c>
      <c r="K645" s="15">
        <v>41755.384756944448</v>
      </c>
      <c r="L645" s="20">
        <f t="shared" si="30"/>
        <v>41755</v>
      </c>
      <c r="M645" t="str">
        <f t="shared" si="31"/>
        <v>04-2014</v>
      </c>
      <c r="N645">
        <f t="shared" si="32"/>
        <v>9.99</v>
      </c>
    </row>
    <row r="646" spans="3:14" x14ac:dyDescent="0.25">
      <c r="C646" t="str">
        <f>IF(COUNTBLANK(E646:K646) = 7,"",IF(AND(NOT(ISBLANK(E646)),COUNTBLANK(E646:K646) = 6),"3 Delete",IF(ISBLANK(E646),"2 Add",IF(SHA1Range(E646:K646) = "756662af5d9590dc65eacf021bd8b4b5eb438ca3","0 Original","1 Modify"))))</f>
        <v>0 Original</v>
      </c>
      <c r="D646" s="5" t="s">
        <v>2920</v>
      </c>
      <c r="E646" s="3">
        <v>2279</v>
      </c>
      <c r="F646" t="s">
        <v>1150</v>
      </c>
      <c r="G646" t="s">
        <v>396</v>
      </c>
      <c r="H646" s="9">
        <v>8.99</v>
      </c>
      <c r="I646" s="3">
        <v>2</v>
      </c>
      <c r="J646" s="5" t="s">
        <v>68</v>
      </c>
      <c r="K646" s="15">
        <v>41755.734664351854</v>
      </c>
      <c r="L646" s="20">
        <f t="shared" si="30"/>
        <v>41755</v>
      </c>
      <c r="M646" t="str">
        <f t="shared" si="31"/>
        <v>04-2014</v>
      </c>
      <c r="N646">
        <f t="shared" si="32"/>
        <v>17.98</v>
      </c>
    </row>
    <row r="647" spans="3:14" x14ac:dyDescent="0.25">
      <c r="C647" t="str">
        <f>IF(COUNTBLANK(E647:K647) = 7,"",IF(AND(NOT(ISBLANK(E647)),COUNTBLANK(E647:K647) = 6),"3 Delete",IF(ISBLANK(E647),"2 Add",IF(SHA1Range(E647:K647) = "db066fbe4170c8be97184bc85db9c5f09bc456fa","0 Original","1 Modify"))))</f>
        <v>0 Original</v>
      </c>
      <c r="D647" s="5" t="s">
        <v>2921</v>
      </c>
      <c r="E647" s="3">
        <v>2280</v>
      </c>
      <c r="F647" t="s">
        <v>1150</v>
      </c>
      <c r="G647" t="s">
        <v>528</v>
      </c>
      <c r="H647" s="9">
        <v>5.99</v>
      </c>
      <c r="I647" s="3">
        <v>2</v>
      </c>
      <c r="J647" s="5" t="s">
        <v>68</v>
      </c>
      <c r="K647" s="15">
        <v>41755.734664351854</v>
      </c>
      <c r="L647" s="20">
        <f t="shared" si="30"/>
        <v>41755</v>
      </c>
      <c r="M647" t="str">
        <f t="shared" si="31"/>
        <v>04-2014</v>
      </c>
      <c r="N647">
        <f t="shared" si="32"/>
        <v>11.98</v>
      </c>
    </row>
    <row r="648" spans="3:14" x14ac:dyDescent="0.25">
      <c r="C648" t="str">
        <f>IF(COUNTBLANK(E648:K648) = 7,"",IF(AND(NOT(ISBLANK(E648)),COUNTBLANK(E648:K648) = 6),"3 Delete",IF(ISBLANK(E648),"2 Add",IF(SHA1Range(E648:K648) = "7590bacf9024cc899ee2458505759f5f3121b1ff","0 Original","1 Modify"))))</f>
        <v>0 Original</v>
      </c>
      <c r="D648" s="5" t="s">
        <v>2922</v>
      </c>
      <c r="E648" s="3">
        <v>278</v>
      </c>
      <c r="F648" t="s">
        <v>1151</v>
      </c>
      <c r="G648" t="s">
        <v>496</v>
      </c>
      <c r="H648" s="9">
        <v>8.99</v>
      </c>
      <c r="I648" s="3">
        <v>1</v>
      </c>
      <c r="J648" s="5" t="s">
        <v>68</v>
      </c>
      <c r="K648" s="15">
        <v>41755.745636574073</v>
      </c>
      <c r="L648" s="20">
        <f t="shared" si="30"/>
        <v>41755</v>
      </c>
      <c r="M648" t="str">
        <f t="shared" si="31"/>
        <v>04-2014</v>
      </c>
      <c r="N648">
        <f t="shared" si="32"/>
        <v>8.99</v>
      </c>
    </row>
    <row r="649" spans="3:14" x14ac:dyDescent="0.25">
      <c r="C649" t="str">
        <f>IF(COUNTBLANK(E649:K649) = 7,"",IF(AND(NOT(ISBLANK(E649)),COUNTBLANK(E649:K649) = 6),"3 Delete",IF(ISBLANK(E649),"2 Add",IF(SHA1Range(E649:K649) = "abe35a80c067ef65b470365bed61d0ddbb47a627","0 Original","1 Modify"))))</f>
        <v>0 Original</v>
      </c>
      <c r="D649" s="5" t="s">
        <v>2923</v>
      </c>
      <c r="E649" s="3">
        <v>279</v>
      </c>
      <c r="F649" t="s">
        <v>1151</v>
      </c>
      <c r="G649" t="s">
        <v>461</v>
      </c>
      <c r="H649" s="9">
        <v>6.99</v>
      </c>
      <c r="I649" s="3">
        <v>2</v>
      </c>
      <c r="J649" s="5" t="s">
        <v>68</v>
      </c>
      <c r="K649" s="15">
        <v>41755.745636574073</v>
      </c>
      <c r="L649" s="20">
        <f t="shared" si="30"/>
        <v>41755</v>
      </c>
      <c r="M649" t="str">
        <f t="shared" si="31"/>
        <v>04-2014</v>
      </c>
      <c r="N649">
        <f t="shared" si="32"/>
        <v>13.98</v>
      </c>
    </row>
    <row r="650" spans="3:14" x14ac:dyDescent="0.25">
      <c r="C650" t="str">
        <f>IF(COUNTBLANK(E650:K650) = 7,"",IF(AND(NOT(ISBLANK(E650)),COUNTBLANK(E650:K650) = 6),"3 Delete",IF(ISBLANK(E650),"2 Add",IF(SHA1Range(E650:K650) = "b4f5f1ae85460fc1b2c42c85c96b0e4df9362e73","0 Original","1 Modify"))))</f>
        <v>0 Original</v>
      </c>
      <c r="D650" s="5" t="s">
        <v>2924</v>
      </c>
      <c r="E650" s="3">
        <v>280</v>
      </c>
      <c r="F650" t="s">
        <v>1151</v>
      </c>
      <c r="G650" t="s">
        <v>829</v>
      </c>
      <c r="H650" s="9">
        <v>5.99</v>
      </c>
      <c r="I650" s="3">
        <v>2</v>
      </c>
      <c r="J650" s="5" t="s">
        <v>68</v>
      </c>
      <c r="K650" s="15">
        <v>41755.745636574073</v>
      </c>
      <c r="L650" s="20">
        <f t="shared" si="30"/>
        <v>41755</v>
      </c>
      <c r="M650" t="str">
        <f t="shared" si="31"/>
        <v>04-2014</v>
      </c>
      <c r="N650">
        <f t="shared" si="32"/>
        <v>11.98</v>
      </c>
    </row>
    <row r="651" spans="3:14" x14ac:dyDescent="0.25">
      <c r="C651" t="str">
        <f>IF(COUNTBLANK(E651:K651) = 7,"",IF(AND(NOT(ISBLANK(E651)),COUNTBLANK(E651:K651) = 6),"3 Delete",IF(ISBLANK(E651),"2 Add",IF(SHA1Range(E651:K651) = "7d88f69ba426adf85f8dacb0e78d9faabb904860","0 Original","1 Modify"))))</f>
        <v>0 Original</v>
      </c>
      <c r="D651" s="5" t="s">
        <v>2925</v>
      </c>
      <c r="E651" s="3">
        <v>281</v>
      </c>
      <c r="F651" t="s">
        <v>1151</v>
      </c>
      <c r="G651" t="s">
        <v>832</v>
      </c>
      <c r="H651" s="9">
        <v>5.99</v>
      </c>
      <c r="I651" s="3">
        <v>1</v>
      </c>
      <c r="J651" s="5" t="s">
        <v>68</v>
      </c>
      <c r="K651" s="15">
        <v>41755.745636574073</v>
      </c>
      <c r="L651" s="20">
        <f t="shared" si="30"/>
        <v>41755</v>
      </c>
      <c r="M651" t="str">
        <f t="shared" si="31"/>
        <v>04-2014</v>
      </c>
      <c r="N651">
        <f t="shared" si="32"/>
        <v>5.99</v>
      </c>
    </row>
    <row r="652" spans="3:14" x14ac:dyDescent="0.25">
      <c r="C652" t="str">
        <f>IF(COUNTBLANK(E652:K652) = 7,"",IF(AND(NOT(ISBLANK(E652)),COUNTBLANK(E652:K652) = 6),"3 Delete",IF(ISBLANK(E652),"2 Add",IF(SHA1Range(E652:K652) = "7b52f13e01c65edc74b61b58384276176cd2b32a","0 Original","1 Modify"))))</f>
        <v>0 Original</v>
      </c>
      <c r="D652" s="5" t="s">
        <v>2926</v>
      </c>
      <c r="E652" s="3">
        <v>282</v>
      </c>
      <c r="F652" t="s">
        <v>1151</v>
      </c>
      <c r="G652" t="s">
        <v>906</v>
      </c>
      <c r="H652" s="9">
        <v>8.99</v>
      </c>
      <c r="I652" s="3">
        <v>1</v>
      </c>
      <c r="J652" s="5" t="s">
        <v>68</v>
      </c>
      <c r="K652" s="15">
        <v>41755.745636574073</v>
      </c>
      <c r="L652" s="20">
        <f t="shared" si="30"/>
        <v>41755</v>
      </c>
      <c r="M652" t="str">
        <f t="shared" si="31"/>
        <v>04-2014</v>
      </c>
      <c r="N652">
        <f t="shared" si="32"/>
        <v>8.99</v>
      </c>
    </row>
    <row r="653" spans="3:14" x14ac:dyDescent="0.25">
      <c r="C653" t="str">
        <f>IF(COUNTBLANK(E653:K653) = 7,"",IF(AND(NOT(ISBLANK(E653)),COUNTBLANK(E653:K653) = 6),"3 Delete",IF(ISBLANK(E653),"2 Add",IF(SHA1Range(E653:K653) = "82d242e48a4803a412cdcfd6d032996dad6576b4","0 Original","1 Modify"))))</f>
        <v>0 Original</v>
      </c>
      <c r="D653" s="5" t="s">
        <v>2927</v>
      </c>
      <c r="E653" s="3">
        <v>283</v>
      </c>
      <c r="F653" t="s">
        <v>1151</v>
      </c>
      <c r="G653" t="s">
        <v>645</v>
      </c>
      <c r="H653" s="9">
        <v>7.99</v>
      </c>
      <c r="I653" s="3">
        <v>1</v>
      </c>
      <c r="J653" s="5" t="s">
        <v>68</v>
      </c>
      <c r="K653" s="15">
        <v>41755.745636574073</v>
      </c>
      <c r="L653" s="20">
        <f t="shared" si="30"/>
        <v>41755</v>
      </c>
      <c r="M653" t="str">
        <f t="shared" si="31"/>
        <v>04-2014</v>
      </c>
      <c r="N653">
        <f t="shared" si="32"/>
        <v>7.99</v>
      </c>
    </row>
    <row r="654" spans="3:14" x14ac:dyDescent="0.25">
      <c r="C654" t="str">
        <f>IF(COUNTBLANK(E654:K654) = 7,"",IF(AND(NOT(ISBLANK(E654)),COUNTBLANK(E654:K654) = 6),"3 Delete",IF(ISBLANK(E654),"2 Add",IF(SHA1Range(E654:K654) = "b6d2a3e904046c95e250cf77cc17467764038a95","0 Original","1 Modify"))))</f>
        <v>0 Original</v>
      </c>
      <c r="D654" s="5" t="s">
        <v>2928</v>
      </c>
      <c r="E654" s="3">
        <v>1669</v>
      </c>
      <c r="F654" t="s">
        <v>1152</v>
      </c>
      <c r="G654" t="s">
        <v>945</v>
      </c>
      <c r="H654" s="9">
        <v>4.99</v>
      </c>
      <c r="I654" s="3">
        <v>1</v>
      </c>
      <c r="J654" s="5" t="s">
        <v>68</v>
      </c>
      <c r="K654" s="15">
        <v>41755.896018518521</v>
      </c>
      <c r="L654" s="20">
        <f t="shared" si="30"/>
        <v>41755</v>
      </c>
      <c r="M654" t="str">
        <f t="shared" si="31"/>
        <v>04-2014</v>
      </c>
      <c r="N654">
        <f t="shared" si="32"/>
        <v>4.99</v>
      </c>
    </row>
    <row r="655" spans="3:14" x14ac:dyDescent="0.25">
      <c r="C655" t="str">
        <f>IF(COUNTBLANK(E655:K655) = 7,"",IF(AND(NOT(ISBLANK(E655)),COUNTBLANK(E655:K655) = 6),"3 Delete",IF(ISBLANK(E655),"2 Add",IF(SHA1Range(E655:K655) = "9332712282392c794619c29e4fc69959a5a7c65b","0 Original","1 Modify"))))</f>
        <v>0 Original</v>
      </c>
      <c r="D655" s="5" t="s">
        <v>2929</v>
      </c>
      <c r="E655" s="3">
        <v>1670</v>
      </c>
      <c r="F655" t="s">
        <v>1152</v>
      </c>
      <c r="G655" t="s">
        <v>820</v>
      </c>
      <c r="H655" s="9">
        <v>9.99</v>
      </c>
      <c r="I655" s="3">
        <v>1</v>
      </c>
      <c r="J655" s="5" t="s">
        <v>68</v>
      </c>
      <c r="K655" s="15">
        <v>41755.896018518521</v>
      </c>
      <c r="L655" s="20">
        <f t="shared" si="30"/>
        <v>41755</v>
      </c>
      <c r="M655" t="str">
        <f t="shared" si="31"/>
        <v>04-2014</v>
      </c>
      <c r="N655">
        <f t="shared" si="32"/>
        <v>9.99</v>
      </c>
    </row>
    <row r="656" spans="3:14" x14ac:dyDescent="0.25">
      <c r="C656" t="str">
        <f>IF(COUNTBLANK(E656:K656) = 7,"",IF(AND(NOT(ISBLANK(E656)),COUNTBLANK(E656:K656) = 6),"3 Delete",IF(ISBLANK(E656),"2 Add",IF(SHA1Range(E656:K656) = "485a41956b29d8343003899b5d4b51cf9e5a9928","0 Original","1 Modify"))))</f>
        <v>0 Original</v>
      </c>
      <c r="D656" s="5" t="s">
        <v>2930</v>
      </c>
      <c r="E656" s="3">
        <v>1671</v>
      </c>
      <c r="F656" t="s">
        <v>1152</v>
      </c>
      <c r="G656" t="s">
        <v>955</v>
      </c>
      <c r="H656" s="9">
        <v>8.99</v>
      </c>
      <c r="I656" s="3">
        <v>1</v>
      </c>
      <c r="J656" s="5" t="s">
        <v>68</v>
      </c>
      <c r="K656" s="15">
        <v>41755.896018518521</v>
      </c>
      <c r="L656" s="20">
        <f t="shared" si="30"/>
        <v>41755</v>
      </c>
      <c r="M656" t="str">
        <f t="shared" si="31"/>
        <v>04-2014</v>
      </c>
      <c r="N656">
        <f t="shared" si="32"/>
        <v>8.99</v>
      </c>
    </row>
    <row r="657" spans="3:14" x14ac:dyDescent="0.25">
      <c r="C657" t="str">
        <f>IF(COUNTBLANK(E657:K657) = 7,"",IF(AND(NOT(ISBLANK(E657)),COUNTBLANK(E657:K657) = 6),"3 Delete",IF(ISBLANK(E657),"2 Add",IF(SHA1Range(E657:K657) = "d52fbfec15d7058bffbde6c2a24a31d39a6b18e3","0 Original","1 Modify"))))</f>
        <v>0 Original</v>
      </c>
      <c r="D657" s="5" t="s">
        <v>2931</v>
      </c>
      <c r="E657" s="3">
        <v>1672</v>
      </c>
      <c r="F657" t="s">
        <v>1152</v>
      </c>
      <c r="G657" t="s">
        <v>761</v>
      </c>
      <c r="H657" s="9">
        <v>8.99</v>
      </c>
      <c r="I657" s="3">
        <v>1</v>
      </c>
      <c r="J657" s="5" t="s">
        <v>68</v>
      </c>
      <c r="K657" s="15">
        <v>41755.896018518521</v>
      </c>
      <c r="L657" s="20">
        <f t="shared" si="30"/>
        <v>41755</v>
      </c>
      <c r="M657" t="str">
        <f t="shared" si="31"/>
        <v>04-2014</v>
      </c>
      <c r="N657">
        <f t="shared" si="32"/>
        <v>8.99</v>
      </c>
    </row>
    <row r="658" spans="3:14" x14ac:dyDescent="0.25">
      <c r="C658" t="str">
        <f>IF(COUNTBLANK(E658:K658) = 7,"",IF(AND(NOT(ISBLANK(E658)),COUNTBLANK(E658:K658) = 6),"3 Delete",IF(ISBLANK(E658),"2 Add",IF(SHA1Range(E658:K658) = "fae4d33164a27ecfb75cb7ecb244e1086906c2f3","0 Original","1 Modify"))))</f>
        <v>0 Original</v>
      </c>
      <c r="D658" s="5" t="s">
        <v>2932</v>
      </c>
      <c r="E658" s="3">
        <v>1673</v>
      </c>
      <c r="F658" t="s">
        <v>1152</v>
      </c>
      <c r="G658" t="s">
        <v>820</v>
      </c>
      <c r="H658" s="9">
        <v>9.99</v>
      </c>
      <c r="I658" s="3">
        <v>1</v>
      </c>
      <c r="J658" s="5" t="s">
        <v>68</v>
      </c>
      <c r="K658" s="15">
        <v>41755.896018518521</v>
      </c>
      <c r="L658" s="20">
        <f t="shared" si="30"/>
        <v>41755</v>
      </c>
      <c r="M658" t="str">
        <f t="shared" si="31"/>
        <v>04-2014</v>
      </c>
      <c r="N658">
        <f t="shared" si="32"/>
        <v>9.99</v>
      </c>
    </row>
    <row r="659" spans="3:14" x14ac:dyDescent="0.25">
      <c r="C659" t="str">
        <f>IF(COUNTBLANK(E659:K659) = 7,"",IF(AND(NOT(ISBLANK(E659)),COUNTBLANK(E659:K659) = 6),"3 Delete",IF(ISBLANK(E659),"2 Add",IF(SHA1Range(E659:K659) = "e2f09f59404a78a947c1f37372598b76720800e7","0 Original","1 Modify"))))</f>
        <v>0 Original</v>
      </c>
      <c r="D659" s="5" t="s">
        <v>2933</v>
      </c>
      <c r="E659" s="3">
        <v>3773</v>
      </c>
      <c r="F659" t="s">
        <v>1153</v>
      </c>
      <c r="G659" t="s">
        <v>948</v>
      </c>
      <c r="H659" s="9">
        <v>4.99</v>
      </c>
      <c r="I659" s="3">
        <v>1</v>
      </c>
      <c r="J659" s="5" t="s">
        <v>68</v>
      </c>
      <c r="K659" s="15">
        <v>41756.43414351852</v>
      </c>
      <c r="L659" s="20">
        <f t="shared" si="30"/>
        <v>41756</v>
      </c>
      <c r="M659" t="str">
        <f t="shared" si="31"/>
        <v>04-2014</v>
      </c>
      <c r="N659">
        <f t="shared" si="32"/>
        <v>4.99</v>
      </c>
    </row>
    <row r="660" spans="3:14" x14ac:dyDescent="0.25">
      <c r="C660" t="str">
        <f>IF(COUNTBLANK(E660:K660) = 7,"",IF(AND(NOT(ISBLANK(E660)),COUNTBLANK(E660:K660) = 6),"3 Delete",IF(ISBLANK(E660),"2 Add",IF(SHA1Range(E660:K660) = "f0c75fc884006c72bf879ecc2269bf4f03dcd2aa","0 Original","1 Modify"))))</f>
        <v>0 Original</v>
      </c>
      <c r="D660" s="5" t="s">
        <v>2934</v>
      </c>
      <c r="E660" s="3">
        <v>3774</v>
      </c>
      <c r="F660" t="s">
        <v>1153</v>
      </c>
      <c r="G660" t="s">
        <v>707</v>
      </c>
      <c r="H660" s="9">
        <v>7.99</v>
      </c>
      <c r="I660" s="3">
        <v>1</v>
      </c>
      <c r="J660" s="5" t="s">
        <v>68</v>
      </c>
      <c r="K660" s="15">
        <v>41756.43414351852</v>
      </c>
      <c r="L660" s="20">
        <f t="shared" si="30"/>
        <v>41756</v>
      </c>
      <c r="M660" t="str">
        <f t="shared" si="31"/>
        <v>04-2014</v>
      </c>
      <c r="N660">
        <f t="shared" si="32"/>
        <v>7.99</v>
      </c>
    </row>
    <row r="661" spans="3:14" x14ac:dyDescent="0.25">
      <c r="C661" t="str">
        <f>IF(COUNTBLANK(E661:K661) = 7,"",IF(AND(NOT(ISBLANK(E661)),COUNTBLANK(E661:K661) = 6),"3 Delete",IF(ISBLANK(E661),"2 Add",IF(SHA1Range(E661:K661) = "e7b20dad18c988ed33c053c6808f5cdcccf23e86","0 Original","1 Modify"))))</f>
        <v>0 Original</v>
      </c>
      <c r="D661" s="5" t="s">
        <v>2935</v>
      </c>
      <c r="E661" s="3">
        <v>3775</v>
      </c>
      <c r="F661" t="s">
        <v>1153</v>
      </c>
      <c r="G661" t="s">
        <v>687</v>
      </c>
      <c r="H661" s="9">
        <v>9.99</v>
      </c>
      <c r="I661" s="3">
        <v>1</v>
      </c>
      <c r="J661" s="5" t="s">
        <v>68</v>
      </c>
      <c r="K661" s="15">
        <v>41756.43414351852</v>
      </c>
      <c r="L661" s="20">
        <f t="shared" si="30"/>
        <v>41756</v>
      </c>
      <c r="M661" t="str">
        <f t="shared" si="31"/>
        <v>04-2014</v>
      </c>
      <c r="N661">
        <f t="shared" si="32"/>
        <v>9.99</v>
      </c>
    </row>
    <row r="662" spans="3:14" x14ac:dyDescent="0.25">
      <c r="C662" t="str">
        <f>IF(COUNTBLANK(E662:K662) = 7,"",IF(AND(NOT(ISBLANK(E662)),COUNTBLANK(E662:K662) = 6),"3 Delete",IF(ISBLANK(E662),"2 Add",IF(SHA1Range(E662:K662) = "ea48664aa89bf0ce8afd39366ada05cecd53dffc","0 Original","1 Modify"))))</f>
        <v>0 Original</v>
      </c>
      <c r="D662" s="5" t="s">
        <v>2936</v>
      </c>
      <c r="E662" s="3">
        <v>3793</v>
      </c>
      <c r="F662" t="s">
        <v>1154</v>
      </c>
      <c r="G662" t="s">
        <v>687</v>
      </c>
      <c r="H662" s="9">
        <v>9.99</v>
      </c>
      <c r="I662" s="3">
        <v>1</v>
      </c>
      <c r="J662" s="5" t="s">
        <v>68</v>
      </c>
      <c r="K662" s="15">
        <v>41756.972175925926</v>
      </c>
      <c r="L662" s="20">
        <f t="shared" si="30"/>
        <v>41756</v>
      </c>
      <c r="M662" t="str">
        <f t="shared" si="31"/>
        <v>04-2014</v>
      </c>
      <c r="N662">
        <f t="shared" si="32"/>
        <v>9.99</v>
      </c>
    </row>
    <row r="663" spans="3:14" x14ac:dyDescent="0.25">
      <c r="C663" t="str">
        <f>IF(COUNTBLANK(E663:K663) = 7,"",IF(AND(NOT(ISBLANK(E663)),COUNTBLANK(E663:K663) = 6),"3 Delete",IF(ISBLANK(E663),"2 Add",IF(SHA1Range(E663:K663) = "e4a9c972e1f2dc130e47fb4d2265384d554080ed","0 Original","1 Modify"))))</f>
        <v>0 Original</v>
      </c>
      <c r="D663" s="5" t="s">
        <v>2937</v>
      </c>
      <c r="E663" s="3">
        <v>3794</v>
      </c>
      <c r="F663" t="s">
        <v>1154</v>
      </c>
      <c r="G663" t="s">
        <v>707</v>
      </c>
      <c r="H663" s="9">
        <v>7.99</v>
      </c>
      <c r="I663" s="3">
        <v>1</v>
      </c>
      <c r="J663" s="5" t="s">
        <v>68</v>
      </c>
      <c r="K663" s="15">
        <v>41756.972175925926</v>
      </c>
      <c r="L663" s="20">
        <f t="shared" si="30"/>
        <v>41756</v>
      </c>
      <c r="M663" t="str">
        <f t="shared" si="31"/>
        <v>04-2014</v>
      </c>
      <c r="N663">
        <f t="shared" si="32"/>
        <v>7.99</v>
      </c>
    </row>
    <row r="664" spans="3:14" x14ac:dyDescent="0.25">
      <c r="C664" t="str">
        <f>IF(COUNTBLANK(E664:K664) = 7,"",IF(AND(NOT(ISBLANK(E664)),COUNTBLANK(E664:K664) = 6),"3 Delete",IF(ISBLANK(E664),"2 Add",IF(SHA1Range(E664:K664) = "5b1e7e75adbbcff52e691ffccc2315ddaa92835f","0 Original","1 Modify"))))</f>
        <v>0 Original</v>
      </c>
      <c r="D664" s="5" t="s">
        <v>2938</v>
      </c>
      <c r="E664" s="3">
        <v>3795</v>
      </c>
      <c r="F664" t="s">
        <v>1154</v>
      </c>
      <c r="G664" t="s">
        <v>373</v>
      </c>
      <c r="H664" s="9">
        <v>7.99</v>
      </c>
      <c r="I664" s="3">
        <v>1</v>
      </c>
      <c r="J664" s="5" t="s">
        <v>68</v>
      </c>
      <c r="K664" s="15">
        <v>41756.972175925926</v>
      </c>
      <c r="L664" s="20">
        <f t="shared" si="30"/>
        <v>41756</v>
      </c>
      <c r="M664" t="str">
        <f t="shared" si="31"/>
        <v>04-2014</v>
      </c>
      <c r="N664">
        <f t="shared" si="32"/>
        <v>7.99</v>
      </c>
    </row>
    <row r="665" spans="3:14" x14ac:dyDescent="0.25">
      <c r="C665" t="str">
        <f>IF(COUNTBLANK(E665:K665) = 7,"",IF(AND(NOT(ISBLANK(E665)),COUNTBLANK(E665:K665) = 6),"3 Delete",IF(ISBLANK(E665),"2 Add",IF(SHA1Range(E665:K665) = "93aa8c797a1242b433bc86d7eb7558c96473156b","0 Original","1 Modify"))))</f>
        <v>0 Original</v>
      </c>
      <c r="D665" s="5" t="s">
        <v>2939</v>
      </c>
      <c r="E665" s="3">
        <v>3796</v>
      </c>
      <c r="F665" t="s">
        <v>1154</v>
      </c>
      <c r="G665" t="s">
        <v>579</v>
      </c>
      <c r="H665" s="9">
        <v>9.99</v>
      </c>
      <c r="I665" s="3">
        <v>1</v>
      </c>
      <c r="J665" s="5" t="s">
        <v>68</v>
      </c>
      <c r="K665" s="15">
        <v>41756.972175925926</v>
      </c>
      <c r="L665" s="20">
        <f t="shared" si="30"/>
        <v>41756</v>
      </c>
      <c r="M665" t="str">
        <f t="shared" si="31"/>
        <v>04-2014</v>
      </c>
      <c r="N665">
        <f t="shared" si="32"/>
        <v>9.99</v>
      </c>
    </row>
    <row r="666" spans="3:14" x14ac:dyDescent="0.25">
      <c r="C666" t="str">
        <f>IF(COUNTBLANK(E666:K666) = 7,"",IF(AND(NOT(ISBLANK(E666)),COUNTBLANK(E666:K666) = 6),"3 Delete",IF(ISBLANK(E666),"2 Add",IF(SHA1Range(E666:K666) = "5e2e57778344ed06a5faa3aa4af10db5efe6a451","0 Original","1 Modify"))))</f>
        <v>0 Original</v>
      </c>
      <c r="D666" s="5" t="s">
        <v>2940</v>
      </c>
      <c r="E666" s="3">
        <v>3797</v>
      </c>
      <c r="F666" t="s">
        <v>1154</v>
      </c>
      <c r="G666" t="s">
        <v>514</v>
      </c>
      <c r="H666" s="9">
        <v>6.99</v>
      </c>
      <c r="I666" s="3">
        <v>2</v>
      </c>
      <c r="J666" s="5" t="s">
        <v>68</v>
      </c>
      <c r="K666" s="15">
        <v>41756.972175925926</v>
      </c>
      <c r="L666" s="20">
        <f t="shared" si="30"/>
        <v>41756</v>
      </c>
      <c r="M666" t="str">
        <f t="shared" si="31"/>
        <v>04-2014</v>
      </c>
      <c r="N666">
        <f t="shared" si="32"/>
        <v>13.98</v>
      </c>
    </row>
    <row r="667" spans="3:14" x14ac:dyDescent="0.25">
      <c r="C667" t="str">
        <f>IF(COUNTBLANK(E667:K667) = 7,"",IF(AND(NOT(ISBLANK(E667)),COUNTBLANK(E667:K667) = 6),"3 Delete",IF(ISBLANK(E667),"2 Add",IF(SHA1Range(E667:K667) = "618f767407f1c38ae9622e0e428e36bb7bd7943e","0 Original","1 Modify"))))</f>
        <v>0 Original</v>
      </c>
      <c r="D667" s="5" t="s">
        <v>2941</v>
      </c>
      <c r="E667" s="3">
        <v>3798</v>
      </c>
      <c r="F667" t="s">
        <v>1155</v>
      </c>
      <c r="G667" t="s">
        <v>948</v>
      </c>
      <c r="H667" s="9">
        <v>4.99</v>
      </c>
      <c r="I667" s="3">
        <v>1</v>
      </c>
      <c r="J667" s="5" t="s">
        <v>68</v>
      </c>
      <c r="K667" s="15">
        <v>41758.093344907407</v>
      </c>
      <c r="L667" s="20">
        <f t="shared" si="30"/>
        <v>41758</v>
      </c>
      <c r="M667" t="str">
        <f t="shared" si="31"/>
        <v>04-2014</v>
      </c>
      <c r="N667">
        <f t="shared" si="32"/>
        <v>4.99</v>
      </c>
    </row>
    <row r="668" spans="3:14" x14ac:dyDescent="0.25">
      <c r="C668" t="str">
        <f>IF(COUNTBLANK(E668:K668) = 7,"",IF(AND(NOT(ISBLANK(E668)),COUNTBLANK(E668:K668) = 6),"3 Delete",IF(ISBLANK(E668),"2 Add",IF(SHA1Range(E668:K668) = "33cb043fdec6fe397e4dda654040f7b765e02531","0 Original","1 Modify"))))</f>
        <v>0 Original</v>
      </c>
      <c r="D668" s="5" t="s">
        <v>2942</v>
      </c>
      <c r="E668" s="3">
        <v>3799</v>
      </c>
      <c r="F668" t="s">
        <v>1155</v>
      </c>
      <c r="G668" t="s">
        <v>749</v>
      </c>
      <c r="H668" s="9">
        <v>5.99</v>
      </c>
      <c r="I668" s="3">
        <v>1</v>
      </c>
      <c r="J668" s="5" t="s">
        <v>68</v>
      </c>
      <c r="K668" s="15">
        <v>41758.093344907407</v>
      </c>
      <c r="L668" s="20">
        <f t="shared" si="30"/>
        <v>41758</v>
      </c>
      <c r="M668" t="str">
        <f t="shared" si="31"/>
        <v>04-2014</v>
      </c>
      <c r="N668">
        <f t="shared" si="32"/>
        <v>5.99</v>
      </c>
    </row>
    <row r="669" spans="3:14" x14ac:dyDescent="0.25">
      <c r="C669" t="str">
        <f>IF(COUNTBLANK(E669:K669) = 7,"",IF(AND(NOT(ISBLANK(E669)),COUNTBLANK(E669:K669) = 6),"3 Delete",IF(ISBLANK(E669),"2 Add",IF(SHA1Range(E669:K669) = "b83aeed9c40a344f197a541e516785a65dbde7f8","0 Original","1 Modify"))))</f>
        <v>0 Original</v>
      </c>
      <c r="D669" s="5" t="s">
        <v>2943</v>
      </c>
      <c r="E669" s="3">
        <v>2700</v>
      </c>
      <c r="F669" t="s">
        <v>1156</v>
      </c>
      <c r="G669" t="s">
        <v>552</v>
      </c>
      <c r="H669" s="9">
        <v>6.99</v>
      </c>
      <c r="I669" s="3">
        <v>1</v>
      </c>
      <c r="J669" s="5" t="s">
        <v>68</v>
      </c>
      <c r="K669" s="15">
        <v>41758.912268518521</v>
      </c>
      <c r="L669" s="20">
        <f t="shared" si="30"/>
        <v>41758</v>
      </c>
      <c r="M669" t="str">
        <f t="shared" si="31"/>
        <v>04-2014</v>
      </c>
      <c r="N669">
        <f t="shared" si="32"/>
        <v>6.99</v>
      </c>
    </row>
    <row r="670" spans="3:14" x14ac:dyDescent="0.25">
      <c r="C670" t="str">
        <f>IF(COUNTBLANK(E670:K670) = 7,"",IF(AND(NOT(ISBLANK(E670)),COUNTBLANK(E670:K670) = 6),"3 Delete",IF(ISBLANK(E670),"2 Add",IF(SHA1Range(E670:K670) = "bdbc8cf0048b30588bf99e893b9931c9f73353c7","0 Original","1 Modify"))))</f>
        <v>0 Original</v>
      </c>
      <c r="D670" s="5" t="s">
        <v>2944</v>
      </c>
      <c r="E670" s="3">
        <v>2701</v>
      </c>
      <c r="F670" t="s">
        <v>1156</v>
      </c>
      <c r="G670" t="s">
        <v>514</v>
      </c>
      <c r="H670" s="9">
        <v>6.99</v>
      </c>
      <c r="I670" s="3">
        <v>1</v>
      </c>
      <c r="J670" s="5" t="s">
        <v>68</v>
      </c>
      <c r="K670" s="15">
        <v>41758.912268518521</v>
      </c>
      <c r="L670" s="20">
        <f t="shared" si="30"/>
        <v>41758</v>
      </c>
      <c r="M670" t="str">
        <f t="shared" si="31"/>
        <v>04-2014</v>
      </c>
      <c r="N670">
        <f t="shared" si="32"/>
        <v>6.99</v>
      </c>
    </row>
    <row r="671" spans="3:14" x14ac:dyDescent="0.25">
      <c r="C671" t="str">
        <f>IF(COUNTBLANK(E671:K671) = 7,"",IF(AND(NOT(ISBLANK(E671)),COUNTBLANK(E671:K671) = 6),"3 Delete",IF(ISBLANK(E671),"2 Add",IF(SHA1Range(E671:K671) = "c13375d584ea514a6dc2d13fce36c812bf9819d4","0 Original","1 Modify"))))</f>
        <v>0 Original</v>
      </c>
      <c r="D671" s="5" t="s">
        <v>2945</v>
      </c>
      <c r="E671" s="3">
        <v>2702</v>
      </c>
      <c r="F671" t="s">
        <v>1156</v>
      </c>
      <c r="G671" t="s">
        <v>579</v>
      </c>
      <c r="H671" s="9">
        <v>9.99</v>
      </c>
      <c r="I671" s="3">
        <v>1</v>
      </c>
      <c r="J671" s="5" t="s">
        <v>68</v>
      </c>
      <c r="K671" s="15">
        <v>41758.912268518521</v>
      </c>
      <c r="L671" s="20">
        <f t="shared" si="30"/>
        <v>41758</v>
      </c>
      <c r="M671" t="str">
        <f t="shared" si="31"/>
        <v>04-2014</v>
      </c>
      <c r="N671">
        <f t="shared" si="32"/>
        <v>9.99</v>
      </c>
    </row>
    <row r="672" spans="3:14" x14ac:dyDescent="0.25">
      <c r="C672" t="str">
        <f>IF(COUNTBLANK(E672:K672) = 7,"",IF(AND(NOT(ISBLANK(E672)),COUNTBLANK(E672:K672) = 6),"3 Delete",IF(ISBLANK(E672),"2 Add",IF(SHA1Range(E672:K672) = "c569e2a76c6b695bb173f9b1a1cfda79626269e2","0 Original","1 Modify"))))</f>
        <v>0 Original</v>
      </c>
      <c r="D672" s="5" t="s">
        <v>2946</v>
      </c>
      <c r="E672" s="3">
        <v>2703</v>
      </c>
      <c r="F672" t="s">
        <v>1156</v>
      </c>
      <c r="G672" t="s">
        <v>749</v>
      </c>
      <c r="H672" s="9">
        <v>5.99</v>
      </c>
      <c r="I672" s="3">
        <v>2</v>
      </c>
      <c r="J672" s="5" t="s">
        <v>68</v>
      </c>
      <c r="K672" s="15">
        <v>41758.912268518521</v>
      </c>
      <c r="L672" s="20">
        <f t="shared" si="30"/>
        <v>41758</v>
      </c>
      <c r="M672" t="str">
        <f t="shared" si="31"/>
        <v>04-2014</v>
      </c>
      <c r="N672">
        <f t="shared" si="32"/>
        <v>11.98</v>
      </c>
    </row>
    <row r="673" spans="3:14" x14ac:dyDescent="0.25">
      <c r="C673" t="str">
        <f>IF(COUNTBLANK(E673:K673) = 7,"",IF(AND(NOT(ISBLANK(E673)),COUNTBLANK(E673:K673) = 6),"3 Delete",IF(ISBLANK(E673),"2 Add",IF(SHA1Range(E673:K673) = "abe694b5fdd761491e8651ff0d50bdc1c04f3ebd","0 Original","1 Modify"))))</f>
        <v>0 Original</v>
      </c>
      <c r="D673" s="5" t="s">
        <v>2947</v>
      </c>
      <c r="E673" s="3">
        <v>2704</v>
      </c>
      <c r="F673" t="s">
        <v>1156</v>
      </c>
      <c r="G673" t="s">
        <v>373</v>
      </c>
      <c r="H673" s="9">
        <v>7.99</v>
      </c>
      <c r="I673" s="3">
        <v>1</v>
      </c>
      <c r="J673" s="5" t="s">
        <v>68</v>
      </c>
      <c r="K673" s="15">
        <v>41758.912268518521</v>
      </c>
      <c r="L673" s="20">
        <f t="shared" si="30"/>
        <v>41758</v>
      </c>
      <c r="M673" t="str">
        <f t="shared" si="31"/>
        <v>04-2014</v>
      </c>
      <c r="N673">
        <f t="shared" si="32"/>
        <v>7.99</v>
      </c>
    </row>
    <row r="674" spans="3:14" x14ac:dyDescent="0.25">
      <c r="C674" t="str">
        <f>IF(COUNTBLANK(E674:K674) = 7,"",IF(AND(NOT(ISBLANK(E674)),COUNTBLANK(E674:K674) = 6),"3 Delete",IF(ISBLANK(E674),"2 Add",IF(SHA1Range(E674:K674) = "72ed938fba1af968167296d58569b7e91b79f21a","0 Original","1 Modify"))))</f>
        <v>0 Original</v>
      </c>
      <c r="D674" s="5" t="s">
        <v>2948</v>
      </c>
      <c r="E674" s="3">
        <v>2182</v>
      </c>
      <c r="F674" t="s">
        <v>1157</v>
      </c>
      <c r="G674" t="s">
        <v>749</v>
      </c>
      <c r="H674" s="9">
        <v>5.99</v>
      </c>
      <c r="I674" s="3">
        <v>1</v>
      </c>
      <c r="J674" s="5" t="s">
        <v>68</v>
      </c>
      <c r="K674" s="15">
        <v>41760.171388888892</v>
      </c>
      <c r="L674" s="20">
        <f t="shared" si="30"/>
        <v>41760</v>
      </c>
      <c r="M674" t="str">
        <f t="shared" si="31"/>
        <v>05-2014</v>
      </c>
      <c r="N674">
        <f t="shared" si="32"/>
        <v>5.99</v>
      </c>
    </row>
    <row r="675" spans="3:14" x14ac:dyDescent="0.25">
      <c r="C675" t="str">
        <f>IF(COUNTBLANK(E675:K675) = 7,"",IF(AND(NOT(ISBLANK(E675)),COUNTBLANK(E675:K675) = 6),"3 Delete",IF(ISBLANK(E675),"2 Add",IF(SHA1Range(E675:K675) = "73478cf8d7f201f053c7e1880b18732dd187b590","0 Original","1 Modify"))))</f>
        <v>0 Original</v>
      </c>
      <c r="D675" s="5" t="s">
        <v>2949</v>
      </c>
      <c r="E675" s="3">
        <v>2183</v>
      </c>
      <c r="F675" t="s">
        <v>1157</v>
      </c>
      <c r="G675" t="s">
        <v>842</v>
      </c>
      <c r="H675" s="9">
        <v>4.99</v>
      </c>
      <c r="I675" s="3">
        <v>2</v>
      </c>
      <c r="J675" s="5" t="s">
        <v>68</v>
      </c>
      <c r="K675" s="15">
        <v>41760.171388888892</v>
      </c>
      <c r="L675" s="20">
        <f t="shared" si="30"/>
        <v>41760</v>
      </c>
      <c r="M675" t="str">
        <f t="shared" si="31"/>
        <v>05-2014</v>
      </c>
      <c r="N675">
        <f t="shared" si="32"/>
        <v>9.98</v>
      </c>
    </row>
    <row r="676" spans="3:14" x14ac:dyDescent="0.25">
      <c r="C676" t="str">
        <f>IF(COUNTBLANK(E676:K676) = 7,"",IF(AND(NOT(ISBLANK(E676)),COUNTBLANK(E676:K676) = 6),"3 Delete",IF(ISBLANK(E676),"2 Add",IF(SHA1Range(E676:K676) = "eb56115056dd85a22b3d65f38170665f7b0a2606","0 Original","1 Modify"))))</f>
        <v>0 Original</v>
      </c>
      <c r="D676" s="5" t="s">
        <v>2950</v>
      </c>
      <c r="E676" s="3">
        <v>2184</v>
      </c>
      <c r="F676" t="s">
        <v>1157</v>
      </c>
      <c r="G676" t="s">
        <v>507</v>
      </c>
      <c r="H676" s="9">
        <v>6.99</v>
      </c>
      <c r="I676" s="3">
        <v>1</v>
      </c>
      <c r="J676" s="5" t="s">
        <v>68</v>
      </c>
      <c r="K676" s="15">
        <v>41760.171388888892</v>
      </c>
      <c r="L676" s="20">
        <f t="shared" si="30"/>
        <v>41760</v>
      </c>
      <c r="M676" t="str">
        <f t="shared" si="31"/>
        <v>05-2014</v>
      </c>
      <c r="N676">
        <f t="shared" si="32"/>
        <v>6.99</v>
      </c>
    </row>
    <row r="677" spans="3:14" x14ac:dyDescent="0.25">
      <c r="C677" t="str">
        <f>IF(COUNTBLANK(E677:K677) = 7,"",IF(AND(NOT(ISBLANK(E677)),COUNTBLANK(E677:K677) = 6),"3 Delete",IF(ISBLANK(E677),"2 Add",IF(SHA1Range(E677:K677) = "1a88018c4520dd19bcf0d8191309e461417c37e8","0 Original","1 Modify"))))</f>
        <v>0 Original</v>
      </c>
      <c r="D677" s="5" t="s">
        <v>2951</v>
      </c>
      <c r="E677" s="3">
        <v>3615</v>
      </c>
      <c r="F677" t="s">
        <v>1158</v>
      </c>
      <c r="G677" t="s">
        <v>687</v>
      </c>
      <c r="H677" s="9">
        <v>9.99</v>
      </c>
      <c r="I677" s="3">
        <v>1</v>
      </c>
      <c r="J677" s="5" t="s">
        <v>68</v>
      </c>
      <c r="K677" s="15">
        <v>41761.411157407405</v>
      </c>
      <c r="L677" s="20">
        <f t="shared" si="30"/>
        <v>41761</v>
      </c>
      <c r="M677" t="str">
        <f t="shared" si="31"/>
        <v>05-2014</v>
      </c>
      <c r="N677">
        <f t="shared" si="32"/>
        <v>9.99</v>
      </c>
    </row>
    <row r="678" spans="3:14" x14ac:dyDescent="0.25">
      <c r="C678" t="str">
        <f>IF(COUNTBLANK(E678:K678) = 7,"",IF(AND(NOT(ISBLANK(E678)),COUNTBLANK(E678:K678) = 6),"3 Delete",IF(ISBLANK(E678),"2 Add",IF(SHA1Range(E678:K678) = "afa035a0586a82713582562e3c24a30decc6c58a","0 Original","1 Modify"))))</f>
        <v>0 Original</v>
      </c>
      <c r="D678" s="5" t="s">
        <v>2952</v>
      </c>
      <c r="E678" s="3">
        <v>3616</v>
      </c>
      <c r="F678" t="s">
        <v>1158</v>
      </c>
      <c r="G678" t="s">
        <v>642</v>
      </c>
      <c r="H678" s="9">
        <v>9.99</v>
      </c>
      <c r="I678" s="3">
        <v>2</v>
      </c>
      <c r="J678" s="5" t="s">
        <v>68</v>
      </c>
      <c r="K678" s="15">
        <v>41761.411157407405</v>
      </c>
      <c r="L678" s="20">
        <f t="shared" si="30"/>
        <v>41761</v>
      </c>
      <c r="M678" t="str">
        <f t="shared" si="31"/>
        <v>05-2014</v>
      </c>
      <c r="N678">
        <f t="shared" si="32"/>
        <v>19.98</v>
      </c>
    </row>
    <row r="679" spans="3:14" x14ac:dyDescent="0.25">
      <c r="C679" t="str">
        <f>IF(COUNTBLANK(E679:K679) = 7,"",IF(AND(NOT(ISBLANK(E679)),COUNTBLANK(E679:K679) = 6),"3 Delete",IF(ISBLANK(E679),"2 Add",IF(SHA1Range(E679:K679) = "5575e919baeeb30a5f8b244993bd17f1d99fb64b","0 Original","1 Modify"))))</f>
        <v>0 Original</v>
      </c>
      <c r="D679" s="5" t="s">
        <v>2953</v>
      </c>
      <c r="E679" s="3">
        <v>3617</v>
      </c>
      <c r="F679" t="s">
        <v>1158</v>
      </c>
      <c r="G679" t="s">
        <v>400</v>
      </c>
      <c r="H679" s="9">
        <v>4.99</v>
      </c>
      <c r="I679" s="3">
        <v>2</v>
      </c>
      <c r="J679" s="5" t="s">
        <v>68</v>
      </c>
      <c r="K679" s="15">
        <v>41761.411157407405</v>
      </c>
      <c r="L679" s="20">
        <f t="shared" si="30"/>
        <v>41761</v>
      </c>
      <c r="M679" t="str">
        <f t="shared" si="31"/>
        <v>05-2014</v>
      </c>
      <c r="N679">
        <f t="shared" si="32"/>
        <v>9.98</v>
      </c>
    </row>
    <row r="680" spans="3:14" x14ac:dyDescent="0.25">
      <c r="C680" t="str">
        <f>IF(COUNTBLANK(E680:K680) = 7,"",IF(AND(NOT(ISBLANK(E680)),COUNTBLANK(E680:K680) = 6),"3 Delete",IF(ISBLANK(E680),"2 Add",IF(SHA1Range(E680:K680) = "96b2368ba6b2c01b28c7d860a4207fc595f83286","0 Original","1 Modify"))))</f>
        <v>0 Original</v>
      </c>
      <c r="D680" s="5" t="s">
        <v>2954</v>
      </c>
      <c r="E680" s="3">
        <v>900</v>
      </c>
      <c r="F680" t="s">
        <v>1159</v>
      </c>
      <c r="G680" t="s">
        <v>891</v>
      </c>
      <c r="H680" s="9">
        <v>8.99</v>
      </c>
      <c r="I680" s="3">
        <v>1</v>
      </c>
      <c r="J680" s="5" t="s">
        <v>68</v>
      </c>
      <c r="K680" s="15">
        <v>41761.463356481479</v>
      </c>
      <c r="L680" s="20">
        <f t="shared" si="30"/>
        <v>41761</v>
      </c>
      <c r="M680" t="str">
        <f t="shared" si="31"/>
        <v>05-2014</v>
      </c>
      <c r="N680">
        <f t="shared" si="32"/>
        <v>8.99</v>
      </c>
    </row>
    <row r="681" spans="3:14" x14ac:dyDescent="0.25">
      <c r="C681" t="str">
        <f>IF(COUNTBLANK(E681:K681) = 7,"",IF(AND(NOT(ISBLANK(E681)),COUNTBLANK(E681:K681) = 6),"3 Delete",IF(ISBLANK(E681),"2 Add",IF(SHA1Range(E681:K681) = "2fa6d13ac8562b90301730698d5738e64c4b8384","0 Original","1 Modify"))))</f>
        <v>0 Original</v>
      </c>
      <c r="D681" s="5" t="s">
        <v>2955</v>
      </c>
      <c r="E681" s="3">
        <v>901</v>
      </c>
      <c r="F681" t="s">
        <v>1159</v>
      </c>
      <c r="G681" t="s">
        <v>693</v>
      </c>
      <c r="H681" s="9">
        <v>7.99</v>
      </c>
      <c r="I681" s="3">
        <v>1</v>
      </c>
      <c r="J681" s="5" t="s">
        <v>68</v>
      </c>
      <c r="K681" s="15">
        <v>41761.463356481479</v>
      </c>
      <c r="L681" s="20">
        <f t="shared" si="30"/>
        <v>41761</v>
      </c>
      <c r="M681" t="str">
        <f t="shared" si="31"/>
        <v>05-2014</v>
      </c>
      <c r="N681">
        <f t="shared" si="32"/>
        <v>7.99</v>
      </c>
    </row>
    <row r="682" spans="3:14" x14ac:dyDescent="0.25">
      <c r="C682" t="str">
        <f>IF(COUNTBLANK(E682:K682) = 7,"",IF(AND(NOT(ISBLANK(E682)),COUNTBLANK(E682:K682) = 6),"3 Delete",IF(ISBLANK(E682),"2 Add",IF(SHA1Range(E682:K682) = "0dc61baf2e4ac2cb4d48b7fb6e2fed6ee66646bc","0 Original","1 Modify"))))</f>
        <v>0 Original</v>
      </c>
      <c r="D682" s="5" t="s">
        <v>2956</v>
      </c>
      <c r="E682" s="3">
        <v>1681</v>
      </c>
      <c r="F682" t="s">
        <v>1160</v>
      </c>
      <c r="G682" t="s">
        <v>935</v>
      </c>
      <c r="H682" s="9">
        <v>6.99</v>
      </c>
      <c r="I682" s="3">
        <v>1</v>
      </c>
      <c r="J682" s="5" t="s">
        <v>68</v>
      </c>
      <c r="K682" s="15">
        <v>41761.598333333335</v>
      </c>
      <c r="L682" s="20">
        <f t="shared" si="30"/>
        <v>41761</v>
      </c>
      <c r="M682" t="str">
        <f t="shared" si="31"/>
        <v>05-2014</v>
      </c>
      <c r="N682">
        <f t="shared" si="32"/>
        <v>6.99</v>
      </c>
    </row>
    <row r="683" spans="3:14" x14ac:dyDescent="0.25">
      <c r="C683" t="str">
        <f>IF(COUNTBLANK(E683:K683) = 7,"",IF(AND(NOT(ISBLANK(E683)),COUNTBLANK(E683:K683) = 6),"3 Delete",IF(ISBLANK(E683),"2 Add",IF(SHA1Range(E683:K683) = "313ade95e792bbfd8f7bdbdd3a5dcbda38c9762e","0 Original","1 Modify"))))</f>
        <v>0 Original</v>
      </c>
      <c r="D683" s="5" t="s">
        <v>2957</v>
      </c>
      <c r="E683" s="3">
        <v>1682</v>
      </c>
      <c r="F683" t="s">
        <v>1160</v>
      </c>
      <c r="G683" t="s">
        <v>842</v>
      </c>
      <c r="H683" s="9">
        <v>4.99</v>
      </c>
      <c r="I683" s="3">
        <v>2</v>
      </c>
      <c r="J683" s="5" t="s">
        <v>68</v>
      </c>
      <c r="K683" s="15">
        <v>41761.598333333335</v>
      </c>
      <c r="L683" s="20">
        <f t="shared" si="30"/>
        <v>41761</v>
      </c>
      <c r="M683" t="str">
        <f t="shared" si="31"/>
        <v>05-2014</v>
      </c>
      <c r="N683">
        <f t="shared" si="32"/>
        <v>9.98</v>
      </c>
    </row>
    <row r="684" spans="3:14" x14ac:dyDescent="0.25">
      <c r="C684" t="str">
        <f>IF(COUNTBLANK(E684:K684) = 7,"",IF(AND(NOT(ISBLANK(E684)),COUNTBLANK(E684:K684) = 6),"3 Delete",IF(ISBLANK(E684),"2 Add",IF(SHA1Range(E684:K684) = "bfad4e41435db1a0217133ae87a1eafd92bcfe16","0 Original","1 Modify"))))</f>
        <v>0 Original</v>
      </c>
      <c r="D684" s="5" t="s">
        <v>2958</v>
      </c>
      <c r="E684" s="3">
        <v>3695</v>
      </c>
      <c r="F684" t="s">
        <v>1161</v>
      </c>
      <c r="G684" t="s">
        <v>373</v>
      </c>
      <c r="H684" s="9">
        <v>7.99</v>
      </c>
      <c r="I684" s="3">
        <v>1</v>
      </c>
      <c r="J684" s="5" t="s">
        <v>68</v>
      </c>
      <c r="K684" s="15">
        <v>41762.774444444447</v>
      </c>
      <c r="L684" s="20">
        <f t="shared" si="30"/>
        <v>41762</v>
      </c>
      <c r="M684" t="str">
        <f t="shared" si="31"/>
        <v>05-2014</v>
      </c>
      <c r="N684">
        <f t="shared" si="32"/>
        <v>7.99</v>
      </c>
    </row>
    <row r="685" spans="3:14" x14ac:dyDescent="0.25">
      <c r="C685" t="str">
        <f>IF(COUNTBLANK(E685:K685) = 7,"",IF(AND(NOT(ISBLANK(E685)),COUNTBLANK(E685:K685) = 6),"3 Delete",IF(ISBLANK(E685),"2 Add",IF(SHA1Range(E685:K685) = "046089b8ac0aa81f317d06cd1225ead3a3f9e1c3","0 Original","1 Modify"))))</f>
        <v>0 Original</v>
      </c>
      <c r="D685" s="5" t="s">
        <v>2959</v>
      </c>
      <c r="E685" s="3">
        <v>1773</v>
      </c>
      <c r="F685" t="s">
        <v>1162</v>
      </c>
      <c r="G685" t="s">
        <v>771</v>
      </c>
      <c r="H685" s="9">
        <v>9.99</v>
      </c>
      <c r="I685" s="3">
        <v>1</v>
      </c>
      <c r="J685" s="5" t="s">
        <v>68</v>
      </c>
      <c r="K685" s="15">
        <v>41763.769756944443</v>
      </c>
      <c r="L685" s="20">
        <f t="shared" si="30"/>
        <v>41763</v>
      </c>
      <c r="M685" t="str">
        <f t="shared" si="31"/>
        <v>05-2014</v>
      </c>
      <c r="N685">
        <f t="shared" si="32"/>
        <v>9.99</v>
      </c>
    </row>
    <row r="686" spans="3:14" x14ac:dyDescent="0.25">
      <c r="C686" t="str">
        <f>IF(COUNTBLANK(E686:K686) = 7,"",IF(AND(NOT(ISBLANK(E686)),COUNTBLANK(E686:K686) = 6),"3 Delete",IF(ISBLANK(E686),"2 Add",IF(SHA1Range(E686:K686) = "515bb3865c6c8d9cda6a4aa6b705def18a9939f5","0 Original","1 Modify"))))</f>
        <v>0 Original</v>
      </c>
      <c r="D686" s="5" t="s">
        <v>2960</v>
      </c>
      <c r="E686" s="3">
        <v>1774</v>
      </c>
      <c r="F686" t="s">
        <v>1162</v>
      </c>
      <c r="G686" t="s">
        <v>671</v>
      </c>
      <c r="H686" s="9">
        <v>6.99</v>
      </c>
      <c r="I686" s="3">
        <v>1</v>
      </c>
      <c r="J686" s="5" t="s">
        <v>68</v>
      </c>
      <c r="K686" s="15">
        <v>41763.769756944443</v>
      </c>
      <c r="L686" s="20">
        <f t="shared" si="30"/>
        <v>41763</v>
      </c>
      <c r="M686" t="str">
        <f t="shared" si="31"/>
        <v>05-2014</v>
      </c>
      <c r="N686">
        <f t="shared" si="32"/>
        <v>6.99</v>
      </c>
    </row>
    <row r="687" spans="3:14" x14ac:dyDescent="0.25">
      <c r="C687" t="str">
        <f>IF(COUNTBLANK(E687:K687) = 7,"",IF(AND(NOT(ISBLANK(E687)),COUNTBLANK(E687:K687) = 6),"3 Delete",IF(ISBLANK(E687),"2 Add",IF(SHA1Range(E687:K687) = "9012ebdab83de3fa65f288f19b313a9e58e7853e","0 Original","1 Modify"))))</f>
        <v>0 Original</v>
      </c>
      <c r="D687" s="5" t="s">
        <v>2961</v>
      </c>
      <c r="E687" s="3">
        <v>1775</v>
      </c>
      <c r="F687" t="s">
        <v>1162</v>
      </c>
      <c r="G687" t="s">
        <v>693</v>
      </c>
      <c r="H687" s="9">
        <v>7.99</v>
      </c>
      <c r="I687" s="3">
        <v>1</v>
      </c>
      <c r="J687" s="5" t="s">
        <v>68</v>
      </c>
      <c r="K687" s="15">
        <v>41763.769756944443</v>
      </c>
      <c r="L687" s="20">
        <f t="shared" si="30"/>
        <v>41763</v>
      </c>
      <c r="M687" t="str">
        <f t="shared" si="31"/>
        <v>05-2014</v>
      </c>
      <c r="N687">
        <f t="shared" si="32"/>
        <v>7.99</v>
      </c>
    </row>
    <row r="688" spans="3:14" x14ac:dyDescent="0.25">
      <c r="C688" t="str">
        <f>IF(COUNTBLANK(E688:K688) = 7,"",IF(AND(NOT(ISBLANK(E688)),COUNTBLANK(E688:K688) = 6),"3 Delete",IF(ISBLANK(E688),"2 Add",IF(SHA1Range(E688:K688) = "a886f41a51872a16809b948c38efbf954112b901","0 Original","1 Modify"))))</f>
        <v>0 Original</v>
      </c>
      <c r="D688" s="5" t="s">
        <v>2962</v>
      </c>
      <c r="E688" s="3">
        <v>584</v>
      </c>
      <c r="F688" t="s">
        <v>1163</v>
      </c>
      <c r="G688" t="s">
        <v>638</v>
      </c>
      <c r="H688" s="9">
        <v>6.99</v>
      </c>
      <c r="I688" s="3">
        <v>1</v>
      </c>
      <c r="J688" s="5" t="s">
        <v>68</v>
      </c>
      <c r="K688" s="15">
        <v>41763.834490740737</v>
      </c>
      <c r="L688" s="20">
        <f t="shared" si="30"/>
        <v>41763</v>
      </c>
      <c r="M688" t="str">
        <f t="shared" si="31"/>
        <v>05-2014</v>
      </c>
      <c r="N688">
        <f t="shared" si="32"/>
        <v>6.99</v>
      </c>
    </row>
    <row r="689" spans="3:14" x14ac:dyDescent="0.25">
      <c r="C689" t="str">
        <f>IF(COUNTBLANK(E689:K689) = 7,"",IF(AND(NOT(ISBLANK(E689)),COUNTBLANK(E689:K689) = 6),"3 Delete",IF(ISBLANK(E689),"2 Add",IF(SHA1Range(E689:K689) = "bc894dab5b7d1c5aa7539bf477073a15dde48eca","0 Original","1 Modify"))))</f>
        <v>0 Original</v>
      </c>
      <c r="D689" s="5" t="s">
        <v>2963</v>
      </c>
      <c r="E689" s="3">
        <v>585</v>
      </c>
      <c r="F689" t="s">
        <v>1163</v>
      </c>
      <c r="G689" t="s">
        <v>796</v>
      </c>
      <c r="H689" s="9">
        <v>8.99</v>
      </c>
      <c r="I689" s="3">
        <v>1</v>
      </c>
      <c r="J689" s="5" t="s">
        <v>68</v>
      </c>
      <c r="K689" s="15">
        <v>41763.834490740737</v>
      </c>
      <c r="L689" s="20">
        <f t="shared" si="30"/>
        <v>41763</v>
      </c>
      <c r="M689" t="str">
        <f t="shared" si="31"/>
        <v>05-2014</v>
      </c>
      <c r="N689">
        <f t="shared" si="32"/>
        <v>8.99</v>
      </c>
    </row>
    <row r="690" spans="3:14" x14ac:dyDescent="0.25">
      <c r="C690" t="str">
        <f>IF(COUNTBLANK(E690:K690) = 7,"",IF(AND(NOT(ISBLANK(E690)),COUNTBLANK(E690:K690) = 6),"3 Delete",IF(ISBLANK(E690),"2 Add",IF(SHA1Range(E690:K690) = "0300f65d16b6fadad15e68d036560d34779486c0","0 Original","1 Modify"))))</f>
        <v>0 Original</v>
      </c>
      <c r="D690" s="5" t="s">
        <v>2964</v>
      </c>
      <c r="E690" s="3">
        <v>586</v>
      </c>
      <c r="F690" t="s">
        <v>1163</v>
      </c>
      <c r="G690" t="s">
        <v>661</v>
      </c>
      <c r="H690" s="9">
        <v>8.99</v>
      </c>
      <c r="I690" s="3">
        <v>1</v>
      </c>
      <c r="J690" s="5" t="s">
        <v>68</v>
      </c>
      <c r="K690" s="15">
        <v>41763.834490740737</v>
      </c>
      <c r="L690" s="20">
        <f t="shared" si="30"/>
        <v>41763</v>
      </c>
      <c r="M690" t="str">
        <f t="shared" si="31"/>
        <v>05-2014</v>
      </c>
      <c r="N690">
        <f t="shared" si="32"/>
        <v>8.99</v>
      </c>
    </row>
    <row r="691" spans="3:14" x14ac:dyDescent="0.25">
      <c r="C691" t="str">
        <f>IF(COUNTBLANK(E691:K691) = 7,"",IF(AND(NOT(ISBLANK(E691)),COUNTBLANK(E691:K691) = 6),"3 Delete",IF(ISBLANK(E691),"2 Add",IF(SHA1Range(E691:K691) = "a2e5f623f7ea8f568d7ad995ff490d7febb6c271","0 Original","1 Modify"))))</f>
        <v>0 Original</v>
      </c>
      <c r="D691" s="5" t="s">
        <v>2965</v>
      </c>
      <c r="E691" s="3">
        <v>587</v>
      </c>
      <c r="F691" t="s">
        <v>1163</v>
      </c>
      <c r="G691" t="s">
        <v>445</v>
      </c>
      <c r="H691" s="9">
        <v>7.99</v>
      </c>
      <c r="I691" s="3">
        <v>2</v>
      </c>
      <c r="J691" s="5" t="s">
        <v>68</v>
      </c>
      <c r="K691" s="15">
        <v>41763.834490740737</v>
      </c>
      <c r="L691" s="20">
        <f t="shared" si="30"/>
        <v>41763</v>
      </c>
      <c r="M691" t="str">
        <f t="shared" si="31"/>
        <v>05-2014</v>
      </c>
      <c r="N691">
        <f t="shared" si="32"/>
        <v>15.98</v>
      </c>
    </row>
    <row r="692" spans="3:14" x14ac:dyDescent="0.25">
      <c r="C692" t="str">
        <f>IF(COUNTBLANK(E692:K692) = 7,"",IF(AND(NOT(ISBLANK(E692)),COUNTBLANK(E692:K692) = 6),"3 Delete",IF(ISBLANK(E692),"2 Add",IF(SHA1Range(E692:K692) = "ab24a0b231915c03681761ee2ae20ca7ceee848d","0 Original","1 Modify"))))</f>
        <v>0 Original</v>
      </c>
      <c r="D692" s="5" t="s">
        <v>2966</v>
      </c>
      <c r="E692" s="3">
        <v>1764</v>
      </c>
      <c r="F692" t="s">
        <v>1164</v>
      </c>
      <c r="G692" t="s">
        <v>845</v>
      </c>
      <c r="H692" s="9">
        <v>7.99</v>
      </c>
      <c r="I692" s="3">
        <v>1</v>
      </c>
      <c r="J692" s="5" t="s">
        <v>68</v>
      </c>
      <c r="K692" s="15">
        <v>41764.449016203704</v>
      </c>
      <c r="L692" s="20">
        <f t="shared" si="30"/>
        <v>41764</v>
      </c>
      <c r="M692" t="str">
        <f t="shared" si="31"/>
        <v>05-2014</v>
      </c>
      <c r="N692">
        <f t="shared" si="32"/>
        <v>7.99</v>
      </c>
    </row>
    <row r="693" spans="3:14" x14ac:dyDescent="0.25">
      <c r="C693" t="str">
        <f>IF(COUNTBLANK(E693:K693) = 7,"",IF(AND(NOT(ISBLANK(E693)),COUNTBLANK(E693:K693) = 6),"3 Delete",IF(ISBLANK(E693),"2 Add",IF(SHA1Range(E693:K693) = "ccea8124723d03bba87757d64b9d428d7a023f1a","0 Original","1 Modify"))))</f>
        <v>0 Original</v>
      </c>
      <c r="D693" s="5" t="s">
        <v>2967</v>
      </c>
      <c r="E693" s="3">
        <v>1765</v>
      </c>
      <c r="F693" t="s">
        <v>1164</v>
      </c>
      <c r="G693" t="s">
        <v>687</v>
      </c>
      <c r="H693" s="9">
        <v>9.99</v>
      </c>
      <c r="I693" s="3">
        <v>1</v>
      </c>
      <c r="J693" s="5" t="s">
        <v>68</v>
      </c>
      <c r="K693" s="15">
        <v>41764.449016203704</v>
      </c>
      <c r="L693" s="20">
        <f t="shared" si="30"/>
        <v>41764</v>
      </c>
      <c r="M693" t="str">
        <f t="shared" si="31"/>
        <v>05-2014</v>
      </c>
      <c r="N693">
        <f t="shared" si="32"/>
        <v>9.99</v>
      </c>
    </row>
    <row r="694" spans="3:14" x14ac:dyDescent="0.25">
      <c r="C694" t="str">
        <f>IF(COUNTBLANK(E694:K694) = 7,"",IF(AND(NOT(ISBLANK(E694)),COUNTBLANK(E694:K694) = 6),"3 Delete",IF(ISBLANK(E694),"2 Add",IF(SHA1Range(E694:K694) = "380a1de5762d8cfc8f67d4231cd83cc961ffe261","0 Original","1 Modify"))))</f>
        <v>0 Original</v>
      </c>
      <c r="D694" s="5" t="s">
        <v>2968</v>
      </c>
      <c r="E694" s="3">
        <v>1766</v>
      </c>
      <c r="F694" t="s">
        <v>1164</v>
      </c>
      <c r="G694" t="s">
        <v>389</v>
      </c>
      <c r="H694" s="9">
        <v>4.99</v>
      </c>
      <c r="I694" s="3">
        <v>2</v>
      </c>
      <c r="J694" s="5" t="s">
        <v>68</v>
      </c>
      <c r="K694" s="15">
        <v>41764.449016203704</v>
      </c>
      <c r="L694" s="20">
        <f t="shared" si="30"/>
        <v>41764</v>
      </c>
      <c r="M694" t="str">
        <f t="shared" si="31"/>
        <v>05-2014</v>
      </c>
      <c r="N694">
        <f t="shared" si="32"/>
        <v>9.98</v>
      </c>
    </row>
    <row r="695" spans="3:14" x14ac:dyDescent="0.25">
      <c r="C695" t="str">
        <f>IF(COUNTBLANK(E695:K695) = 7,"",IF(AND(NOT(ISBLANK(E695)),COUNTBLANK(E695:K695) = 6),"3 Delete",IF(ISBLANK(E695),"2 Add",IF(SHA1Range(E695:K695) = "add4bf26c98363b4b7641aee282d85222ece6115","0 Original","1 Modify"))))</f>
        <v>0 Original</v>
      </c>
      <c r="D695" s="5" t="s">
        <v>2969</v>
      </c>
      <c r="E695" s="3">
        <v>2305</v>
      </c>
      <c r="F695" t="s">
        <v>1165</v>
      </c>
      <c r="G695" t="s">
        <v>396</v>
      </c>
      <c r="H695" s="9">
        <v>8.99</v>
      </c>
      <c r="I695" s="3">
        <v>1</v>
      </c>
      <c r="J695" s="5" t="s">
        <v>68</v>
      </c>
      <c r="K695" s="15">
        <v>41765.319745370369</v>
      </c>
      <c r="L695" s="20">
        <f t="shared" si="30"/>
        <v>41765</v>
      </c>
      <c r="M695" t="str">
        <f t="shared" si="31"/>
        <v>05-2014</v>
      </c>
      <c r="N695">
        <f t="shared" si="32"/>
        <v>8.99</v>
      </c>
    </row>
    <row r="696" spans="3:14" x14ac:dyDescent="0.25">
      <c r="C696" t="str">
        <f>IF(COUNTBLANK(E696:K696) = 7,"",IF(AND(NOT(ISBLANK(E696)),COUNTBLANK(E696:K696) = 6),"3 Delete",IF(ISBLANK(E696),"2 Add",IF(SHA1Range(E696:K696) = "0798a9d4a1ba14f108b07f87919492ab98453fe6","0 Original","1 Modify"))))</f>
        <v>0 Original</v>
      </c>
      <c r="D696" s="5" t="s">
        <v>2970</v>
      </c>
      <c r="E696" s="3">
        <v>2306</v>
      </c>
      <c r="F696" t="s">
        <v>1165</v>
      </c>
      <c r="G696" t="s">
        <v>563</v>
      </c>
      <c r="H696" s="9">
        <v>6.99</v>
      </c>
      <c r="I696" s="3">
        <v>2</v>
      </c>
      <c r="J696" s="5" t="s">
        <v>68</v>
      </c>
      <c r="K696" s="15">
        <v>41765.319745370369</v>
      </c>
      <c r="L696" s="20">
        <f t="shared" si="30"/>
        <v>41765</v>
      </c>
      <c r="M696" t="str">
        <f t="shared" si="31"/>
        <v>05-2014</v>
      </c>
      <c r="N696">
        <f t="shared" si="32"/>
        <v>13.98</v>
      </c>
    </row>
    <row r="697" spans="3:14" x14ac:dyDescent="0.25">
      <c r="C697" t="str">
        <f>IF(COUNTBLANK(E697:K697) = 7,"",IF(AND(NOT(ISBLANK(E697)),COUNTBLANK(E697:K697) = 6),"3 Delete",IF(ISBLANK(E697),"2 Add",IF(SHA1Range(E697:K697) = "96d6e262a79e9e5833e0da7444a2410a721b85a8","0 Original","1 Modify"))))</f>
        <v>0 Original</v>
      </c>
      <c r="D697" s="5" t="s">
        <v>2971</v>
      </c>
      <c r="E697" s="3">
        <v>2745</v>
      </c>
      <c r="F697" t="s">
        <v>1166</v>
      </c>
      <c r="G697" t="s">
        <v>707</v>
      </c>
      <c r="H697" s="9">
        <v>7.99</v>
      </c>
      <c r="I697" s="3">
        <v>1</v>
      </c>
      <c r="J697" s="5" t="s">
        <v>68</v>
      </c>
      <c r="K697" s="15">
        <v>41765.544594907406</v>
      </c>
      <c r="L697" s="20">
        <f t="shared" si="30"/>
        <v>41765</v>
      </c>
      <c r="M697" t="str">
        <f t="shared" si="31"/>
        <v>05-2014</v>
      </c>
      <c r="N697">
        <f t="shared" si="32"/>
        <v>7.99</v>
      </c>
    </row>
    <row r="698" spans="3:14" x14ac:dyDescent="0.25">
      <c r="C698" t="str">
        <f>IF(COUNTBLANK(E698:K698) = 7,"",IF(AND(NOT(ISBLANK(E698)),COUNTBLANK(E698:K698) = 6),"3 Delete",IF(ISBLANK(E698),"2 Add",IF(SHA1Range(E698:K698) = "0840c80d5f2432c70e543566ac396f4330b34a09","0 Original","1 Modify"))))</f>
        <v>0 Original</v>
      </c>
      <c r="D698" s="5" t="s">
        <v>2972</v>
      </c>
      <c r="E698" s="3">
        <v>2746</v>
      </c>
      <c r="F698" t="s">
        <v>1166</v>
      </c>
      <c r="G698" t="s">
        <v>400</v>
      </c>
      <c r="H698" s="9">
        <v>4.99</v>
      </c>
      <c r="I698" s="3">
        <v>1</v>
      </c>
      <c r="J698" s="5" t="s">
        <v>68</v>
      </c>
      <c r="K698" s="15">
        <v>41765.544594907406</v>
      </c>
      <c r="L698" s="20">
        <f t="shared" si="30"/>
        <v>41765</v>
      </c>
      <c r="M698" t="str">
        <f t="shared" si="31"/>
        <v>05-2014</v>
      </c>
      <c r="N698">
        <f t="shared" si="32"/>
        <v>4.99</v>
      </c>
    </row>
    <row r="699" spans="3:14" x14ac:dyDescent="0.25">
      <c r="C699" t="str">
        <f>IF(COUNTBLANK(E699:K699) = 7,"",IF(AND(NOT(ISBLANK(E699)),COUNTBLANK(E699:K699) = 6),"3 Delete",IF(ISBLANK(E699),"2 Add",IF(SHA1Range(E699:K699) = "94313f66dbc0d82f70e37192b214c946b93eb257","0 Original","1 Modify"))))</f>
        <v>0 Original</v>
      </c>
      <c r="D699" s="5" t="s">
        <v>2973</v>
      </c>
      <c r="E699" s="3">
        <v>2747</v>
      </c>
      <c r="F699" t="s">
        <v>1166</v>
      </c>
      <c r="G699" t="s">
        <v>400</v>
      </c>
      <c r="H699" s="9">
        <v>4.99</v>
      </c>
      <c r="I699" s="3">
        <v>1</v>
      </c>
      <c r="J699" s="5" t="s">
        <v>68</v>
      </c>
      <c r="K699" s="15">
        <v>41765.544594907406</v>
      </c>
      <c r="L699" s="20">
        <f t="shared" si="30"/>
        <v>41765</v>
      </c>
      <c r="M699" t="str">
        <f t="shared" si="31"/>
        <v>05-2014</v>
      </c>
      <c r="N699">
        <f t="shared" si="32"/>
        <v>4.99</v>
      </c>
    </row>
    <row r="700" spans="3:14" x14ac:dyDescent="0.25">
      <c r="C700" t="str">
        <f>IF(COUNTBLANK(E700:K700) = 7,"",IF(AND(NOT(ISBLANK(E700)),COUNTBLANK(E700:K700) = 6),"3 Delete",IF(ISBLANK(E700),"2 Add",IF(SHA1Range(E700:K700) = "ab604b0940b8ad061b32c3b5d9211e3525561a1b","0 Original","1 Modify"))))</f>
        <v>0 Original</v>
      </c>
      <c r="D700" s="5" t="s">
        <v>2974</v>
      </c>
      <c r="E700" s="3">
        <v>2748</v>
      </c>
      <c r="F700" t="s">
        <v>1166</v>
      </c>
      <c r="G700" t="s">
        <v>687</v>
      </c>
      <c r="H700" s="9">
        <v>9.99</v>
      </c>
      <c r="I700" s="3">
        <v>2</v>
      </c>
      <c r="J700" s="5" t="s">
        <v>68</v>
      </c>
      <c r="K700" s="15">
        <v>41765.544594907406</v>
      </c>
      <c r="L700" s="20">
        <f t="shared" si="30"/>
        <v>41765</v>
      </c>
      <c r="M700" t="str">
        <f t="shared" si="31"/>
        <v>05-2014</v>
      </c>
      <c r="N700">
        <f t="shared" si="32"/>
        <v>19.98</v>
      </c>
    </row>
    <row r="701" spans="3:14" x14ac:dyDescent="0.25">
      <c r="C701" t="str">
        <f>IF(COUNTBLANK(E701:K701) = 7,"",IF(AND(NOT(ISBLANK(E701)),COUNTBLANK(E701:K701) = 6),"3 Delete",IF(ISBLANK(E701),"2 Add",IF(SHA1Range(E701:K701) = "6b331f096d7afe7c47097f46433ad9d996555e2f","0 Original","1 Modify"))))</f>
        <v>0 Original</v>
      </c>
      <c r="D701" s="5" t="s">
        <v>2975</v>
      </c>
      <c r="E701" s="3">
        <v>2754</v>
      </c>
      <c r="F701" t="s">
        <v>1167</v>
      </c>
      <c r="G701" t="s">
        <v>642</v>
      </c>
      <c r="H701" s="9">
        <v>9.99</v>
      </c>
      <c r="I701" s="3">
        <v>1</v>
      </c>
      <c r="J701" s="5" t="s">
        <v>68</v>
      </c>
      <c r="K701" s="15">
        <v>41766.389594907407</v>
      </c>
      <c r="L701" s="20">
        <f t="shared" si="30"/>
        <v>41766</v>
      </c>
      <c r="M701" t="str">
        <f t="shared" si="31"/>
        <v>05-2014</v>
      </c>
      <c r="N701">
        <f t="shared" si="32"/>
        <v>9.99</v>
      </c>
    </row>
    <row r="702" spans="3:14" x14ac:dyDescent="0.25">
      <c r="C702" t="str">
        <f>IF(COUNTBLANK(E702:K702) = 7,"",IF(AND(NOT(ISBLANK(E702)),COUNTBLANK(E702:K702) = 6),"3 Delete",IF(ISBLANK(E702),"2 Add",IF(SHA1Range(E702:K702) = "e3b222dcc6c10060a0a27b82f67a4e602c55c10a","0 Original","1 Modify"))))</f>
        <v>0 Original</v>
      </c>
      <c r="D702" s="5" t="s">
        <v>2976</v>
      </c>
      <c r="E702" s="3">
        <v>2755</v>
      </c>
      <c r="F702" t="s">
        <v>1167</v>
      </c>
      <c r="G702" t="s">
        <v>514</v>
      </c>
      <c r="H702" s="9">
        <v>6.99</v>
      </c>
      <c r="I702" s="3">
        <v>1</v>
      </c>
      <c r="J702" s="5" t="s">
        <v>68</v>
      </c>
      <c r="K702" s="15">
        <v>41766.389594907407</v>
      </c>
      <c r="L702" s="20">
        <f t="shared" si="30"/>
        <v>41766</v>
      </c>
      <c r="M702" t="str">
        <f t="shared" si="31"/>
        <v>05-2014</v>
      </c>
      <c r="N702">
        <f t="shared" si="32"/>
        <v>6.99</v>
      </c>
    </row>
    <row r="703" spans="3:14" x14ac:dyDescent="0.25">
      <c r="C703" t="str">
        <f>IF(COUNTBLANK(E703:K703) = 7,"",IF(AND(NOT(ISBLANK(E703)),COUNTBLANK(E703:K703) = 6),"3 Delete",IF(ISBLANK(E703),"2 Add",IF(SHA1Range(E703:K703) = "b8f4f86db0bd055071a676a88554cc58c00e12a5","0 Original","1 Modify"))))</f>
        <v>0 Original</v>
      </c>
      <c r="D703" s="5" t="s">
        <v>2977</v>
      </c>
      <c r="E703" s="3">
        <v>2756</v>
      </c>
      <c r="F703" t="s">
        <v>1167</v>
      </c>
      <c r="G703" t="s">
        <v>687</v>
      </c>
      <c r="H703" s="9">
        <v>9.99</v>
      </c>
      <c r="I703" s="3">
        <v>2</v>
      </c>
      <c r="J703" s="5" t="s">
        <v>68</v>
      </c>
      <c r="K703" s="15">
        <v>41766.389594907407</v>
      </c>
      <c r="L703" s="20">
        <f t="shared" si="30"/>
        <v>41766</v>
      </c>
      <c r="M703" t="str">
        <f t="shared" si="31"/>
        <v>05-2014</v>
      </c>
      <c r="N703">
        <f t="shared" si="32"/>
        <v>19.98</v>
      </c>
    </row>
    <row r="704" spans="3:14" x14ac:dyDescent="0.25">
      <c r="C704" t="str">
        <f>IF(COUNTBLANK(E704:K704) = 7,"",IF(AND(NOT(ISBLANK(E704)),COUNTBLANK(E704:K704) = 6),"3 Delete",IF(ISBLANK(E704),"2 Add",IF(SHA1Range(E704:K704) = "ea14c6a07ddfd2bd790fd43f11d26addf8a98ed3","0 Original","1 Modify"))))</f>
        <v>0 Original</v>
      </c>
      <c r="D704" s="5" t="s">
        <v>2978</v>
      </c>
      <c r="E704" s="3">
        <v>2757</v>
      </c>
      <c r="F704" t="s">
        <v>1167</v>
      </c>
      <c r="G704" t="s">
        <v>373</v>
      </c>
      <c r="H704" s="9">
        <v>7.99</v>
      </c>
      <c r="I704" s="3">
        <v>1</v>
      </c>
      <c r="J704" s="5" t="s">
        <v>68</v>
      </c>
      <c r="K704" s="15">
        <v>41766.389594907407</v>
      </c>
      <c r="L704" s="20">
        <f t="shared" si="30"/>
        <v>41766</v>
      </c>
      <c r="M704" t="str">
        <f t="shared" si="31"/>
        <v>05-2014</v>
      </c>
      <c r="N704">
        <f t="shared" si="32"/>
        <v>7.99</v>
      </c>
    </row>
    <row r="705" spans="3:14" x14ac:dyDescent="0.25">
      <c r="C705" t="str">
        <f>IF(COUNTBLANK(E705:K705) = 7,"",IF(AND(NOT(ISBLANK(E705)),COUNTBLANK(E705:K705) = 6),"3 Delete",IF(ISBLANK(E705),"2 Add",IF(SHA1Range(E705:K705) = "e7fb237a4302eeace5444ab48f666550bbeece39","0 Original","1 Modify"))))</f>
        <v>0 Original</v>
      </c>
      <c r="D705" s="5" t="s">
        <v>2979</v>
      </c>
      <c r="E705" s="3">
        <v>2277</v>
      </c>
      <c r="F705" t="s">
        <v>1168</v>
      </c>
      <c r="G705" t="s">
        <v>697</v>
      </c>
      <c r="H705" s="9">
        <v>5.99</v>
      </c>
      <c r="I705" s="3">
        <v>1</v>
      </c>
      <c r="J705" s="5" t="s">
        <v>68</v>
      </c>
      <c r="K705" s="15">
        <v>41768.010659722226</v>
      </c>
      <c r="L705" s="20">
        <f t="shared" si="30"/>
        <v>41768</v>
      </c>
      <c r="M705" t="str">
        <f t="shared" si="31"/>
        <v>05-2014</v>
      </c>
      <c r="N705">
        <f t="shared" si="32"/>
        <v>5.99</v>
      </c>
    </row>
    <row r="706" spans="3:14" x14ac:dyDescent="0.25">
      <c r="C706" t="str">
        <f>IF(COUNTBLANK(E706:K706) = 7,"",IF(AND(NOT(ISBLANK(E706)),COUNTBLANK(E706:K706) = 6),"3 Delete",IF(ISBLANK(E706),"2 Add",IF(SHA1Range(E706:K706) = "034552af1b9dd387f69d61bb294b6fba550075c7","0 Original","1 Modify"))))</f>
        <v>0 Original</v>
      </c>
      <c r="D706" s="5" t="s">
        <v>2980</v>
      </c>
      <c r="E706" s="3">
        <v>2278</v>
      </c>
      <c r="F706" t="s">
        <v>1168</v>
      </c>
      <c r="G706" t="s">
        <v>528</v>
      </c>
      <c r="H706" s="9">
        <v>5.99</v>
      </c>
      <c r="I706" s="3">
        <v>1</v>
      </c>
      <c r="J706" s="5" t="s">
        <v>68</v>
      </c>
      <c r="K706" s="15">
        <v>41768.010659722226</v>
      </c>
      <c r="L706" s="20">
        <f t="shared" si="30"/>
        <v>41768</v>
      </c>
      <c r="M706" t="str">
        <f t="shared" si="31"/>
        <v>05-2014</v>
      </c>
      <c r="N706">
        <f t="shared" si="32"/>
        <v>5.99</v>
      </c>
    </row>
    <row r="707" spans="3:14" x14ac:dyDescent="0.25">
      <c r="C707" t="str">
        <f>IF(COUNTBLANK(E707:K707) = 7,"",IF(AND(NOT(ISBLANK(E707)),COUNTBLANK(E707:K707) = 6),"3 Delete",IF(ISBLANK(E707),"2 Add",IF(SHA1Range(E707:K707) = "a44b6b1bebe930d3de4190ea7762f5289cb9f39c","0 Original","1 Modify"))))</f>
        <v>0 Original</v>
      </c>
      <c r="D707" s="5" t="s">
        <v>2981</v>
      </c>
      <c r="E707" s="3">
        <v>576</v>
      </c>
      <c r="F707" t="s">
        <v>1169</v>
      </c>
      <c r="G707" t="s">
        <v>854</v>
      </c>
      <c r="H707" s="9">
        <v>8.99</v>
      </c>
      <c r="I707" s="3">
        <v>1</v>
      </c>
      <c r="J707" s="5" t="s">
        <v>68</v>
      </c>
      <c r="K707" s="15">
        <v>41768.292650462965</v>
      </c>
      <c r="L707" s="20">
        <f t="shared" ref="L707:L770" si="33">DATEVALUE(LEFT(F707,10))</f>
        <v>41768</v>
      </c>
      <c r="M707" t="str">
        <f t="shared" ref="M707:M770" si="34">TEXT(L707,"mm-yyyy")</f>
        <v>05-2014</v>
      </c>
      <c r="N707">
        <f t="shared" ref="N707:N770" si="35">H707*I707</f>
        <v>8.99</v>
      </c>
    </row>
    <row r="708" spans="3:14" x14ac:dyDescent="0.25">
      <c r="C708" t="str">
        <f>IF(COUNTBLANK(E708:K708) = 7,"",IF(AND(NOT(ISBLANK(E708)),COUNTBLANK(E708:K708) = 6),"3 Delete",IF(ISBLANK(E708),"2 Add",IF(SHA1Range(E708:K708) = "2695d684047bc18d5912223cf5854c5a54f5d2fb","0 Original","1 Modify"))))</f>
        <v>0 Original</v>
      </c>
      <c r="D708" s="5" t="s">
        <v>2982</v>
      </c>
      <c r="E708" s="3">
        <v>577</v>
      </c>
      <c r="F708" t="s">
        <v>1169</v>
      </c>
      <c r="G708" t="s">
        <v>836</v>
      </c>
      <c r="H708" s="9">
        <v>7.99</v>
      </c>
      <c r="I708" s="3">
        <v>1</v>
      </c>
      <c r="J708" s="5" t="s">
        <v>68</v>
      </c>
      <c r="K708" s="15">
        <v>41768.292650462965</v>
      </c>
      <c r="L708" s="20">
        <f t="shared" si="33"/>
        <v>41768</v>
      </c>
      <c r="M708" t="str">
        <f t="shared" si="34"/>
        <v>05-2014</v>
      </c>
      <c r="N708">
        <f t="shared" si="35"/>
        <v>7.99</v>
      </c>
    </row>
    <row r="709" spans="3:14" x14ac:dyDescent="0.25">
      <c r="C709" t="str">
        <f>IF(COUNTBLANK(E709:K709) = 7,"",IF(AND(NOT(ISBLANK(E709)),COUNTBLANK(E709:K709) = 6),"3 Delete",IF(ISBLANK(E709),"2 Add",IF(SHA1Range(E709:K709) = "be494e9f03cfe6207db25f0f17a7625d300772e3","0 Original","1 Modify"))))</f>
        <v>0 Original</v>
      </c>
      <c r="D709" s="5" t="s">
        <v>2983</v>
      </c>
      <c r="E709" s="3">
        <v>578</v>
      </c>
      <c r="F709" t="s">
        <v>1169</v>
      </c>
      <c r="G709" t="s">
        <v>719</v>
      </c>
      <c r="H709" s="9">
        <v>8.99</v>
      </c>
      <c r="I709" s="3">
        <v>2</v>
      </c>
      <c r="J709" s="5" t="s">
        <v>68</v>
      </c>
      <c r="K709" s="15">
        <v>41768.292650462965</v>
      </c>
      <c r="L709" s="20">
        <f t="shared" si="33"/>
        <v>41768</v>
      </c>
      <c r="M709" t="str">
        <f t="shared" si="34"/>
        <v>05-2014</v>
      </c>
      <c r="N709">
        <f t="shared" si="35"/>
        <v>17.98</v>
      </c>
    </row>
    <row r="710" spans="3:14" x14ac:dyDescent="0.25">
      <c r="C710" t="str">
        <f>IF(COUNTBLANK(E710:K710) = 7,"",IF(AND(NOT(ISBLANK(E710)),COUNTBLANK(E710:K710) = 6),"3 Delete",IF(ISBLANK(E710),"2 Add",IF(SHA1Range(E710:K710) = "c5783182ee8c3a168827afea9cf85340e981a7cb","0 Original","1 Modify"))))</f>
        <v>0 Original</v>
      </c>
      <c r="D710" s="5" t="s">
        <v>2984</v>
      </c>
      <c r="E710" s="3">
        <v>579</v>
      </c>
      <c r="F710" t="s">
        <v>1169</v>
      </c>
      <c r="G710" t="s">
        <v>448</v>
      </c>
      <c r="H710" s="9">
        <v>8.99</v>
      </c>
      <c r="I710" s="3">
        <v>2</v>
      </c>
      <c r="J710" s="5" t="s">
        <v>68</v>
      </c>
      <c r="K710" s="15">
        <v>41768.292650462965</v>
      </c>
      <c r="L710" s="20">
        <f t="shared" si="33"/>
        <v>41768</v>
      </c>
      <c r="M710" t="str">
        <f t="shared" si="34"/>
        <v>05-2014</v>
      </c>
      <c r="N710">
        <f t="shared" si="35"/>
        <v>17.98</v>
      </c>
    </row>
    <row r="711" spans="3:14" x14ac:dyDescent="0.25">
      <c r="C711" t="str">
        <f>IF(COUNTBLANK(E711:K711) = 7,"",IF(AND(NOT(ISBLANK(E711)),COUNTBLANK(E711:K711) = 6),"3 Delete",IF(ISBLANK(E711),"2 Add",IF(SHA1Range(E711:K711) = "fa990a145a5235e8dd86aa284e587199a8bf1754","0 Original","1 Modify"))))</f>
        <v>0 Original</v>
      </c>
      <c r="D711" s="5" t="s">
        <v>2985</v>
      </c>
      <c r="E711" s="3">
        <v>580</v>
      </c>
      <c r="F711" t="s">
        <v>1169</v>
      </c>
      <c r="G711" t="s">
        <v>832</v>
      </c>
      <c r="H711" s="9">
        <v>5.99</v>
      </c>
      <c r="I711" s="3">
        <v>2</v>
      </c>
      <c r="J711" s="5" t="s">
        <v>68</v>
      </c>
      <c r="K711" s="15">
        <v>41768.292650462965</v>
      </c>
      <c r="L711" s="20">
        <f t="shared" si="33"/>
        <v>41768</v>
      </c>
      <c r="M711" t="str">
        <f t="shared" si="34"/>
        <v>05-2014</v>
      </c>
      <c r="N711">
        <f t="shared" si="35"/>
        <v>11.98</v>
      </c>
    </row>
    <row r="712" spans="3:14" x14ac:dyDescent="0.25">
      <c r="C712" t="str">
        <f>IF(COUNTBLANK(E712:K712) = 7,"",IF(AND(NOT(ISBLANK(E712)),COUNTBLANK(E712:K712) = 6),"3 Delete",IF(ISBLANK(E712),"2 Add",IF(SHA1Range(E712:K712) = "8451d048741d9ae27163af111e232c9bd42f5227","0 Original","1 Modify"))))</f>
        <v>0 Original</v>
      </c>
      <c r="D712" s="5" t="s">
        <v>2986</v>
      </c>
      <c r="E712" s="3">
        <v>581</v>
      </c>
      <c r="F712" t="s">
        <v>1169</v>
      </c>
      <c r="G712" t="s">
        <v>560</v>
      </c>
      <c r="H712" s="9">
        <v>8.99</v>
      </c>
      <c r="I712" s="3">
        <v>1</v>
      </c>
      <c r="J712" s="5" t="s">
        <v>68</v>
      </c>
      <c r="K712" s="15">
        <v>41768.292650462965</v>
      </c>
      <c r="L712" s="20">
        <f t="shared" si="33"/>
        <v>41768</v>
      </c>
      <c r="M712" t="str">
        <f t="shared" si="34"/>
        <v>05-2014</v>
      </c>
      <c r="N712">
        <f t="shared" si="35"/>
        <v>8.99</v>
      </c>
    </row>
    <row r="713" spans="3:14" x14ac:dyDescent="0.25">
      <c r="C713" t="str">
        <f>IF(COUNTBLANK(E713:K713) = 7,"",IF(AND(NOT(ISBLANK(E713)),COUNTBLANK(E713:K713) = 6),"3 Delete",IF(ISBLANK(E713),"2 Add",IF(SHA1Range(E713:K713) = "47c6c5132258e9f89882054784da198f99ebdd43","0 Original","1 Modify"))))</f>
        <v>0 Original</v>
      </c>
      <c r="D713" s="5" t="s">
        <v>2987</v>
      </c>
      <c r="E713" s="3">
        <v>1545</v>
      </c>
      <c r="F713" t="s">
        <v>1170</v>
      </c>
      <c r="G713" t="s">
        <v>680</v>
      </c>
      <c r="H713" s="9">
        <v>8.99</v>
      </c>
      <c r="I713" s="3">
        <v>2</v>
      </c>
      <c r="J713" s="5" t="s">
        <v>68</v>
      </c>
      <c r="K713" s="15">
        <v>41769.513668981483</v>
      </c>
      <c r="L713" s="20">
        <f t="shared" si="33"/>
        <v>41769</v>
      </c>
      <c r="M713" t="str">
        <f t="shared" si="34"/>
        <v>05-2014</v>
      </c>
      <c r="N713">
        <f t="shared" si="35"/>
        <v>17.98</v>
      </c>
    </row>
    <row r="714" spans="3:14" x14ac:dyDescent="0.25">
      <c r="C714" t="str">
        <f>IF(COUNTBLANK(E714:K714) = 7,"",IF(AND(NOT(ISBLANK(E714)),COUNTBLANK(E714:K714) = 6),"3 Delete",IF(ISBLANK(E714),"2 Add",IF(SHA1Range(E714:K714) = "f4137b1fceaf69ff6e8e46bbdc651a3235acc0c1","0 Original","1 Modify"))))</f>
        <v>0 Original</v>
      </c>
      <c r="D714" s="5" t="s">
        <v>2988</v>
      </c>
      <c r="E714" s="3">
        <v>1546</v>
      </c>
      <c r="F714" t="s">
        <v>1170</v>
      </c>
      <c r="G714" t="s">
        <v>945</v>
      </c>
      <c r="H714" s="9">
        <v>4.99</v>
      </c>
      <c r="I714" s="3">
        <v>1</v>
      </c>
      <c r="J714" s="5" t="s">
        <v>68</v>
      </c>
      <c r="K714" s="15">
        <v>41769.513668981483</v>
      </c>
      <c r="L714" s="20">
        <f t="shared" si="33"/>
        <v>41769</v>
      </c>
      <c r="M714" t="str">
        <f t="shared" si="34"/>
        <v>05-2014</v>
      </c>
      <c r="N714">
        <f t="shared" si="35"/>
        <v>4.99</v>
      </c>
    </row>
    <row r="715" spans="3:14" x14ac:dyDescent="0.25">
      <c r="C715" t="str">
        <f>IF(COUNTBLANK(E715:K715) = 7,"",IF(AND(NOT(ISBLANK(E715)),COUNTBLANK(E715:K715) = 6),"3 Delete",IF(ISBLANK(E715),"2 Add",IF(SHA1Range(E715:K715) = "d097d1f4890729d1b0e4a9a8d90537e0f023f279","0 Original","1 Modify"))))</f>
        <v>0 Original</v>
      </c>
      <c r="D715" s="5" t="s">
        <v>2989</v>
      </c>
      <c r="E715" s="3">
        <v>1547</v>
      </c>
      <c r="F715" t="s">
        <v>1170</v>
      </c>
      <c r="G715" t="s">
        <v>891</v>
      </c>
      <c r="H715" s="9">
        <v>8.99</v>
      </c>
      <c r="I715" s="3">
        <v>1</v>
      </c>
      <c r="J715" s="5" t="s">
        <v>68</v>
      </c>
      <c r="K715" s="15">
        <v>41769.513668981483</v>
      </c>
      <c r="L715" s="20">
        <f t="shared" si="33"/>
        <v>41769</v>
      </c>
      <c r="M715" t="str">
        <f t="shared" si="34"/>
        <v>05-2014</v>
      </c>
      <c r="N715">
        <f t="shared" si="35"/>
        <v>8.99</v>
      </c>
    </row>
    <row r="716" spans="3:14" x14ac:dyDescent="0.25">
      <c r="C716" t="str">
        <f>IF(COUNTBLANK(E716:K716) = 7,"",IF(AND(NOT(ISBLANK(E716)),COUNTBLANK(E716:K716) = 6),"3 Delete",IF(ISBLANK(E716),"2 Add",IF(SHA1Range(E716:K716) = "268fbe2a08e4b90ce27d505d9eb638481aaffc05","0 Original","1 Modify"))))</f>
        <v>0 Original</v>
      </c>
      <c r="D716" s="5" t="s">
        <v>2990</v>
      </c>
      <c r="E716" s="3">
        <v>3635</v>
      </c>
      <c r="F716" t="s">
        <v>1171</v>
      </c>
      <c r="G716" t="s">
        <v>514</v>
      </c>
      <c r="H716" s="9">
        <v>6.99</v>
      </c>
      <c r="I716" s="3">
        <v>1</v>
      </c>
      <c r="J716" s="5" t="s">
        <v>68</v>
      </c>
      <c r="K716" s="15">
        <v>41770.209421296298</v>
      </c>
      <c r="L716" s="20">
        <f t="shared" si="33"/>
        <v>41770</v>
      </c>
      <c r="M716" t="str">
        <f t="shared" si="34"/>
        <v>05-2014</v>
      </c>
      <c r="N716">
        <f t="shared" si="35"/>
        <v>6.99</v>
      </c>
    </row>
    <row r="717" spans="3:14" x14ac:dyDescent="0.25">
      <c r="C717" t="str">
        <f>IF(COUNTBLANK(E717:K717) = 7,"",IF(AND(NOT(ISBLANK(E717)),COUNTBLANK(E717:K717) = 6),"3 Delete",IF(ISBLANK(E717),"2 Add",IF(SHA1Range(E717:K717) = "a492e5501fde7204cd84f46bcb63011ac68226d9","0 Original","1 Modify"))))</f>
        <v>0 Original</v>
      </c>
      <c r="D717" s="5" t="s">
        <v>2991</v>
      </c>
      <c r="E717" s="3">
        <v>3636</v>
      </c>
      <c r="F717" t="s">
        <v>1171</v>
      </c>
      <c r="G717" t="s">
        <v>514</v>
      </c>
      <c r="H717" s="9">
        <v>6.99</v>
      </c>
      <c r="I717" s="3">
        <v>2</v>
      </c>
      <c r="J717" s="5" t="s">
        <v>68</v>
      </c>
      <c r="K717" s="15">
        <v>41770.209421296298</v>
      </c>
      <c r="L717" s="20">
        <f t="shared" si="33"/>
        <v>41770</v>
      </c>
      <c r="M717" t="str">
        <f t="shared" si="34"/>
        <v>05-2014</v>
      </c>
      <c r="N717">
        <f t="shared" si="35"/>
        <v>13.98</v>
      </c>
    </row>
    <row r="718" spans="3:14" x14ac:dyDescent="0.25">
      <c r="C718" t="str">
        <f>IF(COUNTBLANK(E718:K718) = 7,"",IF(AND(NOT(ISBLANK(E718)),COUNTBLANK(E718:K718) = 6),"3 Delete",IF(ISBLANK(E718),"2 Add",IF(SHA1Range(E718:K718) = "f30354415c7966d8343dd11af9a3e71a29a3a51b","0 Original","1 Modify"))))</f>
        <v>0 Original</v>
      </c>
      <c r="D718" s="5" t="s">
        <v>2992</v>
      </c>
      <c r="E718" s="3">
        <v>3637</v>
      </c>
      <c r="F718" t="s">
        <v>1171</v>
      </c>
      <c r="G718" t="s">
        <v>400</v>
      </c>
      <c r="H718" s="9">
        <v>4.99</v>
      </c>
      <c r="I718" s="3">
        <v>2</v>
      </c>
      <c r="J718" s="5" t="s">
        <v>68</v>
      </c>
      <c r="K718" s="15">
        <v>41770.209421296298</v>
      </c>
      <c r="L718" s="20">
        <f t="shared" si="33"/>
        <v>41770</v>
      </c>
      <c r="M718" t="str">
        <f t="shared" si="34"/>
        <v>05-2014</v>
      </c>
      <c r="N718">
        <f t="shared" si="35"/>
        <v>9.98</v>
      </c>
    </row>
    <row r="719" spans="3:14" x14ac:dyDescent="0.25">
      <c r="C719" t="str">
        <f>IF(COUNTBLANK(E719:K719) = 7,"",IF(AND(NOT(ISBLANK(E719)),COUNTBLANK(E719:K719) = 6),"3 Delete",IF(ISBLANK(E719),"2 Add",IF(SHA1Range(E719:K719) = "1e0fc3894281bafcb4052f36893152066d821512","0 Original","1 Modify"))))</f>
        <v>0 Original</v>
      </c>
      <c r="D719" s="5" t="s">
        <v>2993</v>
      </c>
      <c r="E719" s="3">
        <v>3638</v>
      </c>
      <c r="F719" t="s">
        <v>1171</v>
      </c>
      <c r="G719" t="s">
        <v>948</v>
      </c>
      <c r="H719" s="9">
        <v>4.99</v>
      </c>
      <c r="I719" s="3">
        <v>1</v>
      </c>
      <c r="J719" s="5" t="s">
        <v>68</v>
      </c>
      <c r="K719" s="15">
        <v>41770.209421296298</v>
      </c>
      <c r="L719" s="20">
        <f t="shared" si="33"/>
        <v>41770</v>
      </c>
      <c r="M719" t="str">
        <f t="shared" si="34"/>
        <v>05-2014</v>
      </c>
      <c r="N719">
        <f t="shared" si="35"/>
        <v>4.99</v>
      </c>
    </row>
    <row r="720" spans="3:14" x14ac:dyDescent="0.25">
      <c r="C720" t="str">
        <f>IF(COUNTBLANK(E720:K720) = 7,"",IF(AND(NOT(ISBLANK(E720)),COUNTBLANK(E720:K720) = 6),"3 Delete",IF(ISBLANK(E720),"2 Add",IF(SHA1Range(E720:K720) = "b05c44f4a4c9d6c56574c652e3585f0520a86d3a","0 Original","1 Modify"))))</f>
        <v>0 Original</v>
      </c>
      <c r="D720" s="5" t="s">
        <v>2994</v>
      </c>
      <c r="E720" s="3">
        <v>3639</v>
      </c>
      <c r="F720" t="s">
        <v>1171</v>
      </c>
      <c r="G720" t="s">
        <v>514</v>
      </c>
      <c r="H720" s="9">
        <v>6.99</v>
      </c>
      <c r="I720" s="3">
        <v>2</v>
      </c>
      <c r="J720" s="5" t="s">
        <v>68</v>
      </c>
      <c r="K720" s="15">
        <v>41770.209421296298</v>
      </c>
      <c r="L720" s="20">
        <f t="shared" si="33"/>
        <v>41770</v>
      </c>
      <c r="M720" t="str">
        <f t="shared" si="34"/>
        <v>05-2014</v>
      </c>
      <c r="N720">
        <f t="shared" si="35"/>
        <v>13.98</v>
      </c>
    </row>
    <row r="721" spans="3:14" x14ac:dyDescent="0.25">
      <c r="C721" t="str">
        <f>IF(COUNTBLANK(E721:K721) = 7,"",IF(AND(NOT(ISBLANK(E721)),COUNTBLANK(E721:K721) = 6),"3 Delete",IF(ISBLANK(E721),"2 Add",IF(SHA1Range(E721:K721) = "12e14ff17a55085b13055ebd359fd8cea169b059","0 Original","1 Modify"))))</f>
        <v>0 Original</v>
      </c>
      <c r="D721" s="5" t="s">
        <v>2995</v>
      </c>
      <c r="E721" s="3">
        <v>2478</v>
      </c>
      <c r="F721" t="s">
        <v>1172</v>
      </c>
      <c r="G721" t="s">
        <v>642</v>
      </c>
      <c r="H721" s="9">
        <v>9.99</v>
      </c>
      <c r="I721" s="3">
        <v>1</v>
      </c>
      <c r="J721" s="5" t="s">
        <v>68</v>
      </c>
      <c r="K721" s="15">
        <v>41770.478333333333</v>
      </c>
      <c r="L721" s="20">
        <f t="shared" si="33"/>
        <v>41770</v>
      </c>
      <c r="M721" t="str">
        <f t="shared" si="34"/>
        <v>05-2014</v>
      </c>
      <c r="N721">
        <f t="shared" si="35"/>
        <v>9.99</v>
      </c>
    </row>
    <row r="722" spans="3:14" x14ac:dyDescent="0.25">
      <c r="C722" t="str">
        <f>IF(COUNTBLANK(E722:K722) = 7,"",IF(AND(NOT(ISBLANK(E722)),COUNTBLANK(E722:K722) = 6),"3 Delete",IF(ISBLANK(E722),"2 Add",IF(SHA1Range(E722:K722) = "34d451ecabb3dc23752d045c4445a53fce26ff16","0 Original","1 Modify"))))</f>
        <v>0 Original</v>
      </c>
      <c r="D722" s="5" t="s">
        <v>2996</v>
      </c>
      <c r="E722" s="3">
        <v>2479</v>
      </c>
      <c r="F722" t="s">
        <v>1172</v>
      </c>
      <c r="G722" t="s">
        <v>400</v>
      </c>
      <c r="H722" s="9">
        <v>4.99</v>
      </c>
      <c r="I722" s="3">
        <v>2</v>
      </c>
      <c r="J722" s="5" t="s">
        <v>68</v>
      </c>
      <c r="K722" s="15">
        <v>41770.478333333333</v>
      </c>
      <c r="L722" s="20">
        <f t="shared" si="33"/>
        <v>41770</v>
      </c>
      <c r="M722" t="str">
        <f t="shared" si="34"/>
        <v>05-2014</v>
      </c>
      <c r="N722">
        <f t="shared" si="35"/>
        <v>9.98</v>
      </c>
    </row>
    <row r="723" spans="3:14" x14ac:dyDescent="0.25">
      <c r="C723" t="str">
        <f>IF(COUNTBLANK(E723:K723) = 7,"",IF(AND(NOT(ISBLANK(E723)),COUNTBLANK(E723:K723) = 6),"3 Delete",IF(ISBLANK(E723),"2 Add",IF(SHA1Range(E723:K723) = "3b7ab06bf10c669253ec38056a1f0269e46e573c","0 Original","1 Modify"))))</f>
        <v>0 Original</v>
      </c>
      <c r="D723" s="5" t="s">
        <v>2997</v>
      </c>
      <c r="E723" s="3">
        <v>2480</v>
      </c>
      <c r="F723" t="s">
        <v>1172</v>
      </c>
      <c r="G723" t="s">
        <v>687</v>
      </c>
      <c r="H723" s="9">
        <v>9.99</v>
      </c>
      <c r="I723" s="3">
        <v>1</v>
      </c>
      <c r="J723" s="5" t="s">
        <v>68</v>
      </c>
      <c r="K723" s="15">
        <v>41770.478333333333</v>
      </c>
      <c r="L723" s="20">
        <f t="shared" si="33"/>
        <v>41770</v>
      </c>
      <c r="M723" t="str">
        <f t="shared" si="34"/>
        <v>05-2014</v>
      </c>
      <c r="N723">
        <f t="shared" si="35"/>
        <v>9.99</v>
      </c>
    </row>
    <row r="724" spans="3:14" x14ac:dyDescent="0.25">
      <c r="C724" t="str">
        <f>IF(COUNTBLANK(E724:K724) = 7,"",IF(AND(NOT(ISBLANK(E724)),COUNTBLANK(E724:K724) = 6),"3 Delete",IF(ISBLANK(E724),"2 Add",IF(SHA1Range(E724:K724) = "49d0678acffbdf009a19f4a15d09a98625073234","0 Original","1 Modify"))))</f>
        <v>0 Original</v>
      </c>
      <c r="D724" s="5" t="s">
        <v>2998</v>
      </c>
      <c r="E724" s="3">
        <v>2481</v>
      </c>
      <c r="F724" t="s">
        <v>1172</v>
      </c>
      <c r="G724" t="s">
        <v>749</v>
      </c>
      <c r="H724" s="9">
        <v>5.99</v>
      </c>
      <c r="I724" s="3">
        <v>1</v>
      </c>
      <c r="J724" s="5" t="s">
        <v>68</v>
      </c>
      <c r="K724" s="15">
        <v>41770.478333333333</v>
      </c>
      <c r="L724" s="20">
        <f t="shared" si="33"/>
        <v>41770</v>
      </c>
      <c r="M724" t="str">
        <f t="shared" si="34"/>
        <v>05-2014</v>
      </c>
      <c r="N724">
        <f t="shared" si="35"/>
        <v>5.99</v>
      </c>
    </row>
    <row r="725" spans="3:14" x14ac:dyDescent="0.25">
      <c r="C725" t="str">
        <f>IF(COUNTBLANK(E725:K725) = 7,"",IF(AND(NOT(ISBLANK(E725)),COUNTBLANK(E725:K725) = 6),"3 Delete",IF(ISBLANK(E725),"2 Add",IF(SHA1Range(E725:K725) = "c588053a46ab61fe7364664eb733d10f3fd40ca5","0 Original","1 Modify"))))</f>
        <v>0 Original</v>
      </c>
      <c r="D725" s="5" t="s">
        <v>2999</v>
      </c>
      <c r="E725" s="3">
        <v>2482</v>
      </c>
      <c r="F725" t="s">
        <v>1172</v>
      </c>
      <c r="G725" t="s">
        <v>749</v>
      </c>
      <c r="H725" s="9">
        <v>5.99</v>
      </c>
      <c r="I725" s="3">
        <v>1</v>
      </c>
      <c r="J725" s="5" t="s">
        <v>68</v>
      </c>
      <c r="K725" s="15">
        <v>41770.478333333333</v>
      </c>
      <c r="L725" s="20">
        <f t="shared" si="33"/>
        <v>41770</v>
      </c>
      <c r="M725" t="str">
        <f t="shared" si="34"/>
        <v>05-2014</v>
      </c>
      <c r="N725">
        <f t="shared" si="35"/>
        <v>5.99</v>
      </c>
    </row>
    <row r="726" spans="3:14" x14ac:dyDescent="0.25">
      <c r="C726" t="str">
        <f>IF(COUNTBLANK(E726:K726) = 7,"",IF(AND(NOT(ISBLANK(E726)),COUNTBLANK(E726:K726) = 6),"3 Delete",IF(ISBLANK(E726),"2 Add",IF(SHA1Range(E726:K726) = "fa57b5172895e8d959eaadc5f1f6561d1fd55ac6","0 Original","1 Modify"))))</f>
        <v>0 Original</v>
      </c>
      <c r="D726" s="5" t="s">
        <v>3000</v>
      </c>
      <c r="E726" s="3">
        <v>2483</v>
      </c>
      <c r="F726" t="s">
        <v>1172</v>
      </c>
      <c r="G726" t="s">
        <v>707</v>
      </c>
      <c r="H726" s="9">
        <v>7.99</v>
      </c>
      <c r="I726" s="3">
        <v>1</v>
      </c>
      <c r="J726" s="5" t="s">
        <v>68</v>
      </c>
      <c r="K726" s="15">
        <v>41770.478333333333</v>
      </c>
      <c r="L726" s="20">
        <f t="shared" si="33"/>
        <v>41770</v>
      </c>
      <c r="M726" t="str">
        <f t="shared" si="34"/>
        <v>05-2014</v>
      </c>
      <c r="N726">
        <f t="shared" si="35"/>
        <v>7.99</v>
      </c>
    </row>
    <row r="727" spans="3:14" x14ac:dyDescent="0.25">
      <c r="C727" t="str">
        <f>IF(COUNTBLANK(E727:K727) = 7,"",IF(AND(NOT(ISBLANK(E727)),COUNTBLANK(E727:K727) = 6),"3 Delete",IF(ISBLANK(E727),"2 Add",IF(SHA1Range(E727:K727) = "5c97fd8e51d94d727274a0be2380a4b2919a6dc0","0 Original","1 Modify"))))</f>
        <v>0 Original</v>
      </c>
      <c r="D727" s="5" t="s">
        <v>3001</v>
      </c>
      <c r="E727" s="3">
        <v>1487</v>
      </c>
      <c r="F727" t="s">
        <v>1173</v>
      </c>
      <c r="G727" t="s">
        <v>945</v>
      </c>
      <c r="H727" s="9">
        <v>4.99</v>
      </c>
      <c r="I727" s="3">
        <v>1</v>
      </c>
      <c r="J727" s="5" t="s">
        <v>68</v>
      </c>
      <c r="K727" s="15">
        <v>41771.969340277778</v>
      </c>
      <c r="L727" s="20">
        <f t="shared" si="33"/>
        <v>41771</v>
      </c>
      <c r="M727" t="str">
        <f t="shared" si="34"/>
        <v>05-2014</v>
      </c>
      <c r="N727">
        <f t="shared" si="35"/>
        <v>4.99</v>
      </c>
    </row>
    <row r="728" spans="3:14" x14ac:dyDescent="0.25">
      <c r="C728" t="str">
        <f>IF(COUNTBLANK(E728:K728) = 7,"",IF(AND(NOT(ISBLANK(E728)),COUNTBLANK(E728:K728) = 6),"3 Delete",IF(ISBLANK(E728),"2 Add",IF(SHA1Range(E728:K728) = "57b751d38fab011ee891b353120d2243b1f2a518","0 Original","1 Modify"))))</f>
        <v>0 Original</v>
      </c>
      <c r="D728" s="5" t="s">
        <v>3002</v>
      </c>
      <c r="E728" s="3">
        <v>1488</v>
      </c>
      <c r="F728" t="s">
        <v>1173</v>
      </c>
      <c r="G728" t="s">
        <v>373</v>
      </c>
      <c r="H728" s="9">
        <v>7.99</v>
      </c>
      <c r="I728" s="3">
        <v>1</v>
      </c>
      <c r="J728" s="5" t="s">
        <v>68</v>
      </c>
      <c r="K728" s="15">
        <v>41771.969340277778</v>
      </c>
      <c r="L728" s="20">
        <f t="shared" si="33"/>
        <v>41771</v>
      </c>
      <c r="M728" t="str">
        <f t="shared" si="34"/>
        <v>05-2014</v>
      </c>
      <c r="N728">
        <f t="shared" si="35"/>
        <v>7.99</v>
      </c>
    </row>
    <row r="729" spans="3:14" x14ac:dyDescent="0.25">
      <c r="C729" t="str">
        <f>IF(COUNTBLANK(E729:K729) = 7,"",IF(AND(NOT(ISBLANK(E729)),COUNTBLANK(E729:K729) = 6),"3 Delete",IF(ISBLANK(E729),"2 Add",IF(SHA1Range(E729:K729) = "cc01674c878e6202d3adddebbb0131991acd92d9","0 Original","1 Modify"))))</f>
        <v>0 Original</v>
      </c>
      <c r="D729" s="5" t="s">
        <v>3003</v>
      </c>
      <c r="E729" s="3">
        <v>1489</v>
      </c>
      <c r="F729" t="s">
        <v>1173</v>
      </c>
      <c r="G729" t="s">
        <v>373</v>
      </c>
      <c r="H729" s="9">
        <v>7.99</v>
      </c>
      <c r="I729" s="3">
        <v>1</v>
      </c>
      <c r="J729" s="5" t="s">
        <v>68</v>
      </c>
      <c r="K729" s="15">
        <v>41771.969340277778</v>
      </c>
      <c r="L729" s="20">
        <f t="shared" si="33"/>
        <v>41771</v>
      </c>
      <c r="M729" t="str">
        <f t="shared" si="34"/>
        <v>05-2014</v>
      </c>
      <c r="N729">
        <f t="shared" si="35"/>
        <v>7.99</v>
      </c>
    </row>
    <row r="730" spans="3:14" x14ac:dyDescent="0.25">
      <c r="C730" t="str">
        <f>IF(COUNTBLANK(E730:K730) = 7,"",IF(AND(NOT(ISBLANK(E730)),COUNTBLANK(E730:K730) = 6),"3 Delete",IF(ISBLANK(E730),"2 Add",IF(SHA1Range(E730:K730) = "cb23d308e3de8f3527f8997cf7c6231fc331185b","0 Original","1 Modify"))))</f>
        <v>0 Original</v>
      </c>
      <c r="D730" s="5" t="s">
        <v>3004</v>
      </c>
      <c r="E730" s="3">
        <v>1490</v>
      </c>
      <c r="F730" t="s">
        <v>1173</v>
      </c>
      <c r="G730" t="s">
        <v>912</v>
      </c>
      <c r="H730" s="9">
        <v>6.99</v>
      </c>
      <c r="I730" s="3">
        <v>1</v>
      </c>
      <c r="J730" s="5" t="s">
        <v>68</v>
      </c>
      <c r="K730" s="15">
        <v>41771.969340277778</v>
      </c>
      <c r="L730" s="20">
        <f t="shared" si="33"/>
        <v>41771</v>
      </c>
      <c r="M730" t="str">
        <f t="shared" si="34"/>
        <v>05-2014</v>
      </c>
      <c r="N730">
        <f t="shared" si="35"/>
        <v>6.99</v>
      </c>
    </row>
    <row r="731" spans="3:14" x14ac:dyDescent="0.25">
      <c r="C731" t="str">
        <f>IF(COUNTBLANK(E731:K731) = 7,"",IF(AND(NOT(ISBLANK(E731)),COUNTBLANK(E731:K731) = 6),"3 Delete",IF(ISBLANK(E731),"2 Add",IF(SHA1Range(E731:K731) = "0b25243e67465552dcda742d98cc62040a8d2bb0","0 Original","1 Modify"))))</f>
        <v>0 Original</v>
      </c>
      <c r="D731" s="5" t="s">
        <v>3005</v>
      </c>
      <c r="E731" s="3">
        <v>498</v>
      </c>
      <c r="F731" t="s">
        <v>1174</v>
      </c>
      <c r="G731" t="s">
        <v>897</v>
      </c>
      <c r="H731" s="9">
        <v>6.99</v>
      </c>
      <c r="I731" s="3">
        <v>1</v>
      </c>
      <c r="J731" s="5" t="s">
        <v>68</v>
      </c>
      <c r="K731" s="15">
        <v>41772.958749999998</v>
      </c>
      <c r="L731" s="20">
        <f t="shared" si="33"/>
        <v>41772</v>
      </c>
      <c r="M731" t="str">
        <f t="shared" si="34"/>
        <v>05-2014</v>
      </c>
      <c r="N731">
        <f t="shared" si="35"/>
        <v>6.99</v>
      </c>
    </row>
    <row r="732" spans="3:14" x14ac:dyDescent="0.25">
      <c r="C732" t="str">
        <f>IF(COUNTBLANK(E732:K732) = 7,"",IF(AND(NOT(ISBLANK(E732)),COUNTBLANK(E732:K732) = 6),"3 Delete",IF(ISBLANK(E732),"2 Add",IF(SHA1Range(E732:K732) = "692c86b220f570b003c46b0302094114718e0014","0 Original","1 Modify"))))</f>
        <v>0 Original</v>
      </c>
      <c r="D732" s="5" t="s">
        <v>3006</v>
      </c>
      <c r="E732" s="3">
        <v>499</v>
      </c>
      <c r="F732" t="s">
        <v>1174</v>
      </c>
      <c r="G732" t="s">
        <v>600</v>
      </c>
      <c r="H732" s="9">
        <v>5.99</v>
      </c>
      <c r="I732" s="3">
        <v>1</v>
      </c>
      <c r="J732" s="5" t="s">
        <v>68</v>
      </c>
      <c r="K732" s="15">
        <v>41772.958749999998</v>
      </c>
      <c r="L732" s="20">
        <f t="shared" si="33"/>
        <v>41772</v>
      </c>
      <c r="M732" t="str">
        <f t="shared" si="34"/>
        <v>05-2014</v>
      </c>
      <c r="N732">
        <f t="shared" si="35"/>
        <v>5.99</v>
      </c>
    </row>
    <row r="733" spans="3:14" x14ac:dyDescent="0.25">
      <c r="C733" t="str">
        <f>IF(COUNTBLANK(E733:K733) = 7,"",IF(AND(NOT(ISBLANK(E733)),COUNTBLANK(E733:K733) = 6),"3 Delete",IF(ISBLANK(E733),"2 Add",IF(SHA1Range(E733:K733) = "91430f232657369f7224eec4e829ba2460a8c4c0","0 Original","1 Modify"))))</f>
        <v>0 Original</v>
      </c>
      <c r="D733" s="5" t="s">
        <v>3007</v>
      </c>
      <c r="E733" s="3">
        <v>500</v>
      </c>
      <c r="F733" t="s">
        <v>1174</v>
      </c>
      <c r="G733" t="s">
        <v>525</v>
      </c>
      <c r="H733" s="9">
        <v>9.99</v>
      </c>
      <c r="I733" s="3">
        <v>2</v>
      </c>
      <c r="J733" s="5" t="s">
        <v>68</v>
      </c>
      <c r="K733" s="15">
        <v>41772.958749999998</v>
      </c>
      <c r="L733" s="20">
        <f t="shared" si="33"/>
        <v>41772</v>
      </c>
      <c r="M733" t="str">
        <f t="shared" si="34"/>
        <v>05-2014</v>
      </c>
      <c r="N733">
        <f t="shared" si="35"/>
        <v>19.98</v>
      </c>
    </row>
    <row r="734" spans="3:14" x14ac:dyDescent="0.25">
      <c r="C734" t="str">
        <f>IF(COUNTBLANK(E734:K734) = 7,"",IF(AND(NOT(ISBLANK(E734)),COUNTBLANK(E734:K734) = 6),"3 Delete",IF(ISBLANK(E734),"2 Add",IF(SHA1Range(E734:K734) = "14f6960650c8c3b265c4f241b5613add67cec805","0 Original","1 Modify"))))</f>
        <v>0 Original</v>
      </c>
      <c r="D734" s="5" t="s">
        <v>3008</v>
      </c>
      <c r="E734" s="3">
        <v>2219</v>
      </c>
      <c r="F734" t="s">
        <v>1175</v>
      </c>
      <c r="G734" t="s">
        <v>781</v>
      </c>
      <c r="H734" s="9">
        <v>5.99</v>
      </c>
      <c r="I734" s="3">
        <v>1</v>
      </c>
      <c r="J734" s="5" t="s">
        <v>68</v>
      </c>
      <c r="K734" s="15">
        <v>41773.28334490741</v>
      </c>
      <c r="L734" s="20">
        <f t="shared" si="33"/>
        <v>41773</v>
      </c>
      <c r="M734" t="str">
        <f t="shared" si="34"/>
        <v>05-2014</v>
      </c>
      <c r="N734">
        <f t="shared" si="35"/>
        <v>5.99</v>
      </c>
    </row>
    <row r="735" spans="3:14" x14ac:dyDescent="0.25">
      <c r="C735" t="str">
        <f>IF(COUNTBLANK(E735:K735) = 7,"",IF(AND(NOT(ISBLANK(E735)),COUNTBLANK(E735:K735) = 6),"3 Delete",IF(ISBLANK(E735),"2 Add",IF(SHA1Range(E735:K735) = "4e7bd0be96d2437d851cc2793c22a1cc2c25ff31","0 Original","1 Modify"))))</f>
        <v>0 Original</v>
      </c>
      <c r="D735" s="5" t="s">
        <v>3009</v>
      </c>
      <c r="E735" s="3">
        <v>2220</v>
      </c>
      <c r="F735" t="s">
        <v>1175</v>
      </c>
      <c r="G735" t="s">
        <v>697</v>
      </c>
      <c r="H735" s="9">
        <v>5.99</v>
      </c>
      <c r="I735" s="3">
        <v>1</v>
      </c>
      <c r="J735" s="5" t="s">
        <v>68</v>
      </c>
      <c r="K735" s="15">
        <v>41773.28334490741</v>
      </c>
      <c r="L735" s="20">
        <f t="shared" si="33"/>
        <v>41773</v>
      </c>
      <c r="M735" t="str">
        <f t="shared" si="34"/>
        <v>05-2014</v>
      </c>
      <c r="N735">
        <f t="shared" si="35"/>
        <v>5.99</v>
      </c>
    </row>
    <row r="736" spans="3:14" x14ac:dyDescent="0.25">
      <c r="C736" t="str">
        <f>IF(COUNTBLANK(E736:K736) = 7,"",IF(AND(NOT(ISBLANK(E736)),COUNTBLANK(E736:K736) = 6),"3 Delete",IF(ISBLANK(E736),"2 Add",IF(SHA1Range(E736:K736) = "ab29d0d70957409f1f27b2d58c06e6c7a660fb42","0 Original","1 Modify"))))</f>
        <v>0 Original</v>
      </c>
      <c r="D736" s="5" t="s">
        <v>3010</v>
      </c>
      <c r="E736" s="3">
        <v>2221</v>
      </c>
      <c r="F736" t="s">
        <v>1175</v>
      </c>
      <c r="G736" t="s">
        <v>739</v>
      </c>
      <c r="H736" s="9">
        <v>8.99</v>
      </c>
      <c r="I736" s="3">
        <v>1</v>
      </c>
      <c r="J736" s="5" t="s">
        <v>68</v>
      </c>
      <c r="K736" s="15">
        <v>41773.28334490741</v>
      </c>
      <c r="L736" s="20">
        <f t="shared" si="33"/>
        <v>41773</v>
      </c>
      <c r="M736" t="str">
        <f t="shared" si="34"/>
        <v>05-2014</v>
      </c>
      <c r="N736">
        <f t="shared" si="35"/>
        <v>8.99</v>
      </c>
    </row>
    <row r="737" spans="3:14" x14ac:dyDescent="0.25">
      <c r="C737" t="str">
        <f>IF(COUNTBLANK(E737:K737) = 7,"",IF(AND(NOT(ISBLANK(E737)),COUNTBLANK(E737:K737) = 6),"3 Delete",IF(ISBLANK(E737),"2 Add",IF(SHA1Range(E737:K737) = "5d4246b57a374db936a520609723a57d7c450a25","0 Original","1 Modify"))))</f>
        <v>0 Original</v>
      </c>
      <c r="D737" s="5" t="s">
        <v>3011</v>
      </c>
      <c r="E737" s="3">
        <v>2039</v>
      </c>
      <c r="F737" t="s">
        <v>1176</v>
      </c>
      <c r="G737" t="s">
        <v>671</v>
      </c>
      <c r="H737" s="9">
        <v>6.99</v>
      </c>
      <c r="I737" s="3">
        <v>2</v>
      </c>
      <c r="J737" s="5" t="s">
        <v>68</v>
      </c>
      <c r="K737" s="15">
        <v>41773.478263888886</v>
      </c>
      <c r="L737" s="20">
        <f t="shared" si="33"/>
        <v>41773</v>
      </c>
      <c r="M737" t="str">
        <f t="shared" si="34"/>
        <v>05-2014</v>
      </c>
      <c r="N737">
        <f t="shared" si="35"/>
        <v>13.98</v>
      </c>
    </row>
    <row r="738" spans="3:14" x14ac:dyDescent="0.25">
      <c r="C738" t="str">
        <f>IF(COUNTBLANK(E738:K738) = 7,"",IF(AND(NOT(ISBLANK(E738)),COUNTBLANK(E738:K738) = 6),"3 Delete",IF(ISBLANK(E738),"2 Add",IF(SHA1Range(E738:K738) = "cf1d6f7c1c33ad895558469919b2f4097895106e","0 Original","1 Modify"))))</f>
        <v>0 Original</v>
      </c>
      <c r="D738" s="5" t="s">
        <v>3012</v>
      </c>
      <c r="E738" s="3">
        <v>2040</v>
      </c>
      <c r="F738" t="s">
        <v>1176</v>
      </c>
      <c r="G738" t="s">
        <v>704</v>
      </c>
      <c r="H738" s="9">
        <v>4.99</v>
      </c>
      <c r="I738" s="3">
        <v>1</v>
      </c>
      <c r="J738" s="5" t="s">
        <v>68</v>
      </c>
      <c r="K738" s="15">
        <v>41773.478263888886</v>
      </c>
      <c r="L738" s="20">
        <f t="shared" si="33"/>
        <v>41773</v>
      </c>
      <c r="M738" t="str">
        <f t="shared" si="34"/>
        <v>05-2014</v>
      </c>
      <c r="N738">
        <f t="shared" si="35"/>
        <v>4.99</v>
      </c>
    </row>
    <row r="739" spans="3:14" x14ac:dyDescent="0.25">
      <c r="C739" t="str">
        <f>IF(COUNTBLANK(E739:K739) = 7,"",IF(AND(NOT(ISBLANK(E739)),COUNTBLANK(E739:K739) = 6),"3 Delete",IF(ISBLANK(E739),"2 Add",IF(SHA1Range(E739:K739) = "f7ef1324c98be1bd07678a742099943270c195c7","0 Original","1 Modify"))))</f>
        <v>0 Original</v>
      </c>
      <c r="D739" s="5" t="s">
        <v>3013</v>
      </c>
      <c r="E739" s="3">
        <v>2604</v>
      </c>
      <c r="F739" t="s">
        <v>1177</v>
      </c>
      <c r="G739" t="s">
        <v>514</v>
      </c>
      <c r="H739" s="9">
        <v>6.99</v>
      </c>
      <c r="I739" s="3">
        <v>1</v>
      </c>
      <c r="J739" s="5" t="s">
        <v>68</v>
      </c>
      <c r="K739" s="15">
        <v>41773.550497685188</v>
      </c>
      <c r="L739" s="20">
        <f t="shared" si="33"/>
        <v>41773</v>
      </c>
      <c r="M739" t="str">
        <f t="shared" si="34"/>
        <v>05-2014</v>
      </c>
      <c r="N739">
        <f t="shared" si="35"/>
        <v>6.99</v>
      </c>
    </row>
    <row r="740" spans="3:14" x14ac:dyDescent="0.25">
      <c r="C740" t="str">
        <f>IF(COUNTBLANK(E740:K740) = 7,"",IF(AND(NOT(ISBLANK(E740)),COUNTBLANK(E740:K740) = 6),"3 Delete",IF(ISBLANK(E740),"2 Add",IF(SHA1Range(E740:K740) = "f358fb948234982866933134aab03d74cd57434d","0 Original","1 Modify"))))</f>
        <v>0 Original</v>
      </c>
      <c r="D740" s="5" t="s">
        <v>3014</v>
      </c>
      <c r="E740" s="3">
        <v>2605</v>
      </c>
      <c r="F740" t="s">
        <v>1177</v>
      </c>
      <c r="G740" t="s">
        <v>400</v>
      </c>
      <c r="H740" s="9">
        <v>4.99</v>
      </c>
      <c r="I740" s="3">
        <v>1</v>
      </c>
      <c r="J740" s="5" t="s">
        <v>68</v>
      </c>
      <c r="K740" s="15">
        <v>41773.550497685188</v>
      </c>
      <c r="L740" s="20">
        <f t="shared" si="33"/>
        <v>41773</v>
      </c>
      <c r="M740" t="str">
        <f t="shared" si="34"/>
        <v>05-2014</v>
      </c>
      <c r="N740">
        <f t="shared" si="35"/>
        <v>4.99</v>
      </c>
    </row>
    <row r="741" spans="3:14" x14ac:dyDescent="0.25">
      <c r="C741" t="str">
        <f>IF(COUNTBLANK(E741:K741) = 7,"",IF(AND(NOT(ISBLANK(E741)),COUNTBLANK(E741:K741) = 6),"3 Delete",IF(ISBLANK(E741),"2 Add",IF(SHA1Range(E741:K741) = "d3e6307f98c36652741e65fc9024449922060e71","0 Original","1 Modify"))))</f>
        <v>0 Original</v>
      </c>
      <c r="D741" s="5" t="s">
        <v>3015</v>
      </c>
      <c r="E741" s="3">
        <v>2606</v>
      </c>
      <c r="F741" t="s">
        <v>1177</v>
      </c>
      <c r="G741" t="s">
        <v>948</v>
      </c>
      <c r="H741" s="9">
        <v>4.99</v>
      </c>
      <c r="I741" s="3">
        <v>2</v>
      </c>
      <c r="J741" s="5" t="s">
        <v>68</v>
      </c>
      <c r="K741" s="15">
        <v>41773.550497685188</v>
      </c>
      <c r="L741" s="20">
        <f t="shared" si="33"/>
        <v>41773</v>
      </c>
      <c r="M741" t="str">
        <f t="shared" si="34"/>
        <v>05-2014</v>
      </c>
      <c r="N741">
        <f t="shared" si="35"/>
        <v>9.98</v>
      </c>
    </row>
    <row r="742" spans="3:14" x14ac:dyDescent="0.25">
      <c r="C742" t="str">
        <f>IF(COUNTBLANK(E742:K742) = 7,"",IF(AND(NOT(ISBLANK(E742)),COUNTBLANK(E742:K742) = 6),"3 Delete",IF(ISBLANK(E742),"2 Add",IF(SHA1Range(E742:K742) = "9206ad603a5d3fae0125e46894bd22946cc2ab8f","0 Original","1 Modify"))))</f>
        <v>0 Original</v>
      </c>
      <c r="D742" s="5" t="s">
        <v>3016</v>
      </c>
      <c r="E742" s="3">
        <v>1698</v>
      </c>
      <c r="F742" t="s">
        <v>1178</v>
      </c>
      <c r="G742" t="s">
        <v>955</v>
      </c>
      <c r="H742" s="9">
        <v>8.99</v>
      </c>
      <c r="I742" s="3">
        <v>1</v>
      </c>
      <c r="J742" s="5" t="s">
        <v>68</v>
      </c>
      <c r="K742" s="15">
        <v>41774.548611111109</v>
      </c>
      <c r="L742" s="20">
        <f t="shared" si="33"/>
        <v>41774</v>
      </c>
      <c r="M742" t="str">
        <f t="shared" si="34"/>
        <v>05-2014</v>
      </c>
      <c r="N742">
        <f t="shared" si="35"/>
        <v>8.99</v>
      </c>
    </row>
    <row r="743" spans="3:14" x14ac:dyDescent="0.25">
      <c r="C743" t="str">
        <f>IF(COUNTBLANK(E743:K743) = 7,"",IF(AND(NOT(ISBLANK(E743)),COUNTBLANK(E743:K743) = 6),"3 Delete",IF(ISBLANK(E743),"2 Add",IF(SHA1Range(E743:K743) = "2b3fae9afc826b2dc1087a3c51c048518dfb33b1","0 Original","1 Modify"))))</f>
        <v>0 Original</v>
      </c>
      <c r="D743" s="5" t="s">
        <v>3017</v>
      </c>
      <c r="E743" s="3">
        <v>1699</v>
      </c>
      <c r="F743" t="s">
        <v>1178</v>
      </c>
      <c r="G743" t="s">
        <v>654</v>
      </c>
      <c r="H743" s="9">
        <v>5.99</v>
      </c>
      <c r="I743" s="3">
        <v>2</v>
      </c>
      <c r="J743" s="5" t="s">
        <v>68</v>
      </c>
      <c r="K743" s="15">
        <v>41774.548611111109</v>
      </c>
      <c r="L743" s="20">
        <f t="shared" si="33"/>
        <v>41774</v>
      </c>
      <c r="M743" t="str">
        <f t="shared" si="34"/>
        <v>05-2014</v>
      </c>
      <c r="N743">
        <f t="shared" si="35"/>
        <v>11.98</v>
      </c>
    </row>
    <row r="744" spans="3:14" x14ac:dyDescent="0.25">
      <c r="C744" t="str">
        <f>IF(COUNTBLANK(E744:K744) = 7,"",IF(AND(NOT(ISBLANK(E744)),COUNTBLANK(E744:K744) = 6),"3 Delete",IF(ISBLANK(E744),"2 Add",IF(SHA1Range(E744:K744) = "0528aa0639b49543a41952e8742e5bbc10ef5771","0 Original","1 Modify"))))</f>
        <v>0 Original</v>
      </c>
      <c r="D744" s="5" t="s">
        <v>3018</v>
      </c>
      <c r="E744" s="3">
        <v>1700</v>
      </c>
      <c r="F744" t="s">
        <v>1178</v>
      </c>
      <c r="G744" t="s">
        <v>507</v>
      </c>
      <c r="H744" s="9">
        <v>6.99</v>
      </c>
      <c r="I744" s="3">
        <v>1</v>
      </c>
      <c r="J744" s="5" t="s">
        <v>68</v>
      </c>
      <c r="K744" s="15">
        <v>41774.548611111109</v>
      </c>
      <c r="L744" s="20">
        <f t="shared" si="33"/>
        <v>41774</v>
      </c>
      <c r="M744" t="str">
        <f t="shared" si="34"/>
        <v>05-2014</v>
      </c>
      <c r="N744">
        <f t="shared" si="35"/>
        <v>6.99</v>
      </c>
    </row>
    <row r="745" spans="3:14" x14ac:dyDescent="0.25">
      <c r="C745" t="str">
        <f>IF(COUNTBLANK(E745:K745) = 7,"",IF(AND(NOT(ISBLANK(E745)),COUNTBLANK(E745:K745) = 6),"3 Delete",IF(ISBLANK(E745),"2 Add",IF(SHA1Range(E745:K745) = "883fae1db17df1ade1a23c30e8d269efbfdd4d8b","0 Original","1 Modify"))))</f>
        <v>0 Original</v>
      </c>
      <c r="D745" s="5" t="s">
        <v>3019</v>
      </c>
      <c r="E745" s="3">
        <v>2897</v>
      </c>
      <c r="F745" t="s">
        <v>1179</v>
      </c>
      <c r="G745" t="s">
        <v>373</v>
      </c>
      <c r="H745" s="9">
        <v>7.99</v>
      </c>
      <c r="I745" s="3">
        <v>1</v>
      </c>
      <c r="J745" s="5" t="s">
        <v>68</v>
      </c>
      <c r="K745" s="15">
        <v>41774.818506944444</v>
      </c>
      <c r="L745" s="20">
        <f t="shared" si="33"/>
        <v>41774</v>
      </c>
      <c r="M745" t="str">
        <f t="shared" si="34"/>
        <v>05-2014</v>
      </c>
      <c r="N745">
        <f t="shared" si="35"/>
        <v>7.99</v>
      </c>
    </row>
    <row r="746" spans="3:14" x14ac:dyDescent="0.25">
      <c r="C746" t="str">
        <f>IF(COUNTBLANK(E746:K746) = 7,"",IF(AND(NOT(ISBLANK(E746)),COUNTBLANK(E746:K746) = 6),"3 Delete",IF(ISBLANK(E746),"2 Add",IF(SHA1Range(E746:K746) = "d5313457f098cf64cbc9141bc0dd32ee0ee3409a","0 Original","1 Modify"))))</f>
        <v>0 Original</v>
      </c>
      <c r="D746" s="5" t="s">
        <v>3020</v>
      </c>
      <c r="E746" s="3">
        <v>2451</v>
      </c>
      <c r="F746" t="s">
        <v>1180</v>
      </c>
      <c r="G746" t="s">
        <v>948</v>
      </c>
      <c r="H746" s="9">
        <v>4.99</v>
      </c>
      <c r="I746" s="3">
        <v>1</v>
      </c>
      <c r="J746" s="5" t="s">
        <v>68</v>
      </c>
      <c r="K746" s="15">
        <v>41774.922534722224</v>
      </c>
      <c r="L746" s="20">
        <f t="shared" si="33"/>
        <v>41774</v>
      </c>
      <c r="M746" t="str">
        <f t="shared" si="34"/>
        <v>05-2014</v>
      </c>
      <c r="N746">
        <f t="shared" si="35"/>
        <v>4.99</v>
      </c>
    </row>
    <row r="747" spans="3:14" x14ac:dyDescent="0.25">
      <c r="C747" t="str">
        <f>IF(COUNTBLANK(E747:K747) = 7,"",IF(AND(NOT(ISBLANK(E747)),COUNTBLANK(E747:K747) = 6),"3 Delete",IF(ISBLANK(E747),"2 Add",IF(SHA1Range(E747:K747) = "6a7c73142e9e888d25afbb2b3868061e9bf0c340","0 Original","1 Modify"))))</f>
        <v>0 Original</v>
      </c>
      <c r="D747" s="5" t="s">
        <v>3021</v>
      </c>
      <c r="E747" s="3">
        <v>2227</v>
      </c>
      <c r="F747" t="s">
        <v>1181</v>
      </c>
      <c r="G747" t="s">
        <v>548</v>
      </c>
      <c r="H747" s="9">
        <v>5.99</v>
      </c>
      <c r="I747" s="3">
        <v>2</v>
      </c>
      <c r="J747" s="5" t="s">
        <v>68</v>
      </c>
      <c r="K747" s="15">
        <v>41776.638090277775</v>
      </c>
      <c r="L747" s="20">
        <f t="shared" si="33"/>
        <v>41776</v>
      </c>
      <c r="M747" t="str">
        <f t="shared" si="34"/>
        <v>05-2014</v>
      </c>
      <c r="N747">
        <f t="shared" si="35"/>
        <v>11.98</v>
      </c>
    </row>
    <row r="748" spans="3:14" x14ac:dyDescent="0.25">
      <c r="C748" t="str">
        <f>IF(COUNTBLANK(E748:K748) = 7,"",IF(AND(NOT(ISBLANK(E748)),COUNTBLANK(E748:K748) = 6),"3 Delete",IF(ISBLANK(E748),"2 Add",IF(SHA1Range(E748:K748) = "ced3adaac1781b9af0f34533297558b2be8809a4","0 Original","1 Modify"))))</f>
        <v>0 Original</v>
      </c>
      <c r="D748" s="5" t="s">
        <v>3022</v>
      </c>
      <c r="E748" s="3">
        <v>2228</v>
      </c>
      <c r="F748" t="s">
        <v>1181</v>
      </c>
      <c r="G748" t="s">
        <v>771</v>
      </c>
      <c r="H748" s="9">
        <v>9.99</v>
      </c>
      <c r="I748" s="3">
        <v>1</v>
      </c>
      <c r="J748" s="5" t="s">
        <v>68</v>
      </c>
      <c r="K748" s="15">
        <v>41776.638090277775</v>
      </c>
      <c r="L748" s="20">
        <f t="shared" si="33"/>
        <v>41776</v>
      </c>
      <c r="M748" t="str">
        <f t="shared" si="34"/>
        <v>05-2014</v>
      </c>
      <c r="N748">
        <f t="shared" si="35"/>
        <v>9.99</v>
      </c>
    </row>
    <row r="749" spans="3:14" x14ac:dyDescent="0.25">
      <c r="C749" t="str">
        <f>IF(COUNTBLANK(E749:K749) = 7,"",IF(AND(NOT(ISBLANK(E749)),COUNTBLANK(E749:K749) = 6),"3 Delete",IF(ISBLANK(E749),"2 Add",IF(SHA1Range(E749:K749) = "676577824361dcd945e747a52470e48e0c32222f","0 Original","1 Modify"))))</f>
        <v>0 Original</v>
      </c>
      <c r="D749" s="5" t="s">
        <v>3023</v>
      </c>
      <c r="E749" s="3">
        <v>2229</v>
      </c>
      <c r="F749" t="s">
        <v>1181</v>
      </c>
      <c r="G749" t="s">
        <v>596</v>
      </c>
      <c r="H749" s="9">
        <v>7.99</v>
      </c>
      <c r="I749" s="3">
        <v>1</v>
      </c>
      <c r="J749" s="5" t="s">
        <v>68</v>
      </c>
      <c r="K749" s="15">
        <v>41776.638090277775</v>
      </c>
      <c r="L749" s="20">
        <f t="shared" si="33"/>
        <v>41776</v>
      </c>
      <c r="M749" t="str">
        <f t="shared" si="34"/>
        <v>05-2014</v>
      </c>
      <c r="N749">
        <f t="shared" si="35"/>
        <v>7.99</v>
      </c>
    </row>
    <row r="750" spans="3:14" x14ac:dyDescent="0.25">
      <c r="C750" t="str">
        <f>IF(COUNTBLANK(E750:K750) = 7,"",IF(AND(NOT(ISBLANK(E750)),COUNTBLANK(E750:K750) = 6),"3 Delete",IF(ISBLANK(E750),"2 Add",IF(SHA1Range(E750:K750) = "1cbe2748d580721c9b1423998a2084b9bdf1f8e9","0 Original","1 Modify"))))</f>
        <v>0 Original</v>
      </c>
      <c r="D750" s="5" t="s">
        <v>3024</v>
      </c>
      <c r="E750" s="3">
        <v>2230</v>
      </c>
      <c r="F750" t="s">
        <v>1181</v>
      </c>
      <c r="G750" t="s">
        <v>771</v>
      </c>
      <c r="H750" s="9">
        <v>9.99</v>
      </c>
      <c r="I750" s="3">
        <v>2</v>
      </c>
      <c r="J750" s="5" t="s">
        <v>68</v>
      </c>
      <c r="K750" s="15">
        <v>41776.638090277775</v>
      </c>
      <c r="L750" s="20">
        <f t="shared" si="33"/>
        <v>41776</v>
      </c>
      <c r="M750" t="str">
        <f t="shared" si="34"/>
        <v>05-2014</v>
      </c>
      <c r="N750">
        <f t="shared" si="35"/>
        <v>19.98</v>
      </c>
    </row>
    <row r="751" spans="3:14" x14ac:dyDescent="0.25">
      <c r="C751" t="str">
        <f>IF(COUNTBLANK(E751:K751) = 7,"",IF(AND(NOT(ISBLANK(E751)),COUNTBLANK(E751:K751) = 6),"3 Delete",IF(ISBLANK(E751),"2 Add",IF(SHA1Range(E751:K751) = "d94ec17483af091f0473f103cd839612bc8d126d","0 Original","1 Modify"))))</f>
        <v>0 Original</v>
      </c>
      <c r="D751" s="5" t="s">
        <v>3025</v>
      </c>
      <c r="E751" s="3">
        <v>862</v>
      </c>
      <c r="F751" t="s">
        <v>1182</v>
      </c>
      <c r="G751" t="s">
        <v>671</v>
      </c>
      <c r="H751" s="9">
        <v>6.99</v>
      </c>
      <c r="I751" s="3">
        <v>1</v>
      </c>
      <c r="J751" s="5" t="s">
        <v>68</v>
      </c>
      <c r="K751" s="15">
        <v>41778.952337962961</v>
      </c>
      <c r="L751" s="20">
        <f t="shared" si="33"/>
        <v>41778</v>
      </c>
      <c r="M751" t="str">
        <f t="shared" si="34"/>
        <v>05-2014</v>
      </c>
      <c r="N751">
        <f t="shared" si="35"/>
        <v>6.99</v>
      </c>
    </row>
    <row r="752" spans="3:14" x14ac:dyDescent="0.25">
      <c r="C752" t="str">
        <f>IF(COUNTBLANK(E752:K752) = 7,"",IF(AND(NOT(ISBLANK(E752)),COUNTBLANK(E752:K752) = 6),"3 Delete",IF(ISBLANK(E752),"2 Add",IF(SHA1Range(E752:K752) = "fc6ac36904a923daffa904a67e8c0b274b8e34a3","0 Original","1 Modify"))))</f>
        <v>0 Original</v>
      </c>
      <c r="D752" s="5" t="s">
        <v>3026</v>
      </c>
      <c r="E752" s="3">
        <v>863</v>
      </c>
      <c r="F752" t="s">
        <v>1182</v>
      </c>
      <c r="G752" t="s">
        <v>693</v>
      </c>
      <c r="H752" s="9">
        <v>7.99</v>
      </c>
      <c r="I752" s="3">
        <v>1</v>
      </c>
      <c r="J752" s="5" t="s">
        <v>68</v>
      </c>
      <c r="K752" s="15">
        <v>41778.952337962961</v>
      </c>
      <c r="L752" s="20">
        <f t="shared" si="33"/>
        <v>41778</v>
      </c>
      <c r="M752" t="str">
        <f t="shared" si="34"/>
        <v>05-2014</v>
      </c>
      <c r="N752">
        <f t="shared" si="35"/>
        <v>7.99</v>
      </c>
    </row>
    <row r="753" spans="3:14" x14ac:dyDescent="0.25">
      <c r="C753" t="str">
        <f>IF(COUNTBLANK(E753:K753) = 7,"",IF(AND(NOT(ISBLANK(E753)),COUNTBLANK(E753:K753) = 6),"3 Delete",IF(ISBLANK(E753),"2 Add",IF(SHA1Range(E753:K753) = "a629c789d3f69a06dfd007b6a19a87500e722f39","0 Original","1 Modify"))))</f>
        <v>0 Original</v>
      </c>
      <c r="D753" s="5" t="s">
        <v>3027</v>
      </c>
      <c r="E753" s="3">
        <v>864</v>
      </c>
      <c r="F753" t="s">
        <v>1182</v>
      </c>
      <c r="G753" t="s">
        <v>548</v>
      </c>
      <c r="H753" s="9">
        <v>5.99</v>
      </c>
      <c r="I753" s="3">
        <v>1</v>
      </c>
      <c r="J753" s="5" t="s">
        <v>68</v>
      </c>
      <c r="K753" s="15">
        <v>41778.952337962961</v>
      </c>
      <c r="L753" s="20">
        <f t="shared" si="33"/>
        <v>41778</v>
      </c>
      <c r="M753" t="str">
        <f t="shared" si="34"/>
        <v>05-2014</v>
      </c>
      <c r="N753">
        <f t="shared" si="35"/>
        <v>5.99</v>
      </c>
    </row>
    <row r="754" spans="3:14" x14ac:dyDescent="0.25">
      <c r="C754" t="str">
        <f>IF(COUNTBLANK(E754:K754) = 7,"",IF(AND(NOT(ISBLANK(E754)),COUNTBLANK(E754:K754) = 6),"3 Delete",IF(ISBLANK(E754),"2 Add",IF(SHA1Range(E754:K754) = "82afd998db942d444a4b27cc7d78c0696ecf6e64","0 Original","1 Modify"))))</f>
        <v>0 Original</v>
      </c>
      <c r="D754" s="5" t="s">
        <v>3028</v>
      </c>
      <c r="E754" s="3">
        <v>1378</v>
      </c>
      <c r="F754" t="s">
        <v>1183</v>
      </c>
      <c r="G754" t="s">
        <v>687</v>
      </c>
      <c r="H754" s="9">
        <v>9.99</v>
      </c>
      <c r="I754" s="3">
        <v>2</v>
      </c>
      <c r="J754" s="5" t="s">
        <v>68</v>
      </c>
      <c r="K754" s="15">
        <v>41779.203530092593</v>
      </c>
      <c r="L754" s="20">
        <f t="shared" si="33"/>
        <v>41779</v>
      </c>
      <c r="M754" t="str">
        <f t="shared" si="34"/>
        <v>05-2014</v>
      </c>
      <c r="N754">
        <f t="shared" si="35"/>
        <v>19.98</v>
      </c>
    </row>
    <row r="755" spans="3:14" x14ac:dyDescent="0.25">
      <c r="C755" t="str">
        <f>IF(COUNTBLANK(E755:K755) = 7,"",IF(AND(NOT(ISBLANK(E755)),COUNTBLANK(E755:K755) = 6),"3 Delete",IF(ISBLANK(E755),"2 Add",IF(SHA1Range(E755:K755) = "a846cceca29b5289338e579709808baed2e81782","0 Original","1 Modify"))))</f>
        <v>0 Original</v>
      </c>
      <c r="D755" s="5" t="s">
        <v>3029</v>
      </c>
      <c r="E755" s="3">
        <v>1379</v>
      </c>
      <c r="F755" t="s">
        <v>1183</v>
      </c>
      <c r="G755" t="s">
        <v>792</v>
      </c>
      <c r="H755" s="9">
        <v>9.99</v>
      </c>
      <c r="I755" s="3">
        <v>2</v>
      </c>
      <c r="J755" s="5" t="s">
        <v>68</v>
      </c>
      <c r="K755" s="15">
        <v>41779.203530092593</v>
      </c>
      <c r="L755" s="20">
        <f t="shared" si="33"/>
        <v>41779</v>
      </c>
      <c r="M755" t="str">
        <f t="shared" si="34"/>
        <v>05-2014</v>
      </c>
      <c r="N755">
        <f t="shared" si="35"/>
        <v>19.98</v>
      </c>
    </row>
    <row r="756" spans="3:14" x14ac:dyDescent="0.25">
      <c r="C756" t="str">
        <f>IF(COUNTBLANK(E756:K756) = 7,"",IF(AND(NOT(ISBLANK(E756)),COUNTBLANK(E756:K756) = 6),"3 Delete",IF(ISBLANK(E756),"2 Add",IF(SHA1Range(E756:K756) = "437386193fb0a5c3b00b3f08e4047d985445197c","0 Original","1 Modify"))))</f>
        <v>0 Original</v>
      </c>
      <c r="D756" s="5" t="s">
        <v>3030</v>
      </c>
      <c r="E756" s="3">
        <v>1380</v>
      </c>
      <c r="F756" t="s">
        <v>1183</v>
      </c>
      <c r="G756" t="s">
        <v>585</v>
      </c>
      <c r="H756" s="9">
        <v>9.99</v>
      </c>
      <c r="I756" s="3">
        <v>1</v>
      </c>
      <c r="J756" s="5" t="s">
        <v>68</v>
      </c>
      <c r="K756" s="15">
        <v>41779.203530092593</v>
      </c>
      <c r="L756" s="20">
        <f t="shared" si="33"/>
        <v>41779</v>
      </c>
      <c r="M756" t="str">
        <f t="shared" si="34"/>
        <v>05-2014</v>
      </c>
      <c r="N756">
        <f t="shared" si="35"/>
        <v>9.99</v>
      </c>
    </row>
    <row r="757" spans="3:14" x14ac:dyDescent="0.25">
      <c r="C757" t="str">
        <f>IF(COUNTBLANK(E757:K757) = 7,"",IF(AND(NOT(ISBLANK(E757)),COUNTBLANK(E757:K757) = 6),"3 Delete",IF(ISBLANK(E757),"2 Add",IF(SHA1Range(E757:K757) = "b75d4cbc99f968fb3fe04bc08f88c4ad2e575ce3","0 Original","1 Modify"))))</f>
        <v>0 Original</v>
      </c>
      <c r="D757" s="5" t="s">
        <v>3031</v>
      </c>
      <c r="E757" s="3">
        <v>1110</v>
      </c>
      <c r="F757" t="s">
        <v>1184</v>
      </c>
      <c r="G757" t="s">
        <v>735</v>
      </c>
      <c r="H757" s="9">
        <v>4.99</v>
      </c>
      <c r="I757" s="3">
        <v>1</v>
      </c>
      <c r="J757" s="5" t="s">
        <v>68</v>
      </c>
      <c r="K757" s="15">
        <v>41779.220011574071</v>
      </c>
      <c r="L757" s="20">
        <f t="shared" si="33"/>
        <v>41779</v>
      </c>
      <c r="M757" t="str">
        <f t="shared" si="34"/>
        <v>05-2014</v>
      </c>
      <c r="N757">
        <f t="shared" si="35"/>
        <v>4.99</v>
      </c>
    </row>
    <row r="758" spans="3:14" x14ac:dyDescent="0.25">
      <c r="C758" t="str">
        <f>IF(COUNTBLANK(E758:K758) = 7,"",IF(AND(NOT(ISBLANK(E758)),COUNTBLANK(E758:K758) = 6),"3 Delete",IF(ISBLANK(E758),"2 Add",IF(SHA1Range(E758:K758) = "b29f0c7051031bdb4f00cd3e3317d229b4693a6b","0 Original","1 Modify"))))</f>
        <v>0 Original</v>
      </c>
      <c r="D758" s="5" t="s">
        <v>3032</v>
      </c>
      <c r="E758" s="3">
        <v>692</v>
      </c>
      <c r="F758" t="s">
        <v>1185</v>
      </c>
      <c r="G758" t="s">
        <v>788</v>
      </c>
      <c r="H758" s="9">
        <v>5.99</v>
      </c>
      <c r="I758" s="3">
        <v>1</v>
      </c>
      <c r="J758" s="5" t="s">
        <v>68</v>
      </c>
      <c r="K758" s="15">
        <v>41779.822060185186</v>
      </c>
      <c r="L758" s="20">
        <f t="shared" si="33"/>
        <v>41779</v>
      </c>
      <c r="M758" t="str">
        <f t="shared" si="34"/>
        <v>05-2014</v>
      </c>
      <c r="N758">
        <f t="shared" si="35"/>
        <v>5.99</v>
      </c>
    </row>
    <row r="759" spans="3:14" x14ac:dyDescent="0.25">
      <c r="C759" t="str">
        <f>IF(COUNTBLANK(E759:K759) = 7,"",IF(AND(NOT(ISBLANK(E759)),COUNTBLANK(E759:K759) = 6),"3 Delete",IF(ISBLANK(E759),"2 Add",IF(SHA1Range(E759:K759) = "1a41f6511122662d6b6508159ac1c6e18542ff01","0 Original","1 Modify"))))</f>
        <v>0 Original</v>
      </c>
      <c r="D759" s="5" t="s">
        <v>3033</v>
      </c>
      <c r="E759" s="3">
        <v>693</v>
      </c>
      <c r="F759" t="s">
        <v>1185</v>
      </c>
      <c r="G759" t="s">
        <v>479</v>
      </c>
      <c r="H759" s="9">
        <v>6.99</v>
      </c>
      <c r="I759" s="3">
        <v>2</v>
      </c>
      <c r="J759" s="5" t="s">
        <v>68</v>
      </c>
      <c r="K759" s="15">
        <v>41779.822060185186</v>
      </c>
      <c r="L759" s="20">
        <f t="shared" si="33"/>
        <v>41779</v>
      </c>
      <c r="M759" t="str">
        <f t="shared" si="34"/>
        <v>05-2014</v>
      </c>
      <c r="N759">
        <f t="shared" si="35"/>
        <v>13.98</v>
      </c>
    </row>
    <row r="760" spans="3:14" x14ac:dyDescent="0.25">
      <c r="C760" t="str">
        <f>IF(COUNTBLANK(E760:K760) = 7,"",IF(AND(NOT(ISBLANK(E760)),COUNTBLANK(E760:K760) = 6),"3 Delete",IF(ISBLANK(E760),"2 Add",IF(SHA1Range(E760:K760) = "eef8bc0e2313fa42968b546d69b4078157b99983","0 Original","1 Modify"))))</f>
        <v>0 Original</v>
      </c>
      <c r="D760" s="5" t="s">
        <v>3034</v>
      </c>
      <c r="E760" s="3">
        <v>694</v>
      </c>
      <c r="F760" t="s">
        <v>1185</v>
      </c>
      <c r="G760" t="s">
        <v>881</v>
      </c>
      <c r="H760" s="9">
        <v>4.99</v>
      </c>
      <c r="I760" s="3">
        <v>1</v>
      </c>
      <c r="J760" s="5" t="s">
        <v>68</v>
      </c>
      <c r="K760" s="15">
        <v>41779.822060185186</v>
      </c>
      <c r="L760" s="20">
        <f t="shared" si="33"/>
        <v>41779</v>
      </c>
      <c r="M760" t="str">
        <f t="shared" si="34"/>
        <v>05-2014</v>
      </c>
      <c r="N760">
        <f t="shared" si="35"/>
        <v>4.99</v>
      </c>
    </row>
    <row r="761" spans="3:14" x14ac:dyDescent="0.25">
      <c r="C761" t="str">
        <f>IF(COUNTBLANK(E761:K761) = 7,"",IF(AND(NOT(ISBLANK(E761)),COUNTBLANK(E761:K761) = 6),"3 Delete",IF(ISBLANK(E761),"2 Add",IF(SHA1Range(E761:K761) = "414389c7a86326d1671c304cee678206708ea5b4","0 Original","1 Modify"))))</f>
        <v>0 Original</v>
      </c>
      <c r="D761" s="5" t="s">
        <v>3035</v>
      </c>
      <c r="E761" s="3">
        <v>695</v>
      </c>
      <c r="F761" t="s">
        <v>1185</v>
      </c>
      <c r="G761" t="s">
        <v>408</v>
      </c>
      <c r="H761" s="9">
        <v>9.99</v>
      </c>
      <c r="I761" s="3">
        <v>1</v>
      </c>
      <c r="J761" s="5" t="s">
        <v>68</v>
      </c>
      <c r="K761" s="15">
        <v>41779.822060185186</v>
      </c>
      <c r="L761" s="20">
        <f t="shared" si="33"/>
        <v>41779</v>
      </c>
      <c r="M761" t="str">
        <f t="shared" si="34"/>
        <v>05-2014</v>
      </c>
      <c r="N761">
        <f t="shared" si="35"/>
        <v>9.99</v>
      </c>
    </row>
    <row r="762" spans="3:14" x14ac:dyDescent="0.25">
      <c r="C762" t="str">
        <f>IF(COUNTBLANK(E762:K762) = 7,"",IF(AND(NOT(ISBLANK(E762)),COUNTBLANK(E762:K762) = 6),"3 Delete",IF(ISBLANK(E762),"2 Add",IF(SHA1Range(E762:K762) = "262f8001b88465fc15a19244d2144d1d7e411b91","0 Original","1 Modify"))))</f>
        <v>0 Original</v>
      </c>
      <c r="D762" s="5" t="s">
        <v>3036</v>
      </c>
      <c r="E762" s="3">
        <v>696</v>
      </c>
      <c r="F762" t="s">
        <v>1185</v>
      </c>
      <c r="G762" t="s">
        <v>784</v>
      </c>
      <c r="H762" s="9">
        <v>5.99</v>
      </c>
      <c r="I762" s="3">
        <v>1</v>
      </c>
      <c r="J762" s="5" t="s">
        <v>68</v>
      </c>
      <c r="K762" s="15">
        <v>41779.822060185186</v>
      </c>
      <c r="L762" s="20">
        <f t="shared" si="33"/>
        <v>41779</v>
      </c>
      <c r="M762" t="str">
        <f t="shared" si="34"/>
        <v>05-2014</v>
      </c>
      <c r="N762">
        <f t="shared" si="35"/>
        <v>5.99</v>
      </c>
    </row>
    <row r="763" spans="3:14" x14ac:dyDescent="0.25">
      <c r="C763" t="str">
        <f>IF(COUNTBLANK(E763:K763) = 7,"",IF(AND(NOT(ISBLANK(E763)),COUNTBLANK(E763:K763) = 6),"3 Delete",IF(ISBLANK(E763),"2 Add",IF(SHA1Range(E763:K763) = "9dad5ccdd89f2013053c5e54fa428f297ea6b7a9","0 Original","1 Modify"))))</f>
        <v>0 Original</v>
      </c>
      <c r="D763" s="5" t="s">
        <v>3037</v>
      </c>
      <c r="E763" s="3">
        <v>445</v>
      </c>
      <c r="F763" t="s">
        <v>1186</v>
      </c>
      <c r="G763" t="s">
        <v>810</v>
      </c>
      <c r="H763" s="9">
        <v>7.99</v>
      </c>
      <c r="I763" s="3">
        <v>2</v>
      </c>
      <c r="J763" s="5" t="s">
        <v>68</v>
      </c>
      <c r="K763" s="15">
        <v>41780.374340277776</v>
      </c>
      <c r="L763" s="20">
        <f t="shared" si="33"/>
        <v>41780</v>
      </c>
      <c r="M763" t="str">
        <f t="shared" si="34"/>
        <v>05-2014</v>
      </c>
      <c r="N763">
        <f t="shared" si="35"/>
        <v>15.98</v>
      </c>
    </row>
    <row r="764" spans="3:14" x14ac:dyDescent="0.25">
      <c r="C764" t="str">
        <f>IF(COUNTBLANK(E764:K764) = 7,"",IF(AND(NOT(ISBLANK(E764)),COUNTBLANK(E764:K764) = 6),"3 Delete",IF(ISBLANK(E764),"2 Add",IF(SHA1Range(E764:K764) = "e73ebbbde04dcff2e2935a0e829f14d3d601cde6","0 Original","1 Modify"))))</f>
        <v>0 Original</v>
      </c>
      <c r="D764" s="5" t="s">
        <v>3038</v>
      </c>
      <c r="E764" s="3">
        <v>446</v>
      </c>
      <c r="F764" t="s">
        <v>1186</v>
      </c>
      <c r="G764" t="s">
        <v>475</v>
      </c>
      <c r="H764" s="9">
        <v>7.99</v>
      </c>
      <c r="I764" s="3">
        <v>1</v>
      </c>
      <c r="J764" s="5" t="s">
        <v>68</v>
      </c>
      <c r="K764" s="15">
        <v>41780.374340277776</v>
      </c>
      <c r="L764" s="20">
        <f t="shared" si="33"/>
        <v>41780</v>
      </c>
      <c r="M764" t="str">
        <f t="shared" si="34"/>
        <v>05-2014</v>
      </c>
      <c r="N764">
        <f t="shared" si="35"/>
        <v>7.99</v>
      </c>
    </row>
    <row r="765" spans="3:14" x14ac:dyDescent="0.25">
      <c r="C765" t="str">
        <f>IF(COUNTBLANK(E765:K765) = 7,"",IF(AND(NOT(ISBLANK(E765)),COUNTBLANK(E765:K765) = 6),"3 Delete",IF(ISBLANK(E765),"2 Add",IF(SHA1Range(E765:K765) = "ea2d469835f32ddc334f58a9a2a8ee1930e156d3","0 Original","1 Modify"))))</f>
        <v>0 Original</v>
      </c>
      <c r="D765" s="5" t="s">
        <v>3039</v>
      </c>
      <c r="E765" s="3">
        <v>447</v>
      </c>
      <c r="F765" t="s">
        <v>1186</v>
      </c>
      <c r="G765" t="s">
        <v>385</v>
      </c>
      <c r="H765" s="9">
        <v>9.99</v>
      </c>
      <c r="I765" s="3">
        <v>1</v>
      </c>
      <c r="J765" s="5" t="s">
        <v>68</v>
      </c>
      <c r="K765" s="15">
        <v>41780.374340277776</v>
      </c>
      <c r="L765" s="20">
        <f t="shared" si="33"/>
        <v>41780</v>
      </c>
      <c r="M765" t="str">
        <f t="shared" si="34"/>
        <v>05-2014</v>
      </c>
      <c r="N765">
        <f t="shared" si="35"/>
        <v>9.99</v>
      </c>
    </row>
    <row r="766" spans="3:14" x14ac:dyDescent="0.25">
      <c r="C766" t="str">
        <f>IF(COUNTBLANK(E766:K766) = 7,"",IF(AND(NOT(ISBLANK(E766)),COUNTBLANK(E766:K766) = 6),"3 Delete",IF(ISBLANK(E766),"2 Add",IF(SHA1Range(E766:K766) = "4609718d97b05fe2f9d3d6098d434d6057df5a3c","0 Original","1 Modify"))))</f>
        <v>0 Original</v>
      </c>
      <c r="D766" s="5" t="s">
        <v>3040</v>
      </c>
      <c r="E766" s="3">
        <v>448</v>
      </c>
      <c r="F766" t="s">
        <v>1186</v>
      </c>
      <c r="G766" t="s">
        <v>610</v>
      </c>
      <c r="H766" s="9">
        <v>9.99</v>
      </c>
      <c r="I766" s="3">
        <v>2</v>
      </c>
      <c r="J766" s="5" t="s">
        <v>68</v>
      </c>
      <c r="K766" s="15">
        <v>41780.374340277776</v>
      </c>
      <c r="L766" s="20">
        <f t="shared" si="33"/>
        <v>41780</v>
      </c>
      <c r="M766" t="str">
        <f t="shared" si="34"/>
        <v>05-2014</v>
      </c>
      <c r="N766">
        <f t="shared" si="35"/>
        <v>19.98</v>
      </c>
    </row>
    <row r="767" spans="3:14" x14ac:dyDescent="0.25">
      <c r="C767" t="str">
        <f>IF(COUNTBLANK(E767:K767) = 7,"",IF(AND(NOT(ISBLANK(E767)),COUNTBLANK(E767:K767) = 6),"3 Delete",IF(ISBLANK(E767),"2 Add",IF(SHA1Range(E767:K767) = "e3d37de0ad34eb76aa026a9356804218aeefeb43","0 Original","1 Modify"))))</f>
        <v>0 Original</v>
      </c>
      <c r="D767" s="5" t="s">
        <v>3041</v>
      </c>
      <c r="E767" s="3">
        <v>763</v>
      </c>
      <c r="F767" t="s">
        <v>1187</v>
      </c>
      <c r="G767" t="s">
        <v>671</v>
      </c>
      <c r="H767" s="9">
        <v>6.99</v>
      </c>
      <c r="I767" s="3">
        <v>1</v>
      </c>
      <c r="J767" s="5" t="s">
        <v>68</v>
      </c>
      <c r="K767" s="15">
        <v>41781.190138888887</v>
      </c>
      <c r="L767" s="20">
        <f t="shared" si="33"/>
        <v>41781</v>
      </c>
      <c r="M767" t="str">
        <f t="shared" si="34"/>
        <v>05-2014</v>
      </c>
      <c r="N767">
        <f t="shared" si="35"/>
        <v>6.99</v>
      </c>
    </row>
    <row r="768" spans="3:14" x14ac:dyDescent="0.25">
      <c r="C768" t="str">
        <f>IF(COUNTBLANK(E768:K768) = 7,"",IF(AND(NOT(ISBLANK(E768)),COUNTBLANK(E768:K768) = 6),"3 Delete",IF(ISBLANK(E768),"2 Add",IF(SHA1Range(E768:K768) = "7eb274fe0923446b64b18fa2899675b9b6edab60","0 Original","1 Modify"))))</f>
        <v>0 Original</v>
      </c>
      <c r="D768" s="5" t="s">
        <v>3042</v>
      </c>
      <c r="E768" s="3">
        <v>764</v>
      </c>
      <c r="F768" t="s">
        <v>1187</v>
      </c>
      <c r="G768" t="s">
        <v>503</v>
      </c>
      <c r="H768" s="9">
        <v>9.99</v>
      </c>
      <c r="I768" s="3">
        <v>2</v>
      </c>
      <c r="J768" s="5" t="s">
        <v>68</v>
      </c>
      <c r="K768" s="15">
        <v>41781.190138888887</v>
      </c>
      <c r="L768" s="20">
        <f t="shared" si="33"/>
        <v>41781</v>
      </c>
      <c r="M768" t="str">
        <f t="shared" si="34"/>
        <v>05-2014</v>
      </c>
      <c r="N768">
        <f t="shared" si="35"/>
        <v>19.98</v>
      </c>
    </row>
    <row r="769" spans="3:14" x14ac:dyDescent="0.25">
      <c r="C769" t="str">
        <f>IF(COUNTBLANK(E769:K769) = 7,"",IF(AND(NOT(ISBLANK(E769)),COUNTBLANK(E769:K769) = 6),"3 Delete",IF(ISBLANK(E769),"2 Add",IF(SHA1Range(E769:K769) = "560257ab28c69eaa606341bbf846c078d4a95708","0 Original","1 Modify"))))</f>
        <v>0 Original</v>
      </c>
      <c r="D769" s="5" t="s">
        <v>3043</v>
      </c>
      <c r="E769" s="3">
        <v>765</v>
      </c>
      <c r="F769" t="s">
        <v>1187</v>
      </c>
      <c r="G769" t="s">
        <v>693</v>
      </c>
      <c r="H769" s="9">
        <v>7.99</v>
      </c>
      <c r="I769" s="3">
        <v>2</v>
      </c>
      <c r="J769" s="5" t="s">
        <v>68</v>
      </c>
      <c r="K769" s="15">
        <v>41781.190138888887</v>
      </c>
      <c r="L769" s="20">
        <f t="shared" si="33"/>
        <v>41781</v>
      </c>
      <c r="M769" t="str">
        <f t="shared" si="34"/>
        <v>05-2014</v>
      </c>
      <c r="N769">
        <f t="shared" si="35"/>
        <v>15.98</v>
      </c>
    </row>
    <row r="770" spans="3:14" x14ac:dyDescent="0.25">
      <c r="C770" t="str">
        <f>IF(COUNTBLANK(E770:K770) = 7,"",IF(AND(NOT(ISBLANK(E770)),COUNTBLANK(E770:K770) = 6),"3 Delete",IF(ISBLANK(E770),"2 Add",IF(SHA1Range(E770:K770) = "270e27baf2d4cc5984d1f7728c3f4f325e58d96b","0 Original","1 Modify"))))</f>
        <v>0 Original</v>
      </c>
      <c r="D770" s="5" t="s">
        <v>3044</v>
      </c>
      <c r="E770" s="3">
        <v>766</v>
      </c>
      <c r="F770" t="s">
        <v>1187</v>
      </c>
      <c r="G770" t="s">
        <v>690</v>
      </c>
      <c r="H770" s="9">
        <v>7.99</v>
      </c>
      <c r="I770" s="3">
        <v>1</v>
      </c>
      <c r="J770" s="5" t="s">
        <v>68</v>
      </c>
      <c r="K770" s="15">
        <v>41781.190138888887</v>
      </c>
      <c r="L770" s="20">
        <f t="shared" si="33"/>
        <v>41781</v>
      </c>
      <c r="M770" t="str">
        <f t="shared" si="34"/>
        <v>05-2014</v>
      </c>
      <c r="N770">
        <f t="shared" si="35"/>
        <v>7.99</v>
      </c>
    </row>
    <row r="771" spans="3:14" x14ac:dyDescent="0.25">
      <c r="C771" t="str">
        <f>IF(COUNTBLANK(E771:K771) = 7,"",IF(AND(NOT(ISBLANK(E771)),COUNTBLANK(E771:K771) = 6),"3 Delete",IF(ISBLANK(E771),"2 Add",IF(SHA1Range(E771:K771) = "b27ac68ae85ac45e76c3e8c576db7aa444286ff3","0 Original","1 Modify"))))</f>
        <v>0 Original</v>
      </c>
      <c r="D771" s="5" t="s">
        <v>3045</v>
      </c>
      <c r="E771" s="3">
        <v>767</v>
      </c>
      <c r="F771" t="s">
        <v>1187</v>
      </c>
      <c r="G771" t="s">
        <v>955</v>
      </c>
      <c r="H771" s="9">
        <v>8.99</v>
      </c>
      <c r="I771" s="3">
        <v>2</v>
      </c>
      <c r="J771" s="5" t="s">
        <v>68</v>
      </c>
      <c r="K771" s="15">
        <v>41781.190138888887</v>
      </c>
      <c r="L771" s="20">
        <f t="shared" ref="L771:L834" si="36">DATEVALUE(LEFT(F771,10))</f>
        <v>41781</v>
      </c>
      <c r="M771" t="str">
        <f t="shared" ref="M771:M834" si="37">TEXT(L771,"mm-yyyy")</f>
        <v>05-2014</v>
      </c>
      <c r="N771">
        <f t="shared" ref="N771:N834" si="38">H771*I771</f>
        <v>17.98</v>
      </c>
    </row>
    <row r="772" spans="3:14" x14ac:dyDescent="0.25">
      <c r="C772" t="str">
        <f>IF(COUNTBLANK(E772:K772) = 7,"",IF(AND(NOT(ISBLANK(E772)),COUNTBLANK(E772:K772) = 6),"3 Delete",IF(ISBLANK(E772),"2 Add",IF(SHA1Range(E772:K772) = "77613b2630315ba7be1063019e52290e36e0127c","0 Original","1 Modify"))))</f>
        <v>0 Original</v>
      </c>
      <c r="D772" s="5" t="s">
        <v>3046</v>
      </c>
      <c r="E772" s="3">
        <v>2610</v>
      </c>
      <c r="F772" t="s">
        <v>1188</v>
      </c>
      <c r="G772" t="s">
        <v>687</v>
      </c>
      <c r="H772" s="9">
        <v>9.99</v>
      </c>
      <c r="I772" s="3">
        <v>1</v>
      </c>
      <c r="J772" s="5" t="s">
        <v>68</v>
      </c>
      <c r="K772" s="15">
        <v>41782.207569444443</v>
      </c>
      <c r="L772" s="20">
        <f t="shared" si="36"/>
        <v>41782</v>
      </c>
      <c r="M772" t="str">
        <f t="shared" si="37"/>
        <v>05-2014</v>
      </c>
      <c r="N772">
        <f t="shared" si="38"/>
        <v>9.99</v>
      </c>
    </row>
    <row r="773" spans="3:14" x14ac:dyDescent="0.25">
      <c r="C773" t="str">
        <f>IF(COUNTBLANK(E773:K773) = 7,"",IF(AND(NOT(ISBLANK(E773)),COUNTBLANK(E773:K773) = 6),"3 Delete",IF(ISBLANK(E773),"2 Add",IF(SHA1Range(E773:K773) = "a2e6ab3065489cd620f8c6216ae718be97f636ab","0 Original","1 Modify"))))</f>
        <v>0 Original</v>
      </c>
      <c r="D773" s="5" t="s">
        <v>3047</v>
      </c>
      <c r="E773" s="3">
        <v>2611</v>
      </c>
      <c r="F773" t="s">
        <v>1188</v>
      </c>
      <c r="G773" t="s">
        <v>579</v>
      </c>
      <c r="H773" s="9">
        <v>9.99</v>
      </c>
      <c r="I773" s="3">
        <v>1</v>
      </c>
      <c r="J773" s="5" t="s">
        <v>68</v>
      </c>
      <c r="K773" s="15">
        <v>41782.207569444443</v>
      </c>
      <c r="L773" s="20">
        <f t="shared" si="36"/>
        <v>41782</v>
      </c>
      <c r="M773" t="str">
        <f t="shared" si="37"/>
        <v>05-2014</v>
      </c>
      <c r="N773">
        <f t="shared" si="38"/>
        <v>9.99</v>
      </c>
    </row>
    <row r="774" spans="3:14" x14ac:dyDescent="0.25">
      <c r="C774" t="str">
        <f>IF(COUNTBLANK(E774:K774) = 7,"",IF(AND(NOT(ISBLANK(E774)),COUNTBLANK(E774:K774) = 6),"3 Delete",IF(ISBLANK(E774),"2 Add",IF(SHA1Range(E774:K774) = "8e4e6a3273bd86227c9edbbf82d3dc9859fb73ec","0 Original","1 Modify"))))</f>
        <v>0 Original</v>
      </c>
      <c r="D774" s="5" t="s">
        <v>3048</v>
      </c>
      <c r="E774" s="3">
        <v>2612</v>
      </c>
      <c r="F774" t="s">
        <v>1188</v>
      </c>
      <c r="G774" t="s">
        <v>373</v>
      </c>
      <c r="H774" s="9">
        <v>7.99</v>
      </c>
      <c r="I774" s="3">
        <v>1</v>
      </c>
      <c r="J774" s="5" t="s">
        <v>68</v>
      </c>
      <c r="K774" s="15">
        <v>41782.207569444443</v>
      </c>
      <c r="L774" s="20">
        <f t="shared" si="36"/>
        <v>41782</v>
      </c>
      <c r="M774" t="str">
        <f t="shared" si="37"/>
        <v>05-2014</v>
      </c>
      <c r="N774">
        <f t="shared" si="38"/>
        <v>7.99</v>
      </c>
    </row>
    <row r="775" spans="3:14" x14ac:dyDescent="0.25">
      <c r="C775" t="str">
        <f>IF(COUNTBLANK(E775:K775) = 7,"",IF(AND(NOT(ISBLANK(E775)),COUNTBLANK(E775:K775) = 6),"3 Delete",IF(ISBLANK(E775),"2 Add",IF(SHA1Range(E775:K775) = "bcb1a60fa1b9510f92b36771ba5b26afe3cea12b","0 Original","1 Modify"))))</f>
        <v>0 Original</v>
      </c>
      <c r="D775" s="5" t="s">
        <v>3049</v>
      </c>
      <c r="E775" s="3">
        <v>3926</v>
      </c>
      <c r="F775" t="s">
        <v>1189</v>
      </c>
      <c r="G775" t="s">
        <v>552</v>
      </c>
      <c r="H775" s="9">
        <v>6.99</v>
      </c>
      <c r="I775" s="3">
        <v>2</v>
      </c>
      <c r="J775" s="5" t="s">
        <v>68</v>
      </c>
      <c r="K775" s="15">
        <v>41782.665682870371</v>
      </c>
      <c r="L775" s="20">
        <f t="shared" si="36"/>
        <v>41782</v>
      </c>
      <c r="M775" t="str">
        <f t="shared" si="37"/>
        <v>05-2014</v>
      </c>
      <c r="N775">
        <f t="shared" si="38"/>
        <v>13.98</v>
      </c>
    </row>
    <row r="776" spans="3:14" x14ac:dyDescent="0.25">
      <c r="C776" t="str">
        <f>IF(COUNTBLANK(E776:K776) = 7,"",IF(AND(NOT(ISBLANK(E776)),COUNTBLANK(E776:K776) = 6),"3 Delete",IF(ISBLANK(E776),"2 Add",IF(SHA1Range(E776:K776) = "1052fda3d5865e67d0a01fe3f20bdadd37c172b5","0 Original","1 Modify"))))</f>
        <v>0 Original</v>
      </c>
      <c r="D776" s="5" t="s">
        <v>3050</v>
      </c>
      <c r="E776" s="3">
        <v>3927</v>
      </c>
      <c r="F776" t="s">
        <v>1189</v>
      </c>
      <c r="G776" t="s">
        <v>373</v>
      </c>
      <c r="H776" s="9">
        <v>7.99</v>
      </c>
      <c r="I776" s="3">
        <v>1</v>
      </c>
      <c r="J776" s="5" t="s">
        <v>68</v>
      </c>
      <c r="K776" s="15">
        <v>41782.665682870371</v>
      </c>
      <c r="L776" s="20">
        <f t="shared" si="36"/>
        <v>41782</v>
      </c>
      <c r="M776" t="str">
        <f t="shared" si="37"/>
        <v>05-2014</v>
      </c>
      <c r="N776">
        <f t="shared" si="38"/>
        <v>7.99</v>
      </c>
    </row>
    <row r="777" spans="3:14" x14ac:dyDescent="0.25">
      <c r="C777" t="str">
        <f>IF(COUNTBLANK(E777:K777) = 7,"",IF(AND(NOT(ISBLANK(E777)),COUNTBLANK(E777:K777) = 6),"3 Delete",IF(ISBLANK(E777),"2 Add",IF(SHA1Range(E777:K777) = "2f987b610740ca38a0d8e43030f361be93169e30","0 Original","1 Modify"))))</f>
        <v>0 Original</v>
      </c>
      <c r="D777" s="5" t="s">
        <v>3051</v>
      </c>
      <c r="E777" s="3">
        <v>1794</v>
      </c>
      <c r="F777" t="s">
        <v>1190</v>
      </c>
      <c r="G777" t="s">
        <v>570</v>
      </c>
      <c r="H777" s="9">
        <v>6.99</v>
      </c>
      <c r="I777" s="3">
        <v>1</v>
      </c>
      <c r="J777" s="5" t="s">
        <v>68</v>
      </c>
      <c r="K777" s="15">
        <v>41782.848437499997</v>
      </c>
      <c r="L777" s="20">
        <f t="shared" si="36"/>
        <v>41782</v>
      </c>
      <c r="M777" t="str">
        <f t="shared" si="37"/>
        <v>05-2014</v>
      </c>
      <c r="N777">
        <f t="shared" si="38"/>
        <v>6.99</v>
      </c>
    </row>
    <row r="778" spans="3:14" x14ac:dyDescent="0.25">
      <c r="C778" t="str">
        <f>IF(COUNTBLANK(E778:K778) = 7,"",IF(AND(NOT(ISBLANK(E778)),COUNTBLANK(E778:K778) = 6),"3 Delete",IF(ISBLANK(E778),"2 Add",IF(SHA1Range(E778:K778) = "578138c6deb2dbe4eae3f4850160c52cb5727f3d","0 Original","1 Modify"))))</f>
        <v>0 Original</v>
      </c>
      <c r="D778" s="5" t="s">
        <v>3052</v>
      </c>
      <c r="E778" s="3">
        <v>1795</v>
      </c>
      <c r="F778" t="s">
        <v>1190</v>
      </c>
      <c r="G778" t="s">
        <v>912</v>
      </c>
      <c r="H778" s="9">
        <v>6.99</v>
      </c>
      <c r="I778" s="3">
        <v>1</v>
      </c>
      <c r="J778" s="5" t="s">
        <v>68</v>
      </c>
      <c r="K778" s="15">
        <v>41782.848437499997</v>
      </c>
      <c r="L778" s="20">
        <f t="shared" si="36"/>
        <v>41782</v>
      </c>
      <c r="M778" t="str">
        <f t="shared" si="37"/>
        <v>05-2014</v>
      </c>
      <c r="N778">
        <f t="shared" si="38"/>
        <v>6.99</v>
      </c>
    </row>
    <row r="779" spans="3:14" x14ac:dyDescent="0.25">
      <c r="C779" t="str">
        <f>IF(COUNTBLANK(E779:K779) = 7,"",IF(AND(NOT(ISBLANK(E779)),COUNTBLANK(E779:K779) = 6),"3 Delete",IF(ISBLANK(E779),"2 Add",IF(SHA1Range(E779:K779) = "14ce8dbe843cf85b595761e1ab1a84f6760b0c25","0 Original","1 Modify"))))</f>
        <v>0 Original</v>
      </c>
      <c r="D779" s="5" t="s">
        <v>3053</v>
      </c>
      <c r="E779" s="3">
        <v>1796</v>
      </c>
      <c r="F779" t="s">
        <v>1190</v>
      </c>
      <c r="G779" t="s">
        <v>749</v>
      </c>
      <c r="H779" s="9">
        <v>5.99</v>
      </c>
      <c r="I779" s="3">
        <v>2</v>
      </c>
      <c r="J779" s="5" t="s">
        <v>68</v>
      </c>
      <c r="K779" s="15">
        <v>41782.848437499997</v>
      </c>
      <c r="L779" s="20">
        <f t="shared" si="36"/>
        <v>41782</v>
      </c>
      <c r="M779" t="str">
        <f t="shared" si="37"/>
        <v>05-2014</v>
      </c>
      <c r="N779">
        <f t="shared" si="38"/>
        <v>11.98</v>
      </c>
    </row>
    <row r="780" spans="3:14" x14ac:dyDescent="0.25">
      <c r="C780" t="str">
        <f>IF(COUNTBLANK(E780:K780) = 7,"",IF(AND(NOT(ISBLANK(E780)),COUNTBLANK(E780:K780) = 6),"3 Delete",IF(ISBLANK(E780),"2 Add",IF(SHA1Range(E780:K780) = "7c89b7877c699e499db32b2d3f07c73fbff0571a","0 Original","1 Modify"))))</f>
        <v>0 Original</v>
      </c>
      <c r="D780" s="5" t="s">
        <v>3054</v>
      </c>
      <c r="E780" s="3">
        <v>1797</v>
      </c>
      <c r="F780" t="s">
        <v>1190</v>
      </c>
      <c r="G780" t="s">
        <v>528</v>
      </c>
      <c r="H780" s="9">
        <v>5.99</v>
      </c>
      <c r="I780" s="3">
        <v>1</v>
      </c>
      <c r="J780" s="5" t="s">
        <v>68</v>
      </c>
      <c r="K780" s="15">
        <v>41782.848437499997</v>
      </c>
      <c r="L780" s="20">
        <f t="shared" si="36"/>
        <v>41782</v>
      </c>
      <c r="M780" t="str">
        <f t="shared" si="37"/>
        <v>05-2014</v>
      </c>
      <c r="N780">
        <f t="shared" si="38"/>
        <v>5.99</v>
      </c>
    </row>
    <row r="781" spans="3:14" x14ac:dyDescent="0.25">
      <c r="C781" t="str">
        <f>IF(COUNTBLANK(E781:K781) = 7,"",IF(AND(NOT(ISBLANK(E781)),COUNTBLANK(E781:K781) = 6),"3 Delete",IF(ISBLANK(E781),"2 Add",IF(SHA1Range(E781:K781) = "13232594626a39ab658da67c2856f4b8973ad31e","0 Original","1 Modify"))))</f>
        <v>0 Original</v>
      </c>
      <c r="D781" s="5" t="s">
        <v>3055</v>
      </c>
      <c r="E781" s="3">
        <v>1998</v>
      </c>
      <c r="F781" t="s">
        <v>1191</v>
      </c>
      <c r="G781" t="s">
        <v>897</v>
      </c>
      <c r="H781" s="9">
        <v>6.99</v>
      </c>
      <c r="I781" s="3">
        <v>1</v>
      </c>
      <c r="J781" s="5" t="s">
        <v>68</v>
      </c>
      <c r="K781" s="15">
        <v>41782.925821759258</v>
      </c>
      <c r="L781" s="20">
        <f t="shared" si="36"/>
        <v>41782</v>
      </c>
      <c r="M781" t="str">
        <f t="shared" si="37"/>
        <v>05-2014</v>
      </c>
      <c r="N781">
        <f t="shared" si="38"/>
        <v>6.99</v>
      </c>
    </row>
    <row r="782" spans="3:14" x14ac:dyDescent="0.25">
      <c r="C782" t="str">
        <f>IF(COUNTBLANK(E782:K782) = 7,"",IF(AND(NOT(ISBLANK(E782)),COUNTBLANK(E782:K782) = 6),"3 Delete",IF(ISBLANK(E782),"2 Add",IF(SHA1Range(E782:K782) = "60bd34d996ec86907ce96763ef2e1996c7a1e048","0 Original","1 Modify"))))</f>
        <v>0 Original</v>
      </c>
      <c r="D782" s="5" t="s">
        <v>3056</v>
      </c>
      <c r="E782" s="3">
        <v>1999</v>
      </c>
      <c r="F782" t="s">
        <v>1191</v>
      </c>
      <c r="G782" t="s">
        <v>684</v>
      </c>
      <c r="H782" s="9">
        <v>8.99</v>
      </c>
      <c r="I782" s="3">
        <v>1</v>
      </c>
      <c r="J782" s="5" t="s">
        <v>68</v>
      </c>
      <c r="K782" s="15">
        <v>41782.925821759258</v>
      </c>
      <c r="L782" s="20">
        <f t="shared" si="36"/>
        <v>41782</v>
      </c>
      <c r="M782" t="str">
        <f t="shared" si="37"/>
        <v>05-2014</v>
      </c>
      <c r="N782">
        <f t="shared" si="38"/>
        <v>8.99</v>
      </c>
    </row>
    <row r="783" spans="3:14" x14ac:dyDescent="0.25">
      <c r="C783" t="str">
        <f>IF(COUNTBLANK(E783:K783) = 7,"",IF(AND(NOT(ISBLANK(E783)),COUNTBLANK(E783:K783) = 6),"3 Delete",IF(ISBLANK(E783),"2 Add",IF(SHA1Range(E783:K783) = "82ab7b762383656df5453e4868f66ad897251159","0 Original","1 Modify"))))</f>
        <v>0 Original</v>
      </c>
      <c r="D783" s="5" t="s">
        <v>3057</v>
      </c>
      <c r="E783" s="3">
        <v>3496</v>
      </c>
      <c r="F783" t="s">
        <v>1192</v>
      </c>
      <c r="G783" t="s">
        <v>749</v>
      </c>
      <c r="H783" s="9">
        <v>5.99</v>
      </c>
      <c r="I783" s="3">
        <v>1</v>
      </c>
      <c r="J783" s="5" t="s">
        <v>68</v>
      </c>
      <c r="K783" s="15">
        <v>41783.323298611111</v>
      </c>
      <c r="L783" s="20">
        <f t="shared" si="36"/>
        <v>41783</v>
      </c>
      <c r="M783" t="str">
        <f t="shared" si="37"/>
        <v>05-2014</v>
      </c>
      <c r="N783">
        <f t="shared" si="38"/>
        <v>5.99</v>
      </c>
    </row>
    <row r="784" spans="3:14" x14ac:dyDescent="0.25">
      <c r="C784" t="str">
        <f>IF(COUNTBLANK(E784:K784) = 7,"",IF(AND(NOT(ISBLANK(E784)),COUNTBLANK(E784:K784) = 6),"3 Delete",IF(ISBLANK(E784),"2 Add",IF(SHA1Range(E784:K784) = "02653a60abfe06ad12a81a0d81fcfd6f648464e5","0 Original","1 Modify"))))</f>
        <v>0 Original</v>
      </c>
      <c r="D784" s="5" t="s">
        <v>3058</v>
      </c>
      <c r="E784" s="3">
        <v>3497</v>
      </c>
      <c r="F784" t="s">
        <v>1192</v>
      </c>
      <c r="G784" t="s">
        <v>707</v>
      </c>
      <c r="H784" s="9">
        <v>7.99</v>
      </c>
      <c r="I784" s="3">
        <v>1</v>
      </c>
      <c r="J784" s="5" t="s">
        <v>68</v>
      </c>
      <c r="K784" s="15">
        <v>41783.323298611111</v>
      </c>
      <c r="L784" s="20">
        <f t="shared" si="36"/>
        <v>41783</v>
      </c>
      <c r="M784" t="str">
        <f t="shared" si="37"/>
        <v>05-2014</v>
      </c>
      <c r="N784">
        <f t="shared" si="38"/>
        <v>7.99</v>
      </c>
    </row>
    <row r="785" spans="3:14" x14ac:dyDescent="0.25">
      <c r="C785" t="str">
        <f>IF(COUNTBLANK(E785:K785) = 7,"",IF(AND(NOT(ISBLANK(E785)),COUNTBLANK(E785:K785) = 6),"3 Delete",IF(ISBLANK(E785),"2 Add",IF(SHA1Range(E785:K785) = "9ef92e58664cdab0ec082c9cea87b255f6db799a","0 Original","1 Modify"))))</f>
        <v>0 Original</v>
      </c>
      <c r="D785" s="5" t="s">
        <v>3059</v>
      </c>
      <c r="E785" s="3">
        <v>3498</v>
      </c>
      <c r="F785" t="s">
        <v>1192</v>
      </c>
      <c r="G785" t="s">
        <v>707</v>
      </c>
      <c r="H785" s="9">
        <v>7.99</v>
      </c>
      <c r="I785" s="3">
        <v>1</v>
      </c>
      <c r="J785" s="5" t="s">
        <v>68</v>
      </c>
      <c r="K785" s="15">
        <v>41783.323298611111</v>
      </c>
      <c r="L785" s="20">
        <f t="shared" si="36"/>
        <v>41783</v>
      </c>
      <c r="M785" t="str">
        <f t="shared" si="37"/>
        <v>05-2014</v>
      </c>
      <c r="N785">
        <f t="shared" si="38"/>
        <v>7.99</v>
      </c>
    </row>
    <row r="786" spans="3:14" x14ac:dyDescent="0.25">
      <c r="C786" t="str">
        <f>IF(COUNTBLANK(E786:K786) = 7,"",IF(AND(NOT(ISBLANK(E786)),COUNTBLANK(E786:K786) = 6),"3 Delete",IF(ISBLANK(E786),"2 Add",IF(SHA1Range(E786:K786) = "9ca5a83438eb6dff2bd923362beef62cbe67ef01","0 Original","1 Modify"))))</f>
        <v>0 Original</v>
      </c>
      <c r="D786" s="5" t="s">
        <v>3060</v>
      </c>
      <c r="E786" s="3">
        <v>3499</v>
      </c>
      <c r="F786" t="s">
        <v>1192</v>
      </c>
      <c r="G786" t="s">
        <v>552</v>
      </c>
      <c r="H786" s="9">
        <v>6.99</v>
      </c>
      <c r="I786" s="3">
        <v>2</v>
      </c>
      <c r="J786" s="5" t="s">
        <v>68</v>
      </c>
      <c r="K786" s="15">
        <v>41783.323298611111</v>
      </c>
      <c r="L786" s="20">
        <f t="shared" si="36"/>
        <v>41783</v>
      </c>
      <c r="M786" t="str">
        <f t="shared" si="37"/>
        <v>05-2014</v>
      </c>
      <c r="N786">
        <f t="shared" si="38"/>
        <v>13.98</v>
      </c>
    </row>
    <row r="787" spans="3:14" x14ac:dyDescent="0.25">
      <c r="C787" t="str">
        <f>IF(COUNTBLANK(E787:K787) = 7,"",IF(AND(NOT(ISBLANK(E787)),COUNTBLANK(E787:K787) = 6),"3 Delete",IF(ISBLANK(E787),"2 Add",IF(SHA1Range(E787:K787) = "d747be24d17ad33e2998fd49e1e5f061004a4d14","0 Original","1 Modify"))))</f>
        <v>0 Original</v>
      </c>
      <c r="D787" s="5" t="s">
        <v>3061</v>
      </c>
      <c r="E787" s="3">
        <v>3103</v>
      </c>
      <c r="F787" t="s">
        <v>1193</v>
      </c>
      <c r="G787" t="s">
        <v>707</v>
      </c>
      <c r="H787" s="9">
        <v>7.99</v>
      </c>
      <c r="I787" s="3">
        <v>2</v>
      </c>
      <c r="J787" s="5" t="s">
        <v>68</v>
      </c>
      <c r="K787" s="15">
        <v>41783.659467592595</v>
      </c>
      <c r="L787" s="20">
        <f t="shared" si="36"/>
        <v>41783</v>
      </c>
      <c r="M787" t="str">
        <f t="shared" si="37"/>
        <v>05-2014</v>
      </c>
      <c r="N787">
        <f t="shared" si="38"/>
        <v>15.98</v>
      </c>
    </row>
    <row r="788" spans="3:14" x14ac:dyDescent="0.25">
      <c r="C788" t="str">
        <f>IF(COUNTBLANK(E788:K788) = 7,"",IF(AND(NOT(ISBLANK(E788)),COUNTBLANK(E788:K788) = 6),"3 Delete",IF(ISBLANK(E788),"2 Add",IF(SHA1Range(E788:K788) = "0d146c49a354c9019e6310435bb287f1bfc8bad6","0 Original","1 Modify"))))</f>
        <v>0 Original</v>
      </c>
      <c r="D788" s="5" t="s">
        <v>3062</v>
      </c>
      <c r="E788" s="3">
        <v>3104</v>
      </c>
      <c r="F788" t="s">
        <v>1193</v>
      </c>
      <c r="G788" t="s">
        <v>514</v>
      </c>
      <c r="H788" s="9">
        <v>6.99</v>
      </c>
      <c r="I788" s="3">
        <v>1</v>
      </c>
      <c r="J788" s="5" t="s">
        <v>68</v>
      </c>
      <c r="K788" s="15">
        <v>41783.659467592595</v>
      </c>
      <c r="L788" s="20">
        <f t="shared" si="36"/>
        <v>41783</v>
      </c>
      <c r="M788" t="str">
        <f t="shared" si="37"/>
        <v>05-2014</v>
      </c>
      <c r="N788">
        <f t="shared" si="38"/>
        <v>6.99</v>
      </c>
    </row>
    <row r="789" spans="3:14" x14ac:dyDescent="0.25">
      <c r="C789" t="str">
        <f>IF(COUNTBLANK(E789:K789) = 7,"",IF(AND(NOT(ISBLANK(E789)),COUNTBLANK(E789:K789) = 6),"3 Delete",IF(ISBLANK(E789),"2 Add",IF(SHA1Range(E789:K789) = "76eae20c73ba78c08481479d6de89fbbfe5d169c","0 Original","1 Modify"))))</f>
        <v>0 Original</v>
      </c>
      <c r="D789" s="5" t="s">
        <v>3063</v>
      </c>
      <c r="E789" s="3">
        <v>3105</v>
      </c>
      <c r="F789" t="s">
        <v>1193</v>
      </c>
      <c r="G789" t="s">
        <v>707</v>
      </c>
      <c r="H789" s="9">
        <v>7.99</v>
      </c>
      <c r="I789" s="3">
        <v>1</v>
      </c>
      <c r="J789" s="5" t="s">
        <v>68</v>
      </c>
      <c r="K789" s="15">
        <v>41783.659467592595</v>
      </c>
      <c r="L789" s="20">
        <f t="shared" si="36"/>
        <v>41783</v>
      </c>
      <c r="M789" t="str">
        <f t="shared" si="37"/>
        <v>05-2014</v>
      </c>
      <c r="N789">
        <f t="shared" si="38"/>
        <v>7.99</v>
      </c>
    </row>
    <row r="790" spans="3:14" x14ac:dyDescent="0.25">
      <c r="C790" t="str">
        <f>IF(COUNTBLANK(E790:K790) = 7,"",IF(AND(NOT(ISBLANK(E790)),COUNTBLANK(E790:K790) = 6),"3 Delete",IF(ISBLANK(E790),"2 Add",IF(SHA1Range(E790:K790) = "9263493e920870b7b458490a665e076616f0e709","0 Original","1 Modify"))))</f>
        <v>0 Original</v>
      </c>
      <c r="D790" s="5" t="s">
        <v>3064</v>
      </c>
      <c r="E790" s="3">
        <v>3106</v>
      </c>
      <c r="F790" t="s">
        <v>1193</v>
      </c>
      <c r="G790" t="s">
        <v>749</v>
      </c>
      <c r="H790" s="9">
        <v>5.99</v>
      </c>
      <c r="I790" s="3">
        <v>2</v>
      </c>
      <c r="J790" s="5" t="s">
        <v>68</v>
      </c>
      <c r="K790" s="15">
        <v>41783.659467592595</v>
      </c>
      <c r="L790" s="20">
        <f t="shared" si="36"/>
        <v>41783</v>
      </c>
      <c r="M790" t="str">
        <f t="shared" si="37"/>
        <v>05-2014</v>
      </c>
      <c r="N790">
        <f t="shared" si="38"/>
        <v>11.98</v>
      </c>
    </row>
    <row r="791" spans="3:14" x14ac:dyDescent="0.25">
      <c r="C791" t="str">
        <f>IF(COUNTBLANK(E791:K791) = 7,"",IF(AND(NOT(ISBLANK(E791)),COUNTBLANK(E791:K791) = 6),"3 Delete",IF(ISBLANK(E791),"2 Add",IF(SHA1Range(E791:K791) = "134e3e3537e1783016999376b3f7afd5eb90a02f","0 Original","1 Modify"))))</f>
        <v>0 Original</v>
      </c>
      <c r="D791" s="5" t="s">
        <v>3065</v>
      </c>
      <c r="E791" s="3">
        <v>3107</v>
      </c>
      <c r="F791" t="s">
        <v>1193</v>
      </c>
      <c r="G791" t="s">
        <v>642</v>
      </c>
      <c r="H791" s="9">
        <v>9.99</v>
      </c>
      <c r="I791" s="3">
        <v>1</v>
      </c>
      <c r="J791" s="5" t="s">
        <v>68</v>
      </c>
      <c r="K791" s="15">
        <v>41783.659467592595</v>
      </c>
      <c r="L791" s="20">
        <f t="shared" si="36"/>
        <v>41783</v>
      </c>
      <c r="M791" t="str">
        <f t="shared" si="37"/>
        <v>05-2014</v>
      </c>
      <c r="N791">
        <f t="shared" si="38"/>
        <v>9.99</v>
      </c>
    </row>
    <row r="792" spans="3:14" x14ac:dyDescent="0.25">
      <c r="C792" t="str">
        <f>IF(COUNTBLANK(E792:K792) = 7,"",IF(AND(NOT(ISBLANK(E792)),COUNTBLANK(E792:K792) = 6),"3 Delete",IF(ISBLANK(E792),"2 Add",IF(SHA1Range(E792:K792) = "988c482cc47670696f0d71a2ab70e4da96a1e6f5","0 Original","1 Modify"))))</f>
        <v>0 Original</v>
      </c>
      <c r="D792" s="5" t="s">
        <v>3066</v>
      </c>
      <c r="E792" s="3">
        <v>3108</v>
      </c>
      <c r="F792" t="s">
        <v>1193</v>
      </c>
      <c r="G792" t="s">
        <v>514</v>
      </c>
      <c r="H792" s="9">
        <v>6.99</v>
      </c>
      <c r="I792" s="3">
        <v>1</v>
      </c>
      <c r="J792" s="5" t="s">
        <v>68</v>
      </c>
      <c r="K792" s="15">
        <v>41783.659467592595</v>
      </c>
      <c r="L792" s="20">
        <f t="shared" si="36"/>
        <v>41783</v>
      </c>
      <c r="M792" t="str">
        <f t="shared" si="37"/>
        <v>05-2014</v>
      </c>
      <c r="N792">
        <f t="shared" si="38"/>
        <v>6.99</v>
      </c>
    </row>
    <row r="793" spans="3:14" x14ac:dyDescent="0.25">
      <c r="C793" t="str">
        <f>IF(COUNTBLANK(E793:K793) = 7,"",IF(AND(NOT(ISBLANK(E793)),COUNTBLANK(E793:K793) = 6),"3 Delete",IF(ISBLANK(E793),"2 Add",IF(SHA1Range(E793:K793) = "b74a1f20ec1aee4f2cc164a481f246780d290947","0 Original","1 Modify"))))</f>
        <v>0 Original</v>
      </c>
      <c r="D793" s="5" t="s">
        <v>3067</v>
      </c>
      <c r="E793" s="3">
        <v>3109</v>
      </c>
      <c r="F793" t="s">
        <v>1193</v>
      </c>
      <c r="G793" t="s">
        <v>579</v>
      </c>
      <c r="H793" s="9">
        <v>9.99</v>
      </c>
      <c r="I793" s="3">
        <v>1</v>
      </c>
      <c r="J793" s="5" t="s">
        <v>68</v>
      </c>
      <c r="K793" s="15">
        <v>41783.659467592595</v>
      </c>
      <c r="L793" s="20">
        <f t="shared" si="36"/>
        <v>41783</v>
      </c>
      <c r="M793" t="str">
        <f t="shared" si="37"/>
        <v>05-2014</v>
      </c>
      <c r="N793">
        <f t="shared" si="38"/>
        <v>9.99</v>
      </c>
    </row>
    <row r="794" spans="3:14" x14ac:dyDescent="0.25">
      <c r="C794" t="str">
        <f>IF(COUNTBLANK(E794:K794) = 7,"",IF(AND(NOT(ISBLANK(E794)),COUNTBLANK(E794:K794) = 6),"3 Delete",IF(ISBLANK(E794),"2 Add",IF(SHA1Range(E794:K794) = "2bec4a75ab6cd7ad9280e92fd1bc146d3775c96b","0 Original","1 Modify"))))</f>
        <v>0 Original</v>
      </c>
      <c r="D794" s="5" t="s">
        <v>3068</v>
      </c>
      <c r="E794" s="3">
        <v>3110</v>
      </c>
      <c r="F794" t="s">
        <v>1193</v>
      </c>
      <c r="G794" t="s">
        <v>579</v>
      </c>
      <c r="H794" s="9">
        <v>9.99</v>
      </c>
      <c r="I794" s="3">
        <v>1</v>
      </c>
      <c r="J794" s="5" t="s">
        <v>68</v>
      </c>
      <c r="K794" s="15">
        <v>41783.659467592595</v>
      </c>
      <c r="L794" s="20">
        <f t="shared" si="36"/>
        <v>41783</v>
      </c>
      <c r="M794" t="str">
        <f t="shared" si="37"/>
        <v>05-2014</v>
      </c>
      <c r="N794">
        <f t="shared" si="38"/>
        <v>9.99</v>
      </c>
    </row>
    <row r="795" spans="3:14" x14ac:dyDescent="0.25">
      <c r="C795" t="str">
        <f>IF(COUNTBLANK(E795:K795) = 7,"",IF(AND(NOT(ISBLANK(E795)),COUNTBLANK(E795:K795) = 6),"3 Delete",IF(ISBLANK(E795),"2 Add",IF(SHA1Range(E795:K795) = "f4dc15a8e8450ee0f4e37906f09389272367e31a","0 Original","1 Modify"))))</f>
        <v>0 Original</v>
      </c>
      <c r="D795" s="5" t="s">
        <v>3069</v>
      </c>
      <c r="E795" s="3">
        <v>3259</v>
      </c>
      <c r="F795" t="s">
        <v>1194</v>
      </c>
      <c r="G795" t="s">
        <v>552</v>
      </c>
      <c r="H795" s="9">
        <v>6.99</v>
      </c>
      <c r="I795" s="3">
        <v>1</v>
      </c>
      <c r="J795" s="5" t="s">
        <v>68</v>
      </c>
      <c r="K795" s="15">
        <v>41783.906944444447</v>
      </c>
      <c r="L795" s="20">
        <f t="shared" si="36"/>
        <v>41783</v>
      </c>
      <c r="M795" t="str">
        <f t="shared" si="37"/>
        <v>05-2014</v>
      </c>
      <c r="N795">
        <f t="shared" si="38"/>
        <v>6.99</v>
      </c>
    </row>
    <row r="796" spans="3:14" x14ac:dyDescent="0.25">
      <c r="C796" t="str">
        <f>IF(COUNTBLANK(E796:K796) = 7,"",IF(AND(NOT(ISBLANK(E796)),COUNTBLANK(E796:K796) = 6),"3 Delete",IF(ISBLANK(E796),"2 Add",IF(SHA1Range(E796:K796) = "4c17d3f22eeb2a401cfdf04829b13bced97a2a91","0 Original","1 Modify"))))</f>
        <v>0 Original</v>
      </c>
      <c r="D796" s="5" t="s">
        <v>3070</v>
      </c>
      <c r="E796" s="3">
        <v>3260</v>
      </c>
      <c r="F796" t="s">
        <v>1194</v>
      </c>
      <c r="G796" t="s">
        <v>687</v>
      </c>
      <c r="H796" s="9">
        <v>9.99</v>
      </c>
      <c r="I796" s="3">
        <v>1</v>
      </c>
      <c r="J796" s="5" t="s">
        <v>68</v>
      </c>
      <c r="K796" s="15">
        <v>41783.906944444447</v>
      </c>
      <c r="L796" s="20">
        <f t="shared" si="36"/>
        <v>41783</v>
      </c>
      <c r="M796" t="str">
        <f t="shared" si="37"/>
        <v>05-2014</v>
      </c>
      <c r="N796">
        <f t="shared" si="38"/>
        <v>9.99</v>
      </c>
    </row>
    <row r="797" spans="3:14" x14ac:dyDescent="0.25">
      <c r="C797" t="str">
        <f>IF(COUNTBLANK(E797:K797) = 7,"",IF(AND(NOT(ISBLANK(E797)),COUNTBLANK(E797:K797) = 6),"3 Delete",IF(ISBLANK(E797),"2 Add",IF(SHA1Range(E797:K797) = "b57545c5ca932cc9709cb8e2dba80ab3988b7e81","0 Original","1 Modify"))))</f>
        <v>0 Original</v>
      </c>
      <c r="D797" s="5" t="s">
        <v>3071</v>
      </c>
      <c r="E797" s="3">
        <v>1701</v>
      </c>
      <c r="F797" t="s">
        <v>1195</v>
      </c>
      <c r="G797" t="s">
        <v>514</v>
      </c>
      <c r="H797" s="9">
        <v>6.99</v>
      </c>
      <c r="I797" s="3">
        <v>1</v>
      </c>
      <c r="J797" s="5" t="s">
        <v>68</v>
      </c>
      <c r="K797" s="15">
        <v>41784.201620370368</v>
      </c>
      <c r="L797" s="20">
        <f t="shared" si="36"/>
        <v>41784</v>
      </c>
      <c r="M797" t="str">
        <f t="shared" si="37"/>
        <v>05-2014</v>
      </c>
      <c r="N797">
        <f t="shared" si="38"/>
        <v>6.99</v>
      </c>
    </row>
    <row r="798" spans="3:14" x14ac:dyDescent="0.25">
      <c r="C798" t="str">
        <f>IF(COUNTBLANK(E798:K798) = 7,"",IF(AND(NOT(ISBLANK(E798)),COUNTBLANK(E798:K798) = 6),"3 Delete",IF(ISBLANK(E798),"2 Add",IF(SHA1Range(E798:K798) = "4fe753a929fd45fccb9215aedd45da1a0d5fb35d","0 Original","1 Modify"))))</f>
        <v>0 Original</v>
      </c>
      <c r="D798" s="5" t="s">
        <v>3072</v>
      </c>
      <c r="E798" s="3">
        <v>3481</v>
      </c>
      <c r="F798" t="s">
        <v>1196</v>
      </c>
      <c r="G798" t="s">
        <v>707</v>
      </c>
      <c r="H798" s="9">
        <v>7.99</v>
      </c>
      <c r="I798" s="3">
        <v>2</v>
      </c>
      <c r="J798" s="5" t="s">
        <v>68</v>
      </c>
      <c r="K798" s="15">
        <v>41784.791689814818</v>
      </c>
      <c r="L798" s="20">
        <f t="shared" si="36"/>
        <v>41784</v>
      </c>
      <c r="M798" t="str">
        <f t="shared" si="37"/>
        <v>05-2014</v>
      </c>
      <c r="N798">
        <f t="shared" si="38"/>
        <v>15.98</v>
      </c>
    </row>
    <row r="799" spans="3:14" x14ac:dyDescent="0.25">
      <c r="C799" t="str">
        <f>IF(COUNTBLANK(E799:K799) = 7,"",IF(AND(NOT(ISBLANK(E799)),COUNTBLANK(E799:K799) = 6),"3 Delete",IF(ISBLANK(E799),"2 Add",IF(SHA1Range(E799:K799) = "61f2765231a627bc6455e73c4c2e6c83eea0bb56","0 Original","1 Modify"))))</f>
        <v>0 Original</v>
      </c>
      <c r="D799" s="5" t="s">
        <v>3073</v>
      </c>
      <c r="E799" s="3">
        <v>3482</v>
      </c>
      <c r="F799" t="s">
        <v>1196</v>
      </c>
      <c r="G799" t="s">
        <v>514</v>
      </c>
      <c r="H799" s="9">
        <v>6.99</v>
      </c>
      <c r="I799" s="3">
        <v>1</v>
      </c>
      <c r="J799" s="5" t="s">
        <v>68</v>
      </c>
      <c r="K799" s="15">
        <v>41784.791689814818</v>
      </c>
      <c r="L799" s="20">
        <f t="shared" si="36"/>
        <v>41784</v>
      </c>
      <c r="M799" t="str">
        <f t="shared" si="37"/>
        <v>05-2014</v>
      </c>
      <c r="N799">
        <f t="shared" si="38"/>
        <v>6.99</v>
      </c>
    </row>
    <row r="800" spans="3:14" x14ac:dyDescent="0.25">
      <c r="C800" t="str">
        <f>IF(COUNTBLANK(E800:K800) = 7,"",IF(AND(NOT(ISBLANK(E800)),COUNTBLANK(E800:K800) = 6),"3 Delete",IF(ISBLANK(E800),"2 Add",IF(SHA1Range(E800:K800) = "5fc0cf3cd12490cff025207ee45f216f7247ef14","0 Original","1 Modify"))))</f>
        <v>0 Original</v>
      </c>
      <c r="D800" s="5" t="s">
        <v>3074</v>
      </c>
      <c r="E800" s="3">
        <v>3483</v>
      </c>
      <c r="F800" t="s">
        <v>1196</v>
      </c>
      <c r="G800" t="s">
        <v>400</v>
      </c>
      <c r="H800" s="9">
        <v>4.99</v>
      </c>
      <c r="I800" s="3">
        <v>1</v>
      </c>
      <c r="J800" s="5" t="s">
        <v>68</v>
      </c>
      <c r="K800" s="15">
        <v>41784.791689814818</v>
      </c>
      <c r="L800" s="20">
        <f t="shared" si="36"/>
        <v>41784</v>
      </c>
      <c r="M800" t="str">
        <f t="shared" si="37"/>
        <v>05-2014</v>
      </c>
      <c r="N800">
        <f t="shared" si="38"/>
        <v>4.99</v>
      </c>
    </row>
    <row r="801" spans="3:14" x14ac:dyDescent="0.25">
      <c r="C801" t="str">
        <f>IF(COUNTBLANK(E801:K801) = 7,"",IF(AND(NOT(ISBLANK(E801)),COUNTBLANK(E801:K801) = 6),"3 Delete",IF(ISBLANK(E801),"2 Add",IF(SHA1Range(E801:K801) = "aac1445d2b7497400b07e1c04bdd84cb19a45393","0 Original","1 Modify"))))</f>
        <v>0 Original</v>
      </c>
      <c r="D801" s="5" t="s">
        <v>3075</v>
      </c>
      <c r="E801" s="3">
        <v>3484</v>
      </c>
      <c r="F801" t="s">
        <v>1196</v>
      </c>
      <c r="G801" t="s">
        <v>749</v>
      </c>
      <c r="H801" s="9">
        <v>5.99</v>
      </c>
      <c r="I801" s="3">
        <v>2</v>
      </c>
      <c r="J801" s="5" t="s">
        <v>68</v>
      </c>
      <c r="K801" s="15">
        <v>41784.791689814818</v>
      </c>
      <c r="L801" s="20">
        <f t="shared" si="36"/>
        <v>41784</v>
      </c>
      <c r="M801" t="str">
        <f t="shared" si="37"/>
        <v>05-2014</v>
      </c>
      <c r="N801">
        <f t="shared" si="38"/>
        <v>11.98</v>
      </c>
    </row>
    <row r="802" spans="3:14" x14ac:dyDescent="0.25">
      <c r="C802" t="str">
        <f>IF(COUNTBLANK(E802:K802) = 7,"",IF(AND(NOT(ISBLANK(E802)),COUNTBLANK(E802:K802) = 6),"3 Delete",IF(ISBLANK(E802),"2 Add",IF(SHA1Range(E802:K802) = "c0859f5681f5c2dd2a91284f029015f800aeb193","0 Original","1 Modify"))))</f>
        <v>0 Original</v>
      </c>
      <c r="D802" s="5" t="s">
        <v>3076</v>
      </c>
      <c r="E802" s="3">
        <v>3298</v>
      </c>
      <c r="F802" t="s">
        <v>1197</v>
      </c>
      <c r="G802" t="s">
        <v>579</v>
      </c>
      <c r="H802" s="9">
        <v>9.99</v>
      </c>
      <c r="I802" s="3">
        <v>1</v>
      </c>
      <c r="J802" s="5" t="s">
        <v>68</v>
      </c>
      <c r="K802" s="15">
        <v>41785.106469907405</v>
      </c>
      <c r="L802" s="20">
        <f t="shared" si="36"/>
        <v>41785</v>
      </c>
      <c r="M802" t="str">
        <f t="shared" si="37"/>
        <v>05-2014</v>
      </c>
      <c r="N802">
        <f t="shared" si="38"/>
        <v>9.99</v>
      </c>
    </row>
    <row r="803" spans="3:14" x14ac:dyDescent="0.25">
      <c r="C803" t="str">
        <f>IF(COUNTBLANK(E803:K803) = 7,"",IF(AND(NOT(ISBLANK(E803)),COUNTBLANK(E803:K803) = 6),"3 Delete",IF(ISBLANK(E803),"2 Add",IF(SHA1Range(E803:K803) = "0925009e5db00636f2ddf25599432fea8d28f7df","0 Original","1 Modify"))))</f>
        <v>0 Original</v>
      </c>
      <c r="D803" s="5" t="s">
        <v>3077</v>
      </c>
      <c r="E803" s="3">
        <v>1702</v>
      </c>
      <c r="F803" t="s">
        <v>1198</v>
      </c>
      <c r="G803" t="s">
        <v>739</v>
      </c>
      <c r="H803" s="9">
        <v>8.99</v>
      </c>
      <c r="I803" s="3">
        <v>2</v>
      </c>
      <c r="J803" s="5" t="s">
        <v>68</v>
      </c>
      <c r="K803" s="15">
        <v>41785.510925925926</v>
      </c>
      <c r="L803" s="20">
        <f t="shared" si="36"/>
        <v>41785</v>
      </c>
      <c r="M803" t="str">
        <f t="shared" si="37"/>
        <v>05-2014</v>
      </c>
      <c r="N803">
        <f t="shared" si="38"/>
        <v>17.98</v>
      </c>
    </row>
    <row r="804" spans="3:14" x14ac:dyDescent="0.25">
      <c r="C804" t="str">
        <f>IF(COUNTBLANK(E804:K804) = 7,"",IF(AND(NOT(ISBLANK(E804)),COUNTBLANK(E804:K804) = 6),"3 Delete",IF(ISBLANK(E804),"2 Add",IF(SHA1Range(E804:K804) = "8975df35c62b50e294861823b12c407545f5bcb0","0 Original","1 Modify"))))</f>
        <v>0 Original</v>
      </c>
      <c r="D804" s="5" t="s">
        <v>3078</v>
      </c>
      <c r="E804" s="3">
        <v>1703</v>
      </c>
      <c r="F804" t="s">
        <v>1198</v>
      </c>
      <c r="G804" t="s">
        <v>732</v>
      </c>
      <c r="H804" s="9">
        <v>9.99</v>
      </c>
      <c r="I804" s="3">
        <v>1</v>
      </c>
      <c r="J804" s="5" t="s">
        <v>68</v>
      </c>
      <c r="K804" s="15">
        <v>41785.510925925926</v>
      </c>
      <c r="L804" s="20">
        <f t="shared" si="36"/>
        <v>41785</v>
      </c>
      <c r="M804" t="str">
        <f t="shared" si="37"/>
        <v>05-2014</v>
      </c>
      <c r="N804">
        <f t="shared" si="38"/>
        <v>9.99</v>
      </c>
    </row>
    <row r="805" spans="3:14" x14ac:dyDescent="0.25">
      <c r="C805" t="str">
        <f>IF(COUNTBLANK(E805:K805) = 7,"",IF(AND(NOT(ISBLANK(E805)),COUNTBLANK(E805:K805) = 6),"3 Delete",IF(ISBLANK(E805),"2 Add",IF(SHA1Range(E805:K805) = "4a995c641b2ac96864abb67eae3658445a6b6218","0 Original","1 Modify"))))</f>
        <v>0 Original</v>
      </c>
      <c r="D805" s="5" t="s">
        <v>3079</v>
      </c>
      <c r="E805" s="3">
        <v>1704</v>
      </c>
      <c r="F805" t="s">
        <v>1198</v>
      </c>
      <c r="G805" t="s">
        <v>600</v>
      </c>
      <c r="H805" s="9">
        <v>5.99</v>
      </c>
      <c r="I805" s="3">
        <v>1</v>
      </c>
      <c r="J805" s="5" t="s">
        <v>68</v>
      </c>
      <c r="K805" s="15">
        <v>41785.510925925926</v>
      </c>
      <c r="L805" s="20">
        <f t="shared" si="36"/>
        <v>41785</v>
      </c>
      <c r="M805" t="str">
        <f t="shared" si="37"/>
        <v>05-2014</v>
      </c>
      <c r="N805">
        <f t="shared" si="38"/>
        <v>5.99</v>
      </c>
    </row>
    <row r="806" spans="3:14" x14ac:dyDescent="0.25">
      <c r="C806" t="str">
        <f>IF(COUNTBLANK(E806:K806) = 7,"",IF(AND(NOT(ISBLANK(E806)),COUNTBLANK(E806:K806) = 6),"3 Delete",IF(ISBLANK(E806),"2 Add",IF(SHA1Range(E806:K806) = "7eefb2539a077ba188a4e742454690bd94d964e4","0 Original","1 Modify"))))</f>
        <v>0 Original</v>
      </c>
      <c r="D806" s="5" t="s">
        <v>3080</v>
      </c>
      <c r="E806" s="3">
        <v>456</v>
      </c>
      <c r="F806" t="s">
        <v>1199</v>
      </c>
      <c r="G806" t="s">
        <v>510</v>
      </c>
      <c r="H806" s="9">
        <v>4.99</v>
      </c>
      <c r="I806" s="3">
        <v>1</v>
      </c>
      <c r="J806" s="5" t="s">
        <v>68</v>
      </c>
      <c r="K806" s="15">
        <v>41785.799675925926</v>
      </c>
      <c r="L806" s="20">
        <f t="shared" si="36"/>
        <v>41785</v>
      </c>
      <c r="M806" t="str">
        <f t="shared" si="37"/>
        <v>05-2014</v>
      </c>
      <c r="N806">
        <f t="shared" si="38"/>
        <v>4.99</v>
      </c>
    </row>
    <row r="807" spans="3:14" x14ac:dyDescent="0.25">
      <c r="C807" t="str">
        <f>IF(COUNTBLANK(E807:K807) = 7,"",IF(AND(NOT(ISBLANK(E807)),COUNTBLANK(E807:K807) = 6),"3 Delete",IF(ISBLANK(E807),"2 Add",IF(SHA1Range(E807:K807) = "e7c74e5839c8e64c884beaea034d528ace05f542","0 Original","1 Modify"))))</f>
        <v>0 Original</v>
      </c>
      <c r="D807" s="5" t="s">
        <v>3081</v>
      </c>
      <c r="E807" s="3">
        <v>2121</v>
      </c>
      <c r="F807" t="s">
        <v>1200</v>
      </c>
      <c r="G807" t="s">
        <v>560</v>
      </c>
      <c r="H807" s="9">
        <v>8.99</v>
      </c>
      <c r="I807" s="3">
        <v>1</v>
      </c>
      <c r="J807" s="5" t="s">
        <v>68</v>
      </c>
      <c r="K807" s="15">
        <v>41786.941435185188</v>
      </c>
      <c r="L807" s="20">
        <f t="shared" si="36"/>
        <v>41786</v>
      </c>
      <c r="M807" t="str">
        <f t="shared" si="37"/>
        <v>05-2014</v>
      </c>
      <c r="N807">
        <f t="shared" si="38"/>
        <v>8.99</v>
      </c>
    </row>
    <row r="808" spans="3:14" x14ac:dyDescent="0.25">
      <c r="C808" t="str">
        <f>IF(COUNTBLANK(E808:K808) = 7,"",IF(AND(NOT(ISBLANK(E808)),COUNTBLANK(E808:K808) = 6),"3 Delete",IF(ISBLANK(E808),"2 Add",IF(SHA1Range(E808:K808) = "faedd361d9de7af0e9c4a15d5f48ea9f4457e621","0 Original","1 Modify"))))</f>
        <v>0 Original</v>
      </c>
      <c r="D808" s="5" t="s">
        <v>3082</v>
      </c>
      <c r="E808" s="3">
        <v>2122</v>
      </c>
      <c r="F808" t="s">
        <v>1200</v>
      </c>
      <c r="G808" t="s">
        <v>926</v>
      </c>
      <c r="H808" s="9">
        <v>9.99</v>
      </c>
      <c r="I808" s="3">
        <v>1</v>
      </c>
      <c r="J808" s="5" t="s">
        <v>68</v>
      </c>
      <c r="K808" s="15">
        <v>41786.941435185188</v>
      </c>
      <c r="L808" s="20">
        <f t="shared" si="36"/>
        <v>41786</v>
      </c>
      <c r="M808" t="str">
        <f t="shared" si="37"/>
        <v>05-2014</v>
      </c>
      <c r="N808">
        <f t="shared" si="38"/>
        <v>9.99</v>
      </c>
    </row>
    <row r="809" spans="3:14" x14ac:dyDescent="0.25">
      <c r="C809" t="str">
        <f>IF(COUNTBLANK(E809:K809) = 7,"",IF(AND(NOT(ISBLANK(E809)),COUNTBLANK(E809:K809) = 6),"3 Delete",IF(ISBLANK(E809),"2 Add",IF(SHA1Range(E809:K809) = "aa6c36cde5dccf4394f1c20a1e7f649f0c1a16e7","0 Original","1 Modify"))))</f>
        <v>0 Original</v>
      </c>
      <c r="D809" s="5" t="s">
        <v>3083</v>
      </c>
      <c r="E809" s="3">
        <v>2123</v>
      </c>
      <c r="F809" t="s">
        <v>1200</v>
      </c>
      <c r="G809" t="s">
        <v>845</v>
      </c>
      <c r="H809" s="9">
        <v>7.99</v>
      </c>
      <c r="I809" s="3">
        <v>1</v>
      </c>
      <c r="J809" s="5" t="s">
        <v>68</v>
      </c>
      <c r="K809" s="15">
        <v>41786.941435185188</v>
      </c>
      <c r="L809" s="20">
        <f t="shared" si="36"/>
        <v>41786</v>
      </c>
      <c r="M809" t="str">
        <f t="shared" si="37"/>
        <v>05-2014</v>
      </c>
      <c r="N809">
        <f t="shared" si="38"/>
        <v>7.99</v>
      </c>
    </row>
    <row r="810" spans="3:14" x14ac:dyDescent="0.25">
      <c r="C810" t="str">
        <f>IF(COUNTBLANK(E810:K810) = 7,"",IF(AND(NOT(ISBLANK(E810)),COUNTBLANK(E810:K810) = 6),"3 Delete",IF(ISBLANK(E810),"2 Add",IF(SHA1Range(E810:K810) = "c4f2b17573035c1887773c9d088816618424af78","0 Original","1 Modify"))))</f>
        <v>0 Original</v>
      </c>
      <c r="D810" s="5" t="s">
        <v>3084</v>
      </c>
      <c r="E810" s="3">
        <v>2713</v>
      </c>
      <c r="F810" t="s">
        <v>1201</v>
      </c>
      <c r="G810" t="s">
        <v>707</v>
      </c>
      <c r="H810" s="9">
        <v>7.99</v>
      </c>
      <c r="I810" s="3">
        <v>1</v>
      </c>
      <c r="J810" s="5" t="s">
        <v>68</v>
      </c>
      <c r="K810" s="15">
        <v>41787.126759259256</v>
      </c>
      <c r="L810" s="20">
        <f t="shared" si="36"/>
        <v>41787</v>
      </c>
      <c r="M810" t="str">
        <f t="shared" si="37"/>
        <v>05-2014</v>
      </c>
      <c r="N810">
        <f t="shared" si="38"/>
        <v>7.99</v>
      </c>
    </row>
    <row r="811" spans="3:14" x14ac:dyDescent="0.25">
      <c r="C811" t="str">
        <f>IF(COUNTBLANK(E811:K811) = 7,"",IF(AND(NOT(ISBLANK(E811)),COUNTBLANK(E811:K811) = 6),"3 Delete",IF(ISBLANK(E811),"2 Add",IF(SHA1Range(E811:K811) = "172f75cbfa1637af51e7730ad0ff1f0f31260ffc","0 Original","1 Modify"))))</f>
        <v>0 Original</v>
      </c>
      <c r="D811" s="5" t="s">
        <v>3085</v>
      </c>
      <c r="E811" s="3">
        <v>2714</v>
      </c>
      <c r="F811" t="s">
        <v>1201</v>
      </c>
      <c r="G811" t="s">
        <v>552</v>
      </c>
      <c r="H811" s="9">
        <v>6.99</v>
      </c>
      <c r="I811" s="3">
        <v>1</v>
      </c>
      <c r="J811" s="5" t="s">
        <v>68</v>
      </c>
      <c r="K811" s="15">
        <v>41787.126759259256</v>
      </c>
      <c r="L811" s="20">
        <f t="shared" si="36"/>
        <v>41787</v>
      </c>
      <c r="M811" t="str">
        <f t="shared" si="37"/>
        <v>05-2014</v>
      </c>
      <c r="N811">
        <f t="shared" si="38"/>
        <v>6.99</v>
      </c>
    </row>
    <row r="812" spans="3:14" x14ac:dyDescent="0.25">
      <c r="C812" t="str">
        <f>IF(COUNTBLANK(E812:K812) = 7,"",IF(AND(NOT(ISBLANK(E812)),COUNTBLANK(E812:K812) = 6),"3 Delete",IF(ISBLANK(E812),"2 Add",IF(SHA1Range(E812:K812) = "73043fe635c9b2152ac8f476ca44a088315ee532","0 Original","1 Modify"))))</f>
        <v>0 Original</v>
      </c>
      <c r="D812" s="5" t="s">
        <v>3086</v>
      </c>
      <c r="E812" s="3">
        <v>3865</v>
      </c>
      <c r="F812" t="s">
        <v>1202</v>
      </c>
      <c r="G812" t="s">
        <v>642</v>
      </c>
      <c r="H812" s="9">
        <v>9.99</v>
      </c>
      <c r="I812" s="3">
        <v>1</v>
      </c>
      <c r="J812" s="5" t="s">
        <v>68</v>
      </c>
      <c r="K812" s="15">
        <v>41787.510914351849</v>
      </c>
      <c r="L812" s="20">
        <f t="shared" si="36"/>
        <v>41787</v>
      </c>
      <c r="M812" t="str">
        <f t="shared" si="37"/>
        <v>05-2014</v>
      </c>
      <c r="N812">
        <f t="shared" si="38"/>
        <v>9.99</v>
      </c>
    </row>
    <row r="813" spans="3:14" x14ac:dyDescent="0.25">
      <c r="C813" t="str">
        <f>IF(COUNTBLANK(E813:K813) = 7,"",IF(AND(NOT(ISBLANK(E813)),COUNTBLANK(E813:K813) = 6),"3 Delete",IF(ISBLANK(E813),"2 Add",IF(SHA1Range(E813:K813) = "53841cadafbbddcac6ad142b8860da410dfd82b6","0 Original","1 Modify"))))</f>
        <v>0 Original</v>
      </c>
      <c r="D813" s="5" t="s">
        <v>3087</v>
      </c>
      <c r="E813" s="3">
        <v>3866</v>
      </c>
      <c r="F813" t="s">
        <v>1202</v>
      </c>
      <c r="G813" t="s">
        <v>749</v>
      </c>
      <c r="H813" s="9">
        <v>5.99</v>
      </c>
      <c r="I813" s="3">
        <v>1</v>
      </c>
      <c r="J813" s="5" t="s">
        <v>68</v>
      </c>
      <c r="K813" s="15">
        <v>41787.510914351849</v>
      </c>
      <c r="L813" s="20">
        <f t="shared" si="36"/>
        <v>41787</v>
      </c>
      <c r="M813" t="str">
        <f t="shared" si="37"/>
        <v>05-2014</v>
      </c>
      <c r="N813">
        <f t="shared" si="38"/>
        <v>5.99</v>
      </c>
    </row>
    <row r="814" spans="3:14" x14ac:dyDescent="0.25">
      <c r="C814" t="str">
        <f>IF(COUNTBLANK(E814:K814) = 7,"",IF(AND(NOT(ISBLANK(E814)),COUNTBLANK(E814:K814) = 6),"3 Delete",IF(ISBLANK(E814),"2 Add",IF(SHA1Range(E814:K814) = "5759074c16df68f27aca495affc679873b221313","0 Original","1 Modify"))))</f>
        <v>0 Original</v>
      </c>
      <c r="D814" s="5" t="s">
        <v>3088</v>
      </c>
      <c r="E814" s="3">
        <v>3867</v>
      </c>
      <c r="F814" t="s">
        <v>1202</v>
      </c>
      <c r="G814" t="s">
        <v>642</v>
      </c>
      <c r="H814" s="9">
        <v>9.99</v>
      </c>
      <c r="I814" s="3">
        <v>2</v>
      </c>
      <c r="J814" s="5" t="s">
        <v>68</v>
      </c>
      <c r="K814" s="15">
        <v>41787.510914351849</v>
      </c>
      <c r="L814" s="20">
        <f t="shared" si="36"/>
        <v>41787</v>
      </c>
      <c r="M814" t="str">
        <f t="shared" si="37"/>
        <v>05-2014</v>
      </c>
      <c r="N814">
        <f t="shared" si="38"/>
        <v>19.98</v>
      </c>
    </row>
    <row r="815" spans="3:14" x14ac:dyDescent="0.25">
      <c r="C815" t="str">
        <f>IF(COUNTBLANK(E815:K815) = 7,"",IF(AND(NOT(ISBLANK(E815)),COUNTBLANK(E815:K815) = 6),"3 Delete",IF(ISBLANK(E815),"2 Add",IF(SHA1Range(E815:K815) = "65eb953d53482b19fc8ab272f50d3ca7aeea3463","0 Original","1 Modify"))))</f>
        <v>0 Original</v>
      </c>
      <c r="D815" s="5" t="s">
        <v>3089</v>
      </c>
      <c r="E815" s="3">
        <v>3868</v>
      </c>
      <c r="F815" t="s">
        <v>1202</v>
      </c>
      <c r="G815" t="s">
        <v>707</v>
      </c>
      <c r="H815" s="9">
        <v>7.99</v>
      </c>
      <c r="I815" s="3">
        <v>2</v>
      </c>
      <c r="J815" s="5" t="s">
        <v>68</v>
      </c>
      <c r="K815" s="15">
        <v>41787.510914351849</v>
      </c>
      <c r="L815" s="20">
        <f t="shared" si="36"/>
        <v>41787</v>
      </c>
      <c r="M815" t="str">
        <f t="shared" si="37"/>
        <v>05-2014</v>
      </c>
      <c r="N815">
        <f t="shared" si="38"/>
        <v>15.98</v>
      </c>
    </row>
    <row r="816" spans="3:14" x14ac:dyDescent="0.25">
      <c r="C816" t="str">
        <f>IF(COUNTBLANK(E816:K816) = 7,"",IF(AND(NOT(ISBLANK(E816)),COUNTBLANK(E816:K816) = 6),"3 Delete",IF(ISBLANK(E816),"2 Add",IF(SHA1Range(E816:K816) = "7ae27c6280952a0530e206b78c3b25c25be73e28","0 Original","1 Modify"))))</f>
        <v>0 Original</v>
      </c>
      <c r="D816" s="5" t="s">
        <v>3090</v>
      </c>
      <c r="E816" s="3">
        <v>3869</v>
      </c>
      <c r="F816" t="s">
        <v>1202</v>
      </c>
      <c r="G816" t="s">
        <v>400</v>
      </c>
      <c r="H816" s="9">
        <v>4.99</v>
      </c>
      <c r="I816" s="3">
        <v>1</v>
      </c>
      <c r="J816" s="5" t="s">
        <v>68</v>
      </c>
      <c r="K816" s="15">
        <v>41787.510914351849</v>
      </c>
      <c r="L816" s="20">
        <f t="shared" si="36"/>
        <v>41787</v>
      </c>
      <c r="M816" t="str">
        <f t="shared" si="37"/>
        <v>05-2014</v>
      </c>
      <c r="N816">
        <f t="shared" si="38"/>
        <v>4.99</v>
      </c>
    </row>
    <row r="817" spans="3:14" x14ac:dyDescent="0.25">
      <c r="C817" t="str">
        <f>IF(COUNTBLANK(E817:K817) = 7,"",IF(AND(NOT(ISBLANK(E817)),COUNTBLANK(E817:K817) = 6),"3 Delete",IF(ISBLANK(E817),"2 Add",IF(SHA1Range(E817:K817) = "f48de076041929e8c07fc5de7fa248b91b157f3f","0 Original","1 Modify"))))</f>
        <v>0 Original</v>
      </c>
      <c r="D817" s="5" t="s">
        <v>3091</v>
      </c>
      <c r="E817" s="3">
        <v>2107</v>
      </c>
      <c r="F817" t="s">
        <v>1203</v>
      </c>
      <c r="G817" t="s">
        <v>781</v>
      </c>
      <c r="H817" s="9">
        <v>5.99</v>
      </c>
      <c r="I817" s="3">
        <v>1</v>
      </c>
      <c r="J817" s="5" t="s">
        <v>68</v>
      </c>
      <c r="K817" s="15">
        <v>41787.738900462966</v>
      </c>
      <c r="L817" s="20">
        <f t="shared" si="36"/>
        <v>41787</v>
      </c>
      <c r="M817" t="str">
        <f t="shared" si="37"/>
        <v>05-2014</v>
      </c>
      <c r="N817">
        <f t="shared" si="38"/>
        <v>5.99</v>
      </c>
    </row>
    <row r="818" spans="3:14" x14ac:dyDescent="0.25">
      <c r="C818" t="str">
        <f>IF(COUNTBLANK(E818:K818) = 7,"",IF(AND(NOT(ISBLANK(E818)),COUNTBLANK(E818:K818) = 6),"3 Delete",IF(ISBLANK(E818),"2 Add",IF(SHA1Range(E818:K818) = "ff9eb6c80d3451bd9de07a06d6b17178acf6a68b","0 Original","1 Modify"))))</f>
        <v>0 Original</v>
      </c>
      <c r="D818" s="5" t="s">
        <v>3092</v>
      </c>
      <c r="E818" s="3">
        <v>2108</v>
      </c>
      <c r="F818" t="s">
        <v>1203</v>
      </c>
      <c r="G818" t="s">
        <v>735</v>
      </c>
      <c r="H818" s="9">
        <v>4.99</v>
      </c>
      <c r="I818" s="3">
        <v>1</v>
      </c>
      <c r="J818" s="5" t="s">
        <v>68</v>
      </c>
      <c r="K818" s="15">
        <v>41787.738900462966</v>
      </c>
      <c r="L818" s="20">
        <f t="shared" si="36"/>
        <v>41787</v>
      </c>
      <c r="M818" t="str">
        <f t="shared" si="37"/>
        <v>05-2014</v>
      </c>
      <c r="N818">
        <f t="shared" si="38"/>
        <v>4.99</v>
      </c>
    </row>
    <row r="819" spans="3:14" x14ac:dyDescent="0.25">
      <c r="C819" t="str">
        <f>IF(COUNTBLANK(E819:K819) = 7,"",IF(AND(NOT(ISBLANK(E819)),COUNTBLANK(E819:K819) = 6),"3 Delete",IF(ISBLANK(E819),"2 Add",IF(SHA1Range(E819:K819) = "09fab96eca1335cd2e16ab3fb07236aac5a30028","0 Original","1 Modify"))))</f>
        <v>0 Original</v>
      </c>
      <c r="D819" s="5" t="s">
        <v>3093</v>
      </c>
      <c r="E819" s="3">
        <v>2109</v>
      </c>
      <c r="F819" t="s">
        <v>1203</v>
      </c>
      <c r="G819" t="s">
        <v>560</v>
      </c>
      <c r="H819" s="9">
        <v>8.99</v>
      </c>
      <c r="I819" s="3">
        <v>1</v>
      </c>
      <c r="J819" s="5" t="s">
        <v>68</v>
      </c>
      <c r="K819" s="15">
        <v>41787.738900462966</v>
      </c>
      <c r="L819" s="20">
        <f t="shared" si="36"/>
        <v>41787</v>
      </c>
      <c r="M819" t="str">
        <f t="shared" si="37"/>
        <v>05-2014</v>
      </c>
      <c r="N819">
        <f t="shared" si="38"/>
        <v>8.99</v>
      </c>
    </row>
    <row r="820" spans="3:14" x14ac:dyDescent="0.25">
      <c r="C820" t="str">
        <f>IF(COUNTBLANK(E820:K820) = 7,"",IF(AND(NOT(ISBLANK(E820)),COUNTBLANK(E820:K820) = 6),"3 Delete",IF(ISBLANK(E820),"2 Add",IF(SHA1Range(E820:K820) = "7a713dd853a154f59a4d8420d2c19d5a252ba3ae","0 Original","1 Modify"))))</f>
        <v>0 Original</v>
      </c>
      <c r="D820" s="5" t="s">
        <v>3094</v>
      </c>
      <c r="E820" s="3">
        <v>1663</v>
      </c>
      <c r="F820" t="s">
        <v>1204</v>
      </c>
      <c r="G820" t="s">
        <v>610</v>
      </c>
      <c r="H820" s="9">
        <v>9.99</v>
      </c>
      <c r="I820" s="3">
        <v>1</v>
      </c>
      <c r="J820" s="5" t="s">
        <v>68</v>
      </c>
      <c r="K820" s="15">
        <v>41789.358854166669</v>
      </c>
      <c r="L820" s="20">
        <f t="shared" si="36"/>
        <v>41789</v>
      </c>
      <c r="M820" t="str">
        <f t="shared" si="37"/>
        <v>05-2014</v>
      </c>
      <c r="N820">
        <f t="shared" si="38"/>
        <v>9.99</v>
      </c>
    </row>
    <row r="821" spans="3:14" x14ac:dyDescent="0.25">
      <c r="C821" t="str">
        <f>IF(COUNTBLANK(E821:K821) = 7,"",IF(AND(NOT(ISBLANK(E821)),COUNTBLANK(E821:K821) = 6),"3 Delete",IF(ISBLANK(E821),"2 Add",IF(SHA1Range(E821:K821) = "745b7c181ab60b53f9fd6f01078258dcec8080e4","0 Original","1 Modify"))))</f>
        <v>0 Original</v>
      </c>
      <c r="D821" s="5" t="s">
        <v>3095</v>
      </c>
      <c r="E821" s="3">
        <v>1664</v>
      </c>
      <c r="F821" t="s">
        <v>1204</v>
      </c>
      <c r="G821" t="s">
        <v>781</v>
      </c>
      <c r="H821" s="9">
        <v>5.99</v>
      </c>
      <c r="I821" s="3">
        <v>1</v>
      </c>
      <c r="J821" s="5" t="s">
        <v>68</v>
      </c>
      <c r="K821" s="15">
        <v>41789.358854166669</v>
      </c>
      <c r="L821" s="20">
        <f t="shared" si="36"/>
        <v>41789</v>
      </c>
      <c r="M821" t="str">
        <f t="shared" si="37"/>
        <v>05-2014</v>
      </c>
      <c r="N821">
        <f t="shared" si="38"/>
        <v>5.99</v>
      </c>
    </row>
    <row r="822" spans="3:14" x14ac:dyDescent="0.25">
      <c r="C822" t="str">
        <f>IF(COUNTBLANK(E822:K822) = 7,"",IF(AND(NOT(ISBLANK(E822)),COUNTBLANK(E822:K822) = 6),"3 Delete",IF(ISBLANK(E822),"2 Add",IF(SHA1Range(E822:K822) = "a8dcd645ba6f105cc834b859701d72b5da1ff3d1","0 Original","1 Modify"))))</f>
        <v>0 Original</v>
      </c>
      <c r="D822" s="5" t="s">
        <v>3096</v>
      </c>
      <c r="E822" s="3">
        <v>2504</v>
      </c>
      <c r="F822" t="s">
        <v>1205</v>
      </c>
      <c r="G822" t="s">
        <v>687</v>
      </c>
      <c r="H822" s="9">
        <v>9.99</v>
      </c>
      <c r="I822" s="3">
        <v>2</v>
      </c>
      <c r="J822" s="5" t="s">
        <v>68</v>
      </c>
      <c r="K822" s="15">
        <v>41789.889976851853</v>
      </c>
      <c r="L822" s="20">
        <f t="shared" si="36"/>
        <v>41789</v>
      </c>
      <c r="M822" t="str">
        <f t="shared" si="37"/>
        <v>05-2014</v>
      </c>
      <c r="N822">
        <f t="shared" si="38"/>
        <v>19.98</v>
      </c>
    </row>
    <row r="823" spans="3:14" x14ac:dyDescent="0.25">
      <c r="C823" t="str">
        <f>IF(COUNTBLANK(E823:K823) = 7,"",IF(AND(NOT(ISBLANK(E823)),COUNTBLANK(E823:K823) = 6),"3 Delete",IF(ISBLANK(E823),"2 Add",IF(SHA1Range(E823:K823) = "568a2a04b8b7b65f19dda7084d040db64b8a046b","0 Original","1 Modify"))))</f>
        <v>0 Original</v>
      </c>
      <c r="D823" s="5" t="s">
        <v>3097</v>
      </c>
      <c r="E823" s="3">
        <v>2505</v>
      </c>
      <c r="F823" t="s">
        <v>1205</v>
      </c>
      <c r="G823" t="s">
        <v>400</v>
      </c>
      <c r="H823" s="9">
        <v>4.99</v>
      </c>
      <c r="I823" s="3">
        <v>1</v>
      </c>
      <c r="J823" s="5" t="s">
        <v>68</v>
      </c>
      <c r="K823" s="15">
        <v>41789.889976851853</v>
      </c>
      <c r="L823" s="20">
        <f t="shared" si="36"/>
        <v>41789</v>
      </c>
      <c r="M823" t="str">
        <f t="shared" si="37"/>
        <v>05-2014</v>
      </c>
      <c r="N823">
        <f t="shared" si="38"/>
        <v>4.99</v>
      </c>
    </row>
    <row r="824" spans="3:14" x14ac:dyDescent="0.25">
      <c r="C824" t="str">
        <f>IF(COUNTBLANK(E824:K824) = 7,"",IF(AND(NOT(ISBLANK(E824)),COUNTBLANK(E824:K824) = 6),"3 Delete",IF(ISBLANK(E824),"2 Add",IF(SHA1Range(E824:K824) = "6537ce7f1d6c7ef6bab3d7bd3c0f63cc84150205","0 Original","1 Modify"))))</f>
        <v>0 Original</v>
      </c>
      <c r="D824" s="5" t="s">
        <v>3098</v>
      </c>
      <c r="E824" s="3">
        <v>2786</v>
      </c>
      <c r="F824" t="s">
        <v>1206</v>
      </c>
      <c r="G824" t="s">
        <v>948</v>
      </c>
      <c r="H824" s="9">
        <v>4.99</v>
      </c>
      <c r="I824" s="3">
        <v>1</v>
      </c>
      <c r="J824" s="5" t="s">
        <v>68</v>
      </c>
      <c r="K824" s="15">
        <v>41790.587812500002</v>
      </c>
      <c r="L824" s="20">
        <f t="shared" si="36"/>
        <v>41790</v>
      </c>
      <c r="M824" t="str">
        <f t="shared" si="37"/>
        <v>05-2014</v>
      </c>
      <c r="N824">
        <f t="shared" si="38"/>
        <v>4.99</v>
      </c>
    </row>
    <row r="825" spans="3:14" x14ac:dyDescent="0.25">
      <c r="C825" t="str">
        <f>IF(COUNTBLANK(E825:K825) = 7,"",IF(AND(NOT(ISBLANK(E825)),COUNTBLANK(E825:K825) = 6),"3 Delete",IF(ISBLANK(E825),"2 Add",IF(SHA1Range(E825:K825) = "031f2e023e4e7620dc7c0fc72b1ba5b0316802ae","0 Original","1 Modify"))))</f>
        <v>0 Original</v>
      </c>
      <c r="D825" s="5" t="s">
        <v>3099</v>
      </c>
      <c r="E825" s="3">
        <v>3430</v>
      </c>
      <c r="F825" t="s">
        <v>1207</v>
      </c>
      <c r="G825" t="s">
        <v>579</v>
      </c>
      <c r="H825" s="9">
        <v>9.99</v>
      </c>
      <c r="I825" s="3">
        <v>2</v>
      </c>
      <c r="J825" s="5" t="s">
        <v>68</v>
      </c>
      <c r="K825" s="15">
        <v>41791.124664351853</v>
      </c>
      <c r="L825" s="20">
        <f t="shared" si="36"/>
        <v>41791</v>
      </c>
      <c r="M825" t="str">
        <f t="shared" si="37"/>
        <v>06-2014</v>
      </c>
      <c r="N825">
        <f t="shared" si="38"/>
        <v>19.98</v>
      </c>
    </row>
    <row r="826" spans="3:14" x14ac:dyDescent="0.25">
      <c r="C826" t="str">
        <f>IF(COUNTBLANK(E826:K826) = 7,"",IF(AND(NOT(ISBLANK(E826)),COUNTBLANK(E826:K826) = 6),"3 Delete",IF(ISBLANK(E826),"2 Add",IF(SHA1Range(E826:K826) = "11a9a28a8aa4c54226129a31cc1ad3207ecf9abc","0 Original","1 Modify"))))</f>
        <v>0 Original</v>
      </c>
      <c r="D826" s="5" t="s">
        <v>3100</v>
      </c>
      <c r="E826" s="3">
        <v>3431</v>
      </c>
      <c r="F826" t="s">
        <v>1207</v>
      </c>
      <c r="G826" t="s">
        <v>707</v>
      </c>
      <c r="H826" s="9">
        <v>7.99</v>
      </c>
      <c r="I826" s="3">
        <v>2</v>
      </c>
      <c r="J826" s="5" t="s">
        <v>68</v>
      </c>
      <c r="K826" s="15">
        <v>41791.124664351853</v>
      </c>
      <c r="L826" s="20">
        <f t="shared" si="36"/>
        <v>41791</v>
      </c>
      <c r="M826" t="str">
        <f t="shared" si="37"/>
        <v>06-2014</v>
      </c>
      <c r="N826">
        <f t="shared" si="38"/>
        <v>15.98</v>
      </c>
    </row>
    <row r="827" spans="3:14" x14ac:dyDescent="0.25">
      <c r="C827" t="str">
        <f>IF(COUNTBLANK(E827:K827) = 7,"",IF(AND(NOT(ISBLANK(E827)),COUNTBLANK(E827:K827) = 6),"3 Delete",IF(ISBLANK(E827),"2 Add",IF(SHA1Range(E827:K827) = "9812dc5580bc87a03cb13b136acf49e64e386934","0 Original","1 Modify"))))</f>
        <v>0 Original</v>
      </c>
      <c r="D827" s="5" t="s">
        <v>3101</v>
      </c>
      <c r="E827" s="3">
        <v>3432</v>
      </c>
      <c r="F827" t="s">
        <v>1207</v>
      </c>
      <c r="G827" t="s">
        <v>749</v>
      </c>
      <c r="H827" s="9">
        <v>5.99</v>
      </c>
      <c r="I827" s="3">
        <v>1</v>
      </c>
      <c r="J827" s="5" t="s">
        <v>68</v>
      </c>
      <c r="K827" s="15">
        <v>41791.124664351853</v>
      </c>
      <c r="L827" s="20">
        <f t="shared" si="36"/>
        <v>41791</v>
      </c>
      <c r="M827" t="str">
        <f t="shared" si="37"/>
        <v>06-2014</v>
      </c>
      <c r="N827">
        <f t="shared" si="38"/>
        <v>5.99</v>
      </c>
    </row>
    <row r="828" spans="3:14" x14ac:dyDescent="0.25">
      <c r="C828" t="str">
        <f>IF(COUNTBLANK(E828:K828) = 7,"",IF(AND(NOT(ISBLANK(E828)),COUNTBLANK(E828:K828) = 6),"3 Delete",IF(ISBLANK(E828),"2 Add",IF(SHA1Range(E828:K828) = "07846a252d7bb60e61fae06e4be3f8f70ba5473f","0 Original","1 Modify"))))</f>
        <v>0 Original</v>
      </c>
      <c r="D828" s="5" t="s">
        <v>3102</v>
      </c>
      <c r="E828" s="3">
        <v>3433</v>
      </c>
      <c r="F828" t="s">
        <v>1207</v>
      </c>
      <c r="G828" t="s">
        <v>373</v>
      </c>
      <c r="H828" s="9">
        <v>7.99</v>
      </c>
      <c r="I828" s="3">
        <v>1</v>
      </c>
      <c r="J828" s="5" t="s">
        <v>68</v>
      </c>
      <c r="K828" s="15">
        <v>41791.124664351853</v>
      </c>
      <c r="L828" s="20">
        <f t="shared" si="36"/>
        <v>41791</v>
      </c>
      <c r="M828" t="str">
        <f t="shared" si="37"/>
        <v>06-2014</v>
      </c>
      <c r="N828">
        <f t="shared" si="38"/>
        <v>7.99</v>
      </c>
    </row>
    <row r="829" spans="3:14" x14ac:dyDescent="0.25">
      <c r="C829" t="str">
        <f>IF(COUNTBLANK(E829:K829) = 7,"",IF(AND(NOT(ISBLANK(E829)),COUNTBLANK(E829:K829) = 6),"3 Delete",IF(ISBLANK(E829),"2 Add",IF(SHA1Range(E829:K829) = "bb2283fac69f72766d1bd342e277d39c0ad8baa3","0 Original","1 Modify"))))</f>
        <v>0 Original</v>
      </c>
      <c r="D829" s="5" t="s">
        <v>3103</v>
      </c>
      <c r="E829" s="3">
        <v>1931</v>
      </c>
      <c r="F829" t="s">
        <v>1208</v>
      </c>
      <c r="G829" t="s">
        <v>739</v>
      </c>
      <c r="H829" s="9">
        <v>8.99</v>
      </c>
      <c r="I829" s="3">
        <v>2</v>
      </c>
      <c r="J829" s="5" t="s">
        <v>68</v>
      </c>
      <c r="K829" s="15">
        <v>41791.38490740741</v>
      </c>
      <c r="L829" s="20">
        <f t="shared" si="36"/>
        <v>41791</v>
      </c>
      <c r="M829" t="str">
        <f t="shared" si="37"/>
        <v>06-2014</v>
      </c>
      <c r="N829">
        <f t="shared" si="38"/>
        <v>17.98</v>
      </c>
    </row>
    <row r="830" spans="3:14" x14ac:dyDescent="0.25">
      <c r="C830" t="str">
        <f>IF(COUNTBLANK(E830:K830) = 7,"",IF(AND(NOT(ISBLANK(E830)),COUNTBLANK(E830:K830) = 6),"3 Delete",IF(ISBLANK(E830),"2 Add",IF(SHA1Range(E830:K830) = "3b4ab712ee6b3241f0164e7589edd11604880c6c","0 Original","1 Modify"))))</f>
        <v>0 Original</v>
      </c>
      <c r="D830" s="5" t="s">
        <v>3104</v>
      </c>
      <c r="E830" s="3">
        <v>1932</v>
      </c>
      <c r="F830" t="s">
        <v>1208</v>
      </c>
      <c r="G830" t="s">
        <v>781</v>
      </c>
      <c r="H830" s="9">
        <v>5.99</v>
      </c>
      <c r="I830" s="3">
        <v>1</v>
      </c>
      <c r="J830" s="5" t="s">
        <v>68</v>
      </c>
      <c r="K830" s="15">
        <v>41791.38490740741</v>
      </c>
      <c r="L830" s="20">
        <f t="shared" si="36"/>
        <v>41791</v>
      </c>
      <c r="M830" t="str">
        <f t="shared" si="37"/>
        <v>06-2014</v>
      </c>
      <c r="N830">
        <f t="shared" si="38"/>
        <v>5.99</v>
      </c>
    </row>
    <row r="831" spans="3:14" x14ac:dyDescent="0.25">
      <c r="C831" t="str">
        <f>IF(COUNTBLANK(E831:K831) = 7,"",IF(AND(NOT(ISBLANK(E831)),COUNTBLANK(E831:K831) = 6),"3 Delete",IF(ISBLANK(E831),"2 Add",IF(SHA1Range(E831:K831) = "4b1e949fcb3b567c278323b8d180e439ac819514","0 Original","1 Modify"))))</f>
        <v>0 Original</v>
      </c>
      <c r="D831" s="5" t="s">
        <v>3105</v>
      </c>
      <c r="E831" s="3">
        <v>1933</v>
      </c>
      <c r="F831" t="s">
        <v>1208</v>
      </c>
      <c r="G831" t="s">
        <v>771</v>
      </c>
      <c r="H831" s="9">
        <v>9.99</v>
      </c>
      <c r="I831" s="3">
        <v>2</v>
      </c>
      <c r="J831" s="5" t="s">
        <v>68</v>
      </c>
      <c r="K831" s="15">
        <v>41791.38490740741</v>
      </c>
      <c r="L831" s="20">
        <f t="shared" si="36"/>
        <v>41791</v>
      </c>
      <c r="M831" t="str">
        <f t="shared" si="37"/>
        <v>06-2014</v>
      </c>
      <c r="N831">
        <f t="shared" si="38"/>
        <v>19.98</v>
      </c>
    </row>
    <row r="832" spans="3:14" x14ac:dyDescent="0.25">
      <c r="C832" t="str">
        <f>IF(COUNTBLANK(E832:K832) = 7,"",IF(AND(NOT(ISBLANK(E832)),COUNTBLANK(E832:K832) = 6),"3 Delete",IF(ISBLANK(E832),"2 Add",IF(SHA1Range(E832:K832) = "f83e23dfdc2d05cf34b20bdee6c69dd90f584b12","0 Original","1 Modify"))))</f>
        <v>0 Original</v>
      </c>
      <c r="D832" s="5" t="s">
        <v>3106</v>
      </c>
      <c r="E832" s="3">
        <v>1389</v>
      </c>
      <c r="F832" t="s">
        <v>1209</v>
      </c>
      <c r="G832" t="s">
        <v>610</v>
      </c>
      <c r="H832" s="9">
        <v>9.99</v>
      </c>
      <c r="I832" s="3">
        <v>1</v>
      </c>
      <c r="J832" s="5" t="s">
        <v>68</v>
      </c>
      <c r="K832" s="15">
        <v>41792.355740740742</v>
      </c>
      <c r="L832" s="20">
        <f t="shared" si="36"/>
        <v>41792</v>
      </c>
      <c r="M832" t="str">
        <f t="shared" si="37"/>
        <v>06-2014</v>
      </c>
      <c r="N832">
        <f t="shared" si="38"/>
        <v>9.99</v>
      </c>
    </row>
    <row r="833" spans="3:14" x14ac:dyDescent="0.25">
      <c r="C833" t="str">
        <f>IF(COUNTBLANK(E833:K833) = 7,"",IF(AND(NOT(ISBLANK(E833)),COUNTBLANK(E833:K833) = 6),"3 Delete",IF(ISBLANK(E833),"2 Add",IF(SHA1Range(E833:K833) = "f42fd8689de3a1f748efa6e1effbbb54a2719581","0 Original","1 Modify"))))</f>
        <v>0 Original</v>
      </c>
      <c r="D833" s="5" t="s">
        <v>3107</v>
      </c>
      <c r="E833" s="3">
        <v>1390</v>
      </c>
      <c r="F833" t="s">
        <v>1209</v>
      </c>
      <c r="G833" t="s">
        <v>690</v>
      </c>
      <c r="H833" s="9">
        <v>7.99</v>
      </c>
      <c r="I833" s="3">
        <v>1</v>
      </c>
      <c r="J833" s="5" t="s">
        <v>68</v>
      </c>
      <c r="K833" s="15">
        <v>41792.355740740742</v>
      </c>
      <c r="L833" s="20">
        <f t="shared" si="36"/>
        <v>41792</v>
      </c>
      <c r="M833" t="str">
        <f t="shared" si="37"/>
        <v>06-2014</v>
      </c>
      <c r="N833">
        <f t="shared" si="38"/>
        <v>7.99</v>
      </c>
    </row>
    <row r="834" spans="3:14" x14ac:dyDescent="0.25">
      <c r="C834" t="str">
        <f>IF(COUNTBLANK(E834:K834) = 7,"",IF(AND(NOT(ISBLANK(E834)),COUNTBLANK(E834:K834) = 6),"3 Delete",IF(ISBLANK(E834),"2 Add",IF(SHA1Range(E834:K834) = "cae44ebfdff4d44b9fd76ded55290b799c3a66da","0 Original","1 Modify"))))</f>
        <v>0 Original</v>
      </c>
      <c r="D834" s="5" t="s">
        <v>3108</v>
      </c>
      <c r="E834" s="3">
        <v>1391</v>
      </c>
      <c r="F834" t="s">
        <v>1209</v>
      </c>
      <c r="G834" t="s">
        <v>820</v>
      </c>
      <c r="H834" s="9">
        <v>9.99</v>
      </c>
      <c r="I834" s="3">
        <v>2</v>
      </c>
      <c r="J834" s="5" t="s">
        <v>68</v>
      </c>
      <c r="K834" s="15">
        <v>41792.355740740742</v>
      </c>
      <c r="L834" s="20">
        <f t="shared" si="36"/>
        <v>41792</v>
      </c>
      <c r="M834" t="str">
        <f t="shared" si="37"/>
        <v>06-2014</v>
      </c>
      <c r="N834">
        <f t="shared" si="38"/>
        <v>19.98</v>
      </c>
    </row>
    <row r="835" spans="3:14" x14ac:dyDescent="0.25">
      <c r="C835" t="str">
        <f>IF(COUNTBLANK(E835:K835) = 7,"",IF(AND(NOT(ISBLANK(E835)),COUNTBLANK(E835:K835) = 6),"3 Delete",IF(ISBLANK(E835),"2 Add",IF(SHA1Range(E835:K835) = "6fa047150c3937f97e3872858f99fdb9e170ec56","0 Original","1 Modify"))))</f>
        <v>0 Original</v>
      </c>
      <c r="D835" s="5" t="s">
        <v>3109</v>
      </c>
      <c r="E835" s="3">
        <v>3490</v>
      </c>
      <c r="F835" t="s">
        <v>1210</v>
      </c>
      <c r="G835" t="s">
        <v>707</v>
      </c>
      <c r="H835" s="9">
        <v>7.99</v>
      </c>
      <c r="I835" s="3">
        <v>1</v>
      </c>
      <c r="J835" s="5" t="s">
        <v>68</v>
      </c>
      <c r="K835" s="15">
        <v>41793.115601851852</v>
      </c>
      <c r="L835" s="20">
        <f t="shared" ref="L835:L898" si="39">DATEVALUE(LEFT(F835,10))</f>
        <v>41793</v>
      </c>
      <c r="M835" t="str">
        <f t="shared" ref="M835:M898" si="40">TEXT(L835,"mm-yyyy")</f>
        <v>06-2014</v>
      </c>
      <c r="N835">
        <f t="shared" ref="N835:N898" si="41">H835*I835</f>
        <v>7.99</v>
      </c>
    </row>
    <row r="836" spans="3:14" x14ac:dyDescent="0.25">
      <c r="C836" t="str">
        <f>IF(COUNTBLANK(E836:K836) = 7,"",IF(AND(NOT(ISBLANK(E836)),COUNTBLANK(E836:K836) = 6),"3 Delete",IF(ISBLANK(E836),"2 Add",IF(SHA1Range(E836:K836) = "aa2b6fe095d8b630785a7c44a002398d2574255a","0 Original","1 Modify"))))</f>
        <v>0 Original</v>
      </c>
      <c r="D836" s="5" t="s">
        <v>3110</v>
      </c>
      <c r="E836" s="3">
        <v>1104</v>
      </c>
      <c r="F836" t="s">
        <v>1211</v>
      </c>
      <c r="G836" t="s">
        <v>610</v>
      </c>
      <c r="H836" s="9">
        <v>9.99</v>
      </c>
      <c r="I836" s="3">
        <v>2</v>
      </c>
      <c r="J836" s="5" t="s">
        <v>68</v>
      </c>
      <c r="K836" s="15">
        <v>41793.70758101852</v>
      </c>
      <c r="L836" s="20">
        <f t="shared" si="39"/>
        <v>41793</v>
      </c>
      <c r="M836" t="str">
        <f t="shared" si="40"/>
        <v>06-2014</v>
      </c>
      <c r="N836">
        <f t="shared" si="41"/>
        <v>19.98</v>
      </c>
    </row>
    <row r="837" spans="3:14" x14ac:dyDescent="0.25">
      <c r="C837" t="str">
        <f>IF(COUNTBLANK(E837:K837) = 7,"",IF(AND(NOT(ISBLANK(E837)),COUNTBLANK(E837:K837) = 6),"3 Delete",IF(ISBLANK(E837),"2 Add",IF(SHA1Range(E837:K837) = "c861058fd8fb918801ef6a3d1a9c3cc5d6bc2917","0 Original","1 Modify"))))</f>
        <v>0 Original</v>
      </c>
      <c r="D837" s="5" t="s">
        <v>3111</v>
      </c>
      <c r="E837" s="3">
        <v>1105</v>
      </c>
      <c r="F837" t="s">
        <v>1211</v>
      </c>
      <c r="G837" t="s">
        <v>680</v>
      </c>
      <c r="H837" s="9">
        <v>8.99</v>
      </c>
      <c r="I837" s="3">
        <v>1</v>
      </c>
      <c r="J837" s="5" t="s">
        <v>68</v>
      </c>
      <c r="K837" s="15">
        <v>41793.70758101852</v>
      </c>
      <c r="L837" s="20">
        <f t="shared" si="39"/>
        <v>41793</v>
      </c>
      <c r="M837" t="str">
        <f t="shared" si="40"/>
        <v>06-2014</v>
      </c>
      <c r="N837">
        <f t="shared" si="41"/>
        <v>8.99</v>
      </c>
    </row>
    <row r="838" spans="3:14" x14ac:dyDescent="0.25">
      <c r="C838" t="str">
        <f>IF(COUNTBLANK(E838:K838) = 7,"",IF(AND(NOT(ISBLANK(E838)),COUNTBLANK(E838:K838) = 6),"3 Delete",IF(ISBLANK(E838),"2 Add",IF(SHA1Range(E838:K838) = "20e145c541f315c87c97336968f68050e1167a58","0 Original","1 Modify"))))</f>
        <v>0 Original</v>
      </c>
      <c r="D838" s="5" t="s">
        <v>3112</v>
      </c>
      <c r="E838" s="3">
        <v>1567</v>
      </c>
      <c r="F838" t="s">
        <v>1212</v>
      </c>
      <c r="G838" t="s">
        <v>563</v>
      </c>
      <c r="H838" s="9">
        <v>6.99</v>
      </c>
      <c r="I838" s="3">
        <v>1</v>
      </c>
      <c r="J838" s="5" t="s">
        <v>68</v>
      </c>
      <c r="K838" s="15">
        <v>41793.964606481481</v>
      </c>
      <c r="L838" s="20">
        <f t="shared" si="39"/>
        <v>41793</v>
      </c>
      <c r="M838" t="str">
        <f t="shared" si="40"/>
        <v>06-2014</v>
      </c>
      <c r="N838">
        <f t="shared" si="41"/>
        <v>6.99</v>
      </c>
    </row>
    <row r="839" spans="3:14" x14ac:dyDescent="0.25">
      <c r="C839" t="str">
        <f>IF(COUNTBLANK(E839:K839) = 7,"",IF(AND(NOT(ISBLANK(E839)),COUNTBLANK(E839:K839) = 6),"3 Delete",IF(ISBLANK(E839),"2 Add",IF(SHA1Range(E839:K839) = "8692a0ce2070bdae9e23ed8b5ae7643b9a3ece81","0 Original","1 Modify"))))</f>
        <v>0 Original</v>
      </c>
      <c r="D839" s="5" t="s">
        <v>3113</v>
      </c>
      <c r="E839" s="3">
        <v>1568</v>
      </c>
      <c r="F839" t="s">
        <v>1212</v>
      </c>
      <c r="G839" t="s">
        <v>945</v>
      </c>
      <c r="H839" s="9">
        <v>4.99</v>
      </c>
      <c r="I839" s="3">
        <v>1</v>
      </c>
      <c r="J839" s="5" t="s">
        <v>68</v>
      </c>
      <c r="K839" s="15">
        <v>41793.964606481481</v>
      </c>
      <c r="L839" s="20">
        <f t="shared" si="39"/>
        <v>41793</v>
      </c>
      <c r="M839" t="str">
        <f t="shared" si="40"/>
        <v>06-2014</v>
      </c>
      <c r="N839">
        <f t="shared" si="41"/>
        <v>4.99</v>
      </c>
    </row>
    <row r="840" spans="3:14" x14ac:dyDescent="0.25">
      <c r="C840" t="str">
        <f>IF(COUNTBLANK(E840:K840) = 7,"",IF(AND(NOT(ISBLANK(E840)),COUNTBLANK(E840:K840) = 6),"3 Delete",IF(ISBLANK(E840),"2 Add",IF(SHA1Range(E840:K840) = "6d766c8aa69bff0058dc1b2cba46cd312b2e8b6e","0 Original","1 Modify"))))</f>
        <v>0 Original</v>
      </c>
      <c r="D840" s="5" t="s">
        <v>3114</v>
      </c>
      <c r="E840" s="3">
        <v>1569</v>
      </c>
      <c r="F840" t="s">
        <v>1212</v>
      </c>
      <c r="G840" t="s">
        <v>373</v>
      </c>
      <c r="H840" s="9">
        <v>7.99</v>
      </c>
      <c r="I840" s="3">
        <v>1</v>
      </c>
      <c r="J840" s="5" t="s">
        <v>68</v>
      </c>
      <c r="K840" s="15">
        <v>41793.964606481481</v>
      </c>
      <c r="L840" s="20">
        <f t="shared" si="39"/>
        <v>41793</v>
      </c>
      <c r="M840" t="str">
        <f t="shared" si="40"/>
        <v>06-2014</v>
      </c>
      <c r="N840">
        <f t="shared" si="41"/>
        <v>7.99</v>
      </c>
    </row>
    <row r="841" spans="3:14" x14ac:dyDescent="0.25">
      <c r="C841" t="str">
        <f>IF(COUNTBLANK(E841:K841) = 7,"",IF(AND(NOT(ISBLANK(E841)),COUNTBLANK(E841:K841) = 6),"3 Delete",IF(ISBLANK(E841),"2 Add",IF(SHA1Range(E841:K841) = "35d5a0c0575943fc2918bc5a2e32333ebca2c32a","0 Original","1 Modify"))))</f>
        <v>0 Original</v>
      </c>
      <c r="D841" s="5" t="s">
        <v>3115</v>
      </c>
      <c r="E841" s="3">
        <v>681</v>
      </c>
      <c r="F841" t="s">
        <v>1213</v>
      </c>
      <c r="G841" t="s">
        <v>552</v>
      </c>
      <c r="H841" s="9">
        <v>6.99</v>
      </c>
      <c r="I841" s="3">
        <v>1</v>
      </c>
      <c r="J841" s="5" t="s">
        <v>68</v>
      </c>
      <c r="K841" s="15">
        <v>41794.208298611113</v>
      </c>
      <c r="L841" s="20">
        <f t="shared" si="39"/>
        <v>41794</v>
      </c>
      <c r="M841" t="str">
        <f t="shared" si="40"/>
        <v>06-2014</v>
      </c>
      <c r="N841">
        <f t="shared" si="41"/>
        <v>6.99</v>
      </c>
    </row>
    <row r="842" spans="3:14" x14ac:dyDescent="0.25">
      <c r="C842" t="str">
        <f>IF(COUNTBLANK(E842:K842) = 7,"",IF(AND(NOT(ISBLANK(E842)),COUNTBLANK(E842:K842) = 6),"3 Delete",IF(ISBLANK(E842),"2 Add",IF(SHA1Range(E842:K842) = "ff693449fc457f2ad4cb1a30a749c1e31f96c2e2","0 Original","1 Modify"))))</f>
        <v>0 Original</v>
      </c>
      <c r="D842" s="5" t="s">
        <v>3116</v>
      </c>
      <c r="E842" s="3">
        <v>682</v>
      </c>
      <c r="F842" t="s">
        <v>1213</v>
      </c>
      <c r="G842" t="s">
        <v>958</v>
      </c>
      <c r="H842" s="9">
        <v>5.99</v>
      </c>
      <c r="I842" s="3">
        <v>2</v>
      </c>
      <c r="J842" s="5" t="s">
        <v>68</v>
      </c>
      <c r="K842" s="15">
        <v>41794.208298611113</v>
      </c>
      <c r="L842" s="20">
        <f t="shared" si="39"/>
        <v>41794</v>
      </c>
      <c r="M842" t="str">
        <f t="shared" si="40"/>
        <v>06-2014</v>
      </c>
      <c r="N842">
        <f t="shared" si="41"/>
        <v>11.98</v>
      </c>
    </row>
    <row r="843" spans="3:14" x14ac:dyDescent="0.25">
      <c r="C843" t="str">
        <f>IF(COUNTBLANK(E843:K843) = 7,"",IF(AND(NOT(ISBLANK(E843)),COUNTBLANK(E843:K843) = 6),"3 Delete",IF(ISBLANK(E843),"2 Add",IF(SHA1Range(E843:K843) = "608699faf1a8d3dc7bb03242da2e854dd4dd5711","0 Original","1 Modify"))))</f>
        <v>0 Original</v>
      </c>
      <c r="D843" s="5" t="s">
        <v>3117</v>
      </c>
      <c r="E843" s="3">
        <v>1213</v>
      </c>
      <c r="F843" t="s">
        <v>1214</v>
      </c>
      <c r="G843" t="s">
        <v>897</v>
      </c>
      <c r="H843" s="9">
        <v>6.99</v>
      </c>
      <c r="I843" s="3">
        <v>1</v>
      </c>
      <c r="J843" s="5" t="s">
        <v>68</v>
      </c>
      <c r="K843" s="15">
        <v>41796.925486111111</v>
      </c>
      <c r="L843" s="20">
        <f t="shared" si="39"/>
        <v>41796</v>
      </c>
      <c r="M843" t="str">
        <f t="shared" si="40"/>
        <v>06-2014</v>
      </c>
      <c r="N843">
        <f t="shared" si="41"/>
        <v>6.99</v>
      </c>
    </row>
    <row r="844" spans="3:14" x14ac:dyDescent="0.25">
      <c r="C844" t="str">
        <f>IF(COUNTBLANK(E844:K844) = 7,"",IF(AND(NOT(ISBLANK(E844)),COUNTBLANK(E844:K844) = 6),"3 Delete",IF(ISBLANK(E844),"2 Add",IF(SHA1Range(E844:K844) = "ac44cc5289aa6bd4c8292412ae09e291c2218640","0 Original","1 Modify"))))</f>
        <v>0 Original</v>
      </c>
      <c r="D844" s="5" t="s">
        <v>3118</v>
      </c>
      <c r="E844" s="3">
        <v>1214</v>
      </c>
      <c r="F844" t="s">
        <v>1214</v>
      </c>
      <c r="G844" t="s">
        <v>680</v>
      </c>
      <c r="H844" s="9">
        <v>8.99</v>
      </c>
      <c r="I844" s="3">
        <v>1</v>
      </c>
      <c r="J844" s="5" t="s">
        <v>68</v>
      </c>
      <c r="K844" s="15">
        <v>41796.925486111111</v>
      </c>
      <c r="L844" s="20">
        <f t="shared" si="39"/>
        <v>41796</v>
      </c>
      <c r="M844" t="str">
        <f t="shared" si="40"/>
        <v>06-2014</v>
      </c>
      <c r="N844">
        <f t="shared" si="41"/>
        <v>8.99</v>
      </c>
    </row>
    <row r="845" spans="3:14" x14ac:dyDescent="0.25">
      <c r="C845" t="str">
        <f>IF(COUNTBLANK(E845:K845) = 7,"",IF(AND(NOT(ISBLANK(E845)),COUNTBLANK(E845:K845) = 6),"3 Delete",IF(ISBLANK(E845),"2 Add",IF(SHA1Range(E845:K845) = "cd93f12b04668d83058757ef5bd90bf5b0fb4603","0 Original","1 Modify"))))</f>
        <v>0 Original</v>
      </c>
      <c r="D845" s="5" t="s">
        <v>3119</v>
      </c>
      <c r="E845" s="3">
        <v>837</v>
      </c>
      <c r="F845" t="s">
        <v>1215</v>
      </c>
      <c r="G845" t="s">
        <v>570</v>
      </c>
      <c r="H845" s="9">
        <v>6.99</v>
      </c>
      <c r="I845" s="3">
        <v>1</v>
      </c>
      <c r="J845" s="5" t="s">
        <v>68</v>
      </c>
      <c r="K845" s="15">
        <v>41797.715289351851</v>
      </c>
      <c r="L845" s="20">
        <f t="shared" si="39"/>
        <v>41797</v>
      </c>
      <c r="M845" t="str">
        <f t="shared" si="40"/>
        <v>06-2014</v>
      </c>
      <c r="N845">
        <f t="shared" si="41"/>
        <v>6.99</v>
      </c>
    </row>
    <row r="846" spans="3:14" x14ac:dyDescent="0.25">
      <c r="C846" t="str">
        <f>IF(COUNTBLANK(E846:K846) = 7,"",IF(AND(NOT(ISBLANK(E846)),COUNTBLANK(E846:K846) = 6),"3 Delete",IF(ISBLANK(E846),"2 Add",IF(SHA1Range(E846:K846) = "0a19ba8f45837fa061d92d11029c9e4ed32d80ec","0 Original","1 Modify"))))</f>
        <v>0 Original</v>
      </c>
      <c r="D846" s="5" t="s">
        <v>3120</v>
      </c>
      <c r="E846" s="3">
        <v>838</v>
      </c>
      <c r="F846" t="s">
        <v>1215</v>
      </c>
      <c r="G846" t="s">
        <v>445</v>
      </c>
      <c r="H846" s="9">
        <v>7.99</v>
      </c>
      <c r="I846" s="3">
        <v>1</v>
      </c>
      <c r="J846" s="5" t="s">
        <v>68</v>
      </c>
      <c r="K846" s="15">
        <v>41797.715289351851</v>
      </c>
      <c r="L846" s="20">
        <f t="shared" si="39"/>
        <v>41797</v>
      </c>
      <c r="M846" t="str">
        <f t="shared" si="40"/>
        <v>06-2014</v>
      </c>
      <c r="N846">
        <f t="shared" si="41"/>
        <v>7.99</v>
      </c>
    </row>
    <row r="847" spans="3:14" x14ac:dyDescent="0.25">
      <c r="C847" t="str">
        <f>IF(COUNTBLANK(E847:K847) = 7,"",IF(AND(NOT(ISBLANK(E847)),COUNTBLANK(E847:K847) = 6),"3 Delete",IF(ISBLANK(E847),"2 Add",IF(SHA1Range(E847:K847) = "ea8b06a89e1054058f09cc64b943dfbab66bd7ba","0 Original","1 Modify"))))</f>
        <v>0 Original</v>
      </c>
      <c r="D847" s="5" t="s">
        <v>3121</v>
      </c>
      <c r="E847" s="3">
        <v>839</v>
      </c>
      <c r="F847" t="s">
        <v>1215</v>
      </c>
      <c r="G847" t="s">
        <v>482</v>
      </c>
      <c r="H847" s="9">
        <v>8.99</v>
      </c>
      <c r="I847" s="3">
        <v>1</v>
      </c>
      <c r="J847" s="5" t="s">
        <v>68</v>
      </c>
      <c r="K847" s="15">
        <v>41797.715289351851</v>
      </c>
      <c r="L847" s="20">
        <f t="shared" si="39"/>
        <v>41797</v>
      </c>
      <c r="M847" t="str">
        <f t="shared" si="40"/>
        <v>06-2014</v>
      </c>
      <c r="N847">
        <f t="shared" si="41"/>
        <v>8.99</v>
      </c>
    </row>
    <row r="848" spans="3:14" x14ac:dyDescent="0.25">
      <c r="C848" t="str">
        <f>IF(COUNTBLANK(E848:K848) = 7,"",IF(AND(NOT(ISBLANK(E848)),COUNTBLANK(E848:K848) = 6),"3 Delete",IF(ISBLANK(E848),"2 Add",IF(SHA1Range(E848:K848) = "885bcab2c08fe8d4fc32f36901e38a95e178d754","0 Original","1 Modify"))))</f>
        <v>0 Original</v>
      </c>
      <c r="D848" s="5" t="s">
        <v>3122</v>
      </c>
      <c r="E848" s="3">
        <v>840</v>
      </c>
      <c r="F848" t="s">
        <v>1215</v>
      </c>
      <c r="G848" t="s">
        <v>704</v>
      </c>
      <c r="H848" s="9">
        <v>4.99</v>
      </c>
      <c r="I848" s="3">
        <v>1</v>
      </c>
      <c r="J848" s="5" t="s">
        <v>68</v>
      </c>
      <c r="K848" s="15">
        <v>41797.715289351851</v>
      </c>
      <c r="L848" s="20">
        <f t="shared" si="39"/>
        <v>41797</v>
      </c>
      <c r="M848" t="str">
        <f t="shared" si="40"/>
        <v>06-2014</v>
      </c>
      <c r="N848">
        <f t="shared" si="41"/>
        <v>4.99</v>
      </c>
    </row>
    <row r="849" spans="3:14" x14ac:dyDescent="0.25">
      <c r="C849" t="str">
        <f>IF(COUNTBLANK(E849:K849) = 7,"",IF(AND(NOT(ISBLANK(E849)),COUNTBLANK(E849:K849) = 6),"3 Delete",IF(ISBLANK(E849),"2 Add",IF(SHA1Range(E849:K849) = "6bba9555d85fe4b5a1c4a3b2bc42feeab9aafc37","0 Original","1 Modify"))))</f>
        <v>0 Original</v>
      </c>
      <c r="D849" s="5" t="s">
        <v>3123</v>
      </c>
      <c r="E849" s="3">
        <v>3758</v>
      </c>
      <c r="F849" t="s">
        <v>1216</v>
      </c>
      <c r="G849" t="s">
        <v>552</v>
      </c>
      <c r="H849" s="9">
        <v>6.99</v>
      </c>
      <c r="I849" s="3">
        <v>1</v>
      </c>
      <c r="J849" s="5" t="s">
        <v>68</v>
      </c>
      <c r="K849" s="15">
        <v>41798.8905787037</v>
      </c>
      <c r="L849" s="20">
        <f t="shared" si="39"/>
        <v>41798</v>
      </c>
      <c r="M849" t="str">
        <f t="shared" si="40"/>
        <v>06-2014</v>
      </c>
      <c r="N849">
        <f t="shared" si="41"/>
        <v>6.99</v>
      </c>
    </row>
    <row r="850" spans="3:14" x14ac:dyDescent="0.25">
      <c r="C850" t="str">
        <f>IF(COUNTBLANK(E850:K850) = 7,"",IF(AND(NOT(ISBLANK(E850)),COUNTBLANK(E850:K850) = 6),"3 Delete",IF(ISBLANK(E850),"2 Add",IF(SHA1Range(E850:K850) = "109a094c901e965e2768c287ce53963d6fbbc45e","0 Original","1 Modify"))))</f>
        <v>0 Original</v>
      </c>
      <c r="D850" s="5" t="s">
        <v>3124</v>
      </c>
      <c r="E850" s="3">
        <v>3759</v>
      </c>
      <c r="F850" t="s">
        <v>1216</v>
      </c>
      <c r="G850" t="s">
        <v>579</v>
      </c>
      <c r="H850" s="9">
        <v>9.99</v>
      </c>
      <c r="I850" s="3">
        <v>1</v>
      </c>
      <c r="J850" s="5" t="s">
        <v>68</v>
      </c>
      <c r="K850" s="15">
        <v>41798.8905787037</v>
      </c>
      <c r="L850" s="20">
        <f t="shared" si="39"/>
        <v>41798</v>
      </c>
      <c r="M850" t="str">
        <f t="shared" si="40"/>
        <v>06-2014</v>
      </c>
      <c r="N850">
        <f t="shared" si="41"/>
        <v>9.99</v>
      </c>
    </row>
    <row r="851" spans="3:14" x14ac:dyDescent="0.25">
      <c r="C851" t="str">
        <f>IF(COUNTBLANK(E851:K851) = 7,"",IF(AND(NOT(ISBLANK(E851)),COUNTBLANK(E851:K851) = 6),"3 Delete",IF(ISBLANK(E851),"2 Add",IF(SHA1Range(E851:K851) = "830ca83daf342b3a68fd474a6895ad34a593ea8f","0 Original","1 Modify"))))</f>
        <v>0 Original</v>
      </c>
      <c r="D851" s="5" t="s">
        <v>3125</v>
      </c>
      <c r="E851" s="3">
        <v>219</v>
      </c>
      <c r="F851" t="s">
        <v>1217</v>
      </c>
      <c r="G851" t="s">
        <v>746</v>
      </c>
      <c r="H851" s="9">
        <v>7.99</v>
      </c>
      <c r="I851" s="3">
        <v>1</v>
      </c>
      <c r="J851" s="5" t="s">
        <v>68</v>
      </c>
      <c r="K851" s="15">
        <v>41798.912488425929</v>
      </c>
      <c r="L851" s="20">
        <f t="shared" si="39"/>
        <v>41798</v>
      </c>
      <c r="M851" t="str">
        <f t="shared" si="40"/>
        <v>06-2014</v>
      </c>
      <c r="N851">
        <f t="shared" si="41"/>
        <v>7.99</v>
      </c>
    </row>
    <row r="852" spans="3:14" x14ac:dyDescent="0.25">
      <c r="C852" t="str">
        <f>IF(COUNTBLANK(E852:K852) = 7,"",IF(AND(NOT(ISBLANK(E852)),COUNTBLANK(E852:K852) = 6),"3 Delete",IF(ISBLANK(E852),"2 Add",IF(SHA1Range(E852:K852) = "63b8dd454daf2ffd4d4cdee33426fdd2e0d9c647","0 Original","1 Modify"))))</f>
        <v>0 Original</v>
      </c>
      <c r="D852" s="5" t="s">
        <v>3126</v>
      </c>
      <c r="E852" s="3">
        <v>220</v>
      </c>
      <c r="F852" t="s">
        <v>1217</v>
      </c>
      <c r="G852" t="s">
        <v>848</v>
      </c>
      <c r="H852" s="9">
        <v>8.99</v>
      </c>
      <c r="I852" s="3">
        <v>1</v>
      </c>
      <c r="J852" s="5" t="s">
        <v>68</v>
      </c>
      <c r="K852" s="15">
        <v>41798.912488425929</v>
      </c>
      <c r="L852" s="20">
        <f t="shared" si="39"/>
        <v>41798</v>
      </c>
      <c r="M852" t="str">
        <f t="shared" si="40"/>
        <v>06-2014</v>
      </c>
      <c r="N852">
        <f t="shared" si="41"/>
        <v>8.99</v>
      </c>
    </row>
    <row r="853" spans="3:14" x14ac:dyDescent="0.25">
      <c r="C853" t="str">
        <f>IF(COUNTBLANK(E853:K853) = 7,"",IF(AND(NOT(ISBLANK(E853)),COUNTBLANK(E853:K853) = 6),"3 Delete",IF(ISBLANK(E853),"2 Add",IF(SHA1Range(E853:K853) = "aaea64d44e02a6d2e782fccf52cd4e5db66be769","0 Original","1 Modify"))))</f>
        <v>0 Original</v>
      </c>
      <c r="D853" s="5" t="s">
        <v>3127</v>
      </c>
      <c r="E853" s="3">
        <v>1025</v>
      </c>
      <c r="F853" t="s">
        <v>1218</v>
      </c>
      <c r="G853" t="s">
        <v>588</v>
      </c>
      <c r="H853" s="9">
        <v>4.99</v>
      </c>
      <c r="I853" s="3">
        <v>2</v>
      </c>
      <c r="J853" s="5" t="s">
        <v>68</v>
      </c>
      <c r="K853" s="15">
        <v>41799.291956018518</v>
      </c>
      <c r="L853" s="20">
        <f t="shared" si="39"/>
        <v>41799</v>
      </c>
      <c r="M853" t="str">
        <f t="shared" si="40"/>
        <v>06-2014</v>
      </c>
      <c r="N853">
        <f t="shared" si="41"/>
        <v>9.98</v>
      </c>
    </row>
    <row r="854" spans="3:14" x14ac:dyDescent="0.25">
      <c r="C854" t="str">
        <f>IF(COUNTBLANK(E854:K854) = 7,"",IF(AND(NOT(ISBLANK(E854)),COUNTBLANK(E854:K854) = 6),"3 Delete",IF(ISBLANK(E854),"2 Add",IF(SHA1Range(E854:K854) = "d5a42e348b2c943465c814c11a53a9cd856a1d31","0 Original","1 Modify"))))</f>
        <v>0 Original</v>
      </c>
      <c r="D854" s="5" t="s">
        <v>3128</v>
      </c>
      <c r="E854" s="3">
        <v>1026</v>
      </c>
      <c r="F854" t="s">
        <v>1218</v>
      </c>
      <c r="G854" t="s">
        <v>912</v>
      </c>
      <c r="H854" s="9">
        <v>6.99</v>
      </c>
      <c r="I854" s="3">
        <v>1</v>
      </c>
      <c r="J854" s="5" t="s">
        <v>68</v>
      </c>
      <c r="K854" s="15">
        <v>41799.291956018518</v>
      </c>
      <c r="L854" s="20">
        <f t="shared" si="39"/>
        <v>41799</v>
      </c>
      <c r="M854" t="str">
        <f t="shared" si="40"/>
        <v>06-2014</v>
      </c>
      <c r="N854">
        <f t="shared" si="41"/>
        <v>6.99</v>
      </c>
    </row>
    <row r="855" spans="3:14" x14ac:dyDescent="0.25">
      <c r="C855" t="str">
        <f>IF(COUNTBLANK(E855:K855) = 7,"",IF(AND(NOT(ISBLANK(E855)),COUNTBLANK(E855:K855) = 6),"3 Delete",IF(ISBLANK(E855),"2 Add",IF(SHA1Range(E855:K855) = "2628d2b070e56462c0dcb44f95d460cb43b739ad","0 Original","1 Modify"))))</f>
        <v>0 Original</v>
      </c>
      <c r="D855" s="5" t="s">
        <v>3129</v>
      </c>
      <c r="E855" s="3">
        <v>1027</v>
      </c>
      <c r="F855" t="s">
        <v>1218</v>
      </c>
      <c r="G855" t="s">
        <v>588</v>
      </c>
      <c r="H855" s="9">
        <v>4.99</v>
      </c>
      <c r="I855" s="3">
        <v>1</v>
      </c>
      <c r="J855" s="5" t="s">
        <v>68</v>
      </c>
      <c r="K855" s="15">
        <v>41799.291956018518</v>
      </c>
      <c r="L855" s="20">
        <f t="shared" si="39"/>
        <v>41799</v>
      </c>
      <c r="M855" t="str">
        <f t="shared" si="40"/>
        <v>06-2014</v>
      </c>
      <c r="N855">
        <f t="shared" si="41"/>
        <v>4.99</v>
      </c>
    </row>
    <row r="856" spans="3:14" x14ac:dyDescent="0.25">
      <c r="C856" t="str">
        <f>IF(COUNTBLANK(E856:K856) = 7,"",IF(AND(NOT(ISBLANK(E856)),COUNTBLANK(E856:K856) = 6),"3 Delete",IF(ISBLANK(E856),"2 Add",IF(SHA1Range(E856:K856) = "ca02706ea0a7f00f82571fb8b243b1e3bad4ea5d","0 Original","1 Modify"))))</f>
        <v>0 Original</v>
      </c>
      <c r="D856" s="5" t="s">
        <v>3130</v>
      </c>
      <c r="E856" s="3">
        <v>2006</v>
      </c>
      <c r="F856" t="s">
        <v>1219</v>
      </c>
      <c r="G856" t="s">
        <v>548</v>
      </c>
      <c r="H856" s="9">
        <v>5.99</v>
      </c>
      <c r="I856" s="3">
        <v>1</v>
      </c>
      <c r="J856" s="5" t="s">
        <v>68</v>
      </c>
      <c r="K856" s="15">
        <v>41799.556747685187</v>
      </c>
      <c r="L856" s="20">
        <f t="shared" si="39"/>
        <v>41799</v>
      </c>
      <c r="M856" t="str">
        <f t="shared" si="40"/>
        <v>06-2014</v>
      </c>
      <c r="N856">
        <f t="shared" si="41"/>
        <v>5.99</v>
      </c>
    </row>
    <row r="857" spans="3:14" x14ac:dyDescent="0.25">
      <c r="C857" t="str">
        <f>IF(COUNTBLANK(E857:K857) = 7,"",IF(AND(NOT(ISBLANK(E857)),COUNTBLANK(E857:K857) = 6),"3 Delete",IF(ISBLANK(E857),"2 Add",IF(SHA1Range(E857:K857) = "2b81b02d3b32f5ea2c70a093300a60b240100177","0 Original","1 Modify"))))</f>
        <v>0 Original</v>
      </c>
      <c r="D857" s="5" t="s">
        <v>3131</v>
      </c>
      <c r="E857" s="3">
        <v>2007</v>
      </c>
      <c r="F857" t="s">
        <v>1219</v>
      </c>
      <c r="G857" t="s">
        <v>560</v>
      </c>
      <c r="H857" s="9">
        <v>8.99</v>
      </c>
      <c r="I857" s="3">
        <v>1</v>
      </c>
      <c r="J857" s="5" t="s">
        <v>68</v>
      </c>
      <c r="K857" s="15">
        <v>41799.556747685187</v>
      </c>
      <c r="L857" s="20">
        <f t="shared" si="39"/>
        <v>41799</v>
      </c>
      <c r="M857" t="str">
        <f t="shared" si="40"/>
        <v>06-2014</v>
      </c>
      <c r="N857">
        <f t="shared" si="41"/>
        <v>8.99</v>
      </c>
    </row>
    <row r="858" spans="3:14" x14ac:dyDescent="0.25">
      <c r="C858" t="str">
        <f>IF(COUNTBLANK(E858:K858) = 7,"",IF(AND(NOT(ISBLANK(E858)),COUNTBLANK(E858:K858) = 6),"3 Delete",IF(ISBLANK(E858),"2 Add",IF(SHA1Range(E858:K858) = "416dd4a1d734f7402f8cdfcd26b1c631ed6aaf99","0 Original","1 Modify"))))</f>
        <v>0 Original</v>
      </c>
      <c r="D858" s="5" t="s">
        <v>3132</v>
      </c>
      <c r="E858" s="3">
        <v>3710</v>
      </c>
      <c r="F858" t="s">
        <v>1220</v>
      </c>
      <c r="G858" t="s">
        <v>707</v>
      </c>
      <c r="H858" s="9">
        <v>7.99</v>
      </c>
      <c r="I858" s="3">
        <v>1</v>
      </c>
      <c r="J858" s="5" t="s">
        <v>68</v>
      </c>
      <c r="K858" s="15">
        <v>41799.924675925926</v>
      </c>
      <c r="L858" s="20">
        <f t="shared" si="39"/>
        <v>41799</v>
      </c>
      <c r="M858" t="str">
        <f t="shared" si="40"/>
        <v>06-2014</v>
      </c>
      <c r="N858">
        <f t="shared" si="41"/>
        <v>7.99</v>
      </c>
    </row>
    <row r="859" spans="3:14" x14ac:dyDescent="0.25">
      <c r="C859" t="str">
        <f>IF(COUNTBLANK(E859:K859) = 7,"",IF(AND(NOT(ISBLANK(E859)),COUNTBLANK(E859:K859) = 6),"3 Delete",IF(ISBLANK(E859),"2 Add",IF(SHA1Range(E859:K859) = "4a8ec661ba4a44479fbffd9d8094c34ad615092c","0 Original","1 Modify"))))</f>
        <v>0 Original</v>
      </c>
      <c r="D859" s="5" t="s">
        <v>3133</v>
      </c>
      <c r="E859" s="3">
        <v>3711</v>
      </c>
      <c r="F859" t="s">
        <v>1220</v>
      </c>
      <c r="G859" t="s">
        <v>552</v>
      </c>
      <c r="H859" s="9">
        <v>6.99</v>
      </c>
      <c r="I859" s="3">
        <v>1</v>
      </c>
      <c r="J859" s="5" t="s">
        <v>68</v>
      </c>
      <c r="K859" s="15">
        <v>41799.924675925926</v>
      </c>
      <c r="L859" s="20">
        <f t="shared" si="39"/>
        <v>41799</v>
      </c>
      <c r="M859" t="str">
        <f t="shared" si="40"/>
        <v>06-2014</v>
      </c>
      <c r="N859">
        <f t="shared" si="41"/>
        <v>6.99</v>
      </c>
    </row>
    <row r="860" spans="3:14" x14ac:dyDescent="0.25">
      <c r="C860" t="str">
        <f>IF(COUNTBLANK(E860:K860) = 7,"",IF(AND(NOT(ISBLANK(E860)),COUNTBLANK(E860:K860) = 6),"3 Delete",IF(ISBLANK(E860),"2 Add",IF(SHA1Range(E860:K860) = "e8cbfab9841657d33f9cd1a556b9778e18a7dc8d","0 Original","1 Modify"))))</f>
        <v>0 Original</v>
      </c>
      <c r="D860" s="5" t="s">
        <v>3134</v>
      </c>
      <c r="E860" s="3">
        <v>3712</v>
      </c>
      <c r="F860" t="s">
        <v>1220</v>
      </c>
      <c r="G860" t="s">
        <v>400</v>
      </c>
      <c r="H860" s="9">
        <v>4.99</v>
      </c>
      <c r="I860" s="3">
        <v>1</v>
      </c>
      <c r="J860" s="5" t="s">
        <v>68</v>
      </c>
      <c r="K860" s="15">
        <v>41799.924675925926</v>
      </c>
      <c r="L860" s="20">
        <f t="shared" si="39"/>
        <v>41799</v>
      </c>
      <c r="M860" t="str">
        <f t="shared" si="40"/>
        <v>06-2014</v>
      </c>
      <c r="N860">
        <f t="shared" si="41"/>
        <v>4.99</v>
      </c>
    </row>
    <row r="861" spans="3:14" x14ac:dyDescent="0.25">
      <c r="C861" t="str">
        <f>IF(COUNTBLANK(E861:K861) = 7,"",IF(AND(NOT(ISBLANK(E861)),COUNTBLANK(E861:K861) = 6),"3 Delete",IF(ISBLANK(E861),"2 Add",IF(SHA1Range(E861:K861) = "1ee12dd2d9efea23c6463ca03e9d3248fcc73799","0 Original","1 Modify"))))</f>
        <v>0 Original</v>
      </c>
      <c r="D861" s="5" t="s">
        <v>3135</v>
      </c>
      <c r="E861" s="3">
        <v>3713</v>
      </c>
      <c r="F861" t="s">
        <v>1220</v>
      </c>
      <c r="G861" t="s">
        <v>400</v>
      </c>
      <c r="H861" s="9">
        <v>4.99</v>
      </c>
      <c r="I861" s="3">
        <v>2</v>
      </c>
      <c r="J861" s="5" t="s">
        <v>68</v>
      </c>
      <c r="K861" s="15">
        <v>41799.924675925926</v>
      </c>
      <c r="L861" s="20">
        <f t="shared" si="39"/>
        <v>41799</v>
      </c>
      <c r="M861" t="str">
        <f t="shared" si="40"/>
        <v>06-2014</v>
      </c>
      <c r="N861">
        <f t="shared" si="41"/>
        <v>9.98</v>
      </c>
    </row>
    <row r="862" spans="3:14" x14ac:dyDescent="0.25">
      <c r="C862" t="str">
        <f>IF(COUNTBLANK(E862:K862) = 7,"",IF(AND(NOT(ISBLANK(E862)),COUNTBLANK(E862:K862) = 6),"3 Delete",IF(ISBLANK(E862),"2 Add",IF(SHA1Range(E862:K862) = "48c7e9497dc1d662eae53ff586204f024736cfcb","0 Original","1 Modify"))))</f>
        <v>0 Original</v>
      </c>
      <c r="D862" s="5" t="s">
        <v>3136</v>
      </c>
      <c r="E862" s="3">
        <v>3714</v>
      </c>
      <c r="F862" t="s">
        <v>1220</v>
      </c>
      <c r="G862" t="s">
        <v>642</v>
      </c>
      <c r="H862" s="9">
        <v>9.99</v>
      </c>
      <c r="I862" s="3">
        <v>1</v>
      </c>
      <c r="J862" s="5" t="s">
        <v>68</v>
      </c>
      <c r="K862" s="15">
        <v>41799.924675925926</v>
      </c>
      <c r="L862" s="20">
        <f t="shared" si="39"/>
        <v>41799</v>
      </c>
      <c r="M862" t="str">
        <f t="shared" si="40"/>
        <v>06-2014</v>
      </c>
      <c r="N862">
        <f t="shared" si="41"/>
        <v>9.99</v>
      </c>
    </row>
    <row r="863" spans="3:14" x14ac:dyDescent="0.25">
      <c r="C863" t="str">
        <f>IF(COUNTBLANK(E863:K863) = 7,"",IF(AND(NOT(ISBLANK(E863)),COUNTBLANK(E863:K863) = 6),"3 Delete",IF(ISBLANK(E863),"2 Add",IF(SHA1Range(E863:K863) = "f8ca0e02ddcfd351719ff77f1aa448a98476cdf3","0 Original","1 Modify"))))</f>
        <v>0 Original</v>
      </c>
      <c r="D863" s="5" t="s">
        <v>3137</v>
      </c>
      <c r="E863" s="3">
        <v>3715</v>
      </c>
      <c r="F863" t="s">
        <v>1220</v>
      </c>
      <c r="G863" t="s">
        <v>552</v>
      </c>
      <c r="H863" s="9">
        <v>6.99</v>
      </c>
      <c r="I863" s="3">
        <v>1</v>
      </c>
      <c r="J863" s="5" t="s">
        <v>68</v>
      </c>
      <c r="K863" s="15">
        <v>41799.924675925926</v>
      </c>
      <c r="L863" s="20">
        <f t="shared" si="39"/>
        <v>41799</v>
      </c>
      <c r="M863" t="str">
        <f t="shared" si="40"/>
        <v>06-2014</v>
      </c>
      <c r="N863">
        <f t="shared" si="41"/>
        <v>6.99</v>
      </c>
    </row>
    <row r="864" spans="3:14" x14ac:dyDescent="0.25">
      <c r="C864" t="str">
        <f>IF(COUNTBLANK(E864:K864) = 7,"",IF(AND(NOT(ISBLANK(E864)),COUNTBLANK(E864:K864) = 6),"3 Delete",IF(ISBLANK(E864),"2 Add",IF(SHA1Range(E864:K864) = "5a4ecc7f93a57a90553dfd0b561e9467ccdf2c3b","0 Original","1 Modify"))))</f>
        <v>0 Original</v>
      </c>
      <c r="D864" s="5" t="s">
        <v>3138</v>
      </c>
      <c r="E864" s="3">
        <v>3217</v>
      </c>
      <c r="F864" t="s">
        <v>1221</v>
      </c>
      <c r="G864" t="s">
        <v>749</v>
      </c>
      <c r="H864" s="9">
        <v>5.99</v>
      </c>
      <c r="I864" s="3">
        <v>2</v>
      </c>
      <c r="J864" s="5" t="s">
        <v>68</v>
      </c>
      <c r="K864" s="15">
        <v>41800.182511574072</v>
      </c>
      <c r="L864" s="20">
        <f t="shared" si="39"/>
        <v>41800</v>
      </c>
      <c r="M864" t="str">
        <f t="shared" si="40"/>
        <v>06-2014</v>
      </c>
      <c r="N864">
        <f t="shared" si="41"/>
        <v>11.98</v>
      </c>
    </row>
    <row r="865" spans="3:14" x14ac:dyDescent="0.25">
      <c r="C865" t="str">
        <f>IF(COUNTBLANK(E865:K865) = 7,"",IF(AND(NOT(ISBLANK(E865)),COUNTBLANK(E865:K865) = 6),"3 Delete",IF(ISBLANK(E865),"2 Add",IF(SHA1Range(E865:K865) = "685f40b5398790f22465a796cd1c216e67557a8e","0 Original","1 Modify"))))</f>
        <v>0 Original</v>
      </c>
      <c r="D865" s="5" t="s">
        <v>3139</v>
      </c>
      <c r="E865" s="3">
        <v>3218</v>
      </c>
      <c r="F865" t="s">
        <v>1221</v>
      </c>
      <c r="G865" t="s">
        <v>948</v>
      </c>
      <c r="H865" s="9">
        <v>4.99</v>
      </c>
      <c r="I865" s="3">
        <v>2</v>
      </c>
      <c r="J865" s="5" t="s">
        <v>68</v>
      </c>
      <c r="K865" s="15">
        <v>41800.182511574072</v>
      </c>
      <c r="L865" s="20">
        <f t="shared" si="39"/>
        <v>41800</v>
      </c>
      <c r="M865" t="str">
        <f t="shared" si="40"/>
        <v>06-2014</v>
      </c>
      <c r="N865">
        <f t="shared" si="41"/>
        <v>9.98</v>
      </c>
    </row>
    <row r="866" spans="3:14" x14ac:dyDescent="0.25">
      <c r="C866" t="str">
        <f>IF(COUNTBLANK(E866:K866) = 7,"",IF(AND(NOT(ISBLANK(E866)),COUNTBLANK(E866:K866) = 6),"3 Delete",IF(ISBLANK(E866),"2 Add",IF(SHA1Range(E866:K866) = "d426d834192e08229f04aa5797fe07ff8eb9fe16","0 Original","1 Modify"))))</f>
        <v>0 Original</v>
      </c>
      <c r="D866" s="5" t="s">
        <v>3140</v>
      </c>
      <c r="E866" s="3">
        <v>3219</v>
      </c>
      <c r="F866" t="s">
        <v>1221</v>
      </c>
      <c r="G866" t="s">
        <v>373</v>
      </c>
      <c r="H866" s="9">
        <v>7.99</v>
      </c>
      <c r="I866" s="3">
        <v>2</v>
      </c>
      <c r="J866" s="5" t="s">
        <v>68</v>
      </c>
      <c r="K866" s="15">
        <v>41800.182511574072</v>
      </c>
      <c r="L866" s="20">
        <f t="shared" si="39"/>
        <v>41800</v>
      </c>
      <c r="M866" t="str">
        <f t="shared" si="40"/>
        <v>06-2014</v>
      </c>
      <c r="N866">
        <f t="shared" si="41"/>
        <v>15.98</v>
      </c>
    </row>
    <row r="867" spans="3:14" x14ac:dyDescent="0.25">
      <c r="C867" t="str">
        <f>IF(COUNTBLANK(E867:K867) = 7,"",IF(AND(NOT(ISBLANK(E867)),COUNTBLANK(E867:K867) = 6),"3 Delete",IF(ISBLANK(E867),"2 Add",IF(SHA1Range(E867:K867) = "79e1e7f3709b2c064a67597109561afd966317bf","0 Original","1 Modify"))))</f>
        <v>0 Original</v>
      </c>
      <c r="D867" s="5" t="s">
        <v>3141</v>
      </c>
      <c r="E867" s="3">
        <v>742</v>
      </c>
      <c r="F867" t="s">
        <v>1222</v>
      </c>
      <c r="G867" t="s">
        <v>396</v>
      </c>
      <c r="H867" s="9">
        <v>8.99</v>
      </c>
      <c r="I867" s="3">
        <v>2</v>
      </c>
      <c r="J867" s="5" t="s">
        <v>68</v>
      </c>
      <c r="K867" s="15">
        <v>41800.411215277774</v>
      </c>
      <c r="L867" s="20">
        <f t="shared" si="39"/>
        <v>41800</v>
      </c>
      <c r="M867" t="str">
        <f t="shared" si="40"/>
        <v>06-2014</v>
      </c>
      <c r="N867">
        <f t="shared" si="41"/>
        <v>17.98</v>
      </c>
    </row>
    <row r="868" spans="3:14" x14ac:dyDescent="0.25">
      <c r="C868" t="str">
        <f>IF(COUNTBLANK(E868:K868) = 7,"",IF(AND(NOT(ISBLANK(E868)),COUNTBLANK(E868:K868) = 6),"3 Delete",IF(ISBLANK(E868),"2 Add",IF(SHA1Range(E868:K868) = "a4336b2c2aee5c3ded87478b9d27b081029bb649","0 Original","1 Modify"))))</f>
        <v>0 Original</v>
      </c>
      <c r="D868" s="5" t="s">
        <v>3142</v>
      </c>
      <c r="E868" s="3">
        <v>743</v>
      </c>
      <c r="F868" t="s">
        <v>1222</v>
      </c>
      <c r="G868" t="s">
        <v>945</v>
      </c>
      <c r="H868" s="9">
        <v>4.99</v>
      </c>
      <c r="I868" s="3">
        <v>2</v>
      </c>
      <c r="J868" s="5" t="s">
        <v>68</v>
      </c>
      <c r="K868" s="15">
        <v>41800.411215277774</v>
      </c>
      <c r="L868" s="20">
        <f t="shared" si="39"/>
        <v>41800</v>
      </c>
      <c r="M868" t="str">
        <f t="shared" si="40"/>
        <v>06-2014</v>
      </c>
      <c r="N868">
        <f t="shared" si="41"/>
        <v>9.98</v>
      </c>
    </row>
    <row r="869" spans="3:14" x14ac:dyDescent="0.25">
      <c r="C869" t="str">
        <f>IF(COUNTBLANK(E869:K869) = 7,"",IF(AND(NOT(ISBLANK(E869)),COUNTBLANK(E869:K869) = 6),"3 Delete",IF(ISBLANK(E869),"2 Add",IF(SHA1Range(E869:K869) = "ee8ad1d697a88c80de725a75c42594bd1057b047","0 Original","1 Modify"))))</f>
        <v>0 Original</v>
      </c>
      <c r="D869" s="5" t="s">
        <v>3143</v>
      </c>
      <c r="E869" s="3">
        <v>744</v>
      </c>
      <c r="F869" t="s">
        <v>1222</v>
      </c>
      <c r="G869" t="s">
        <v>596</v>
      </c>
      <c r="H869" s="9">
        <v>7.99</v>
      </c>
      <c r="I869" s="3">
        <v>1</v>
      </c>
      <c r="J869" s="5" t="s">
        <v>68</v>
      </c>
      <c r="K869" s="15">
        <v>41800.411215277774</v>
      </c>
      <c r="L869" s="20">
        <f t="shared" si="39"/>
        <v>41800</v>
      </c>
      <c r="M869" t="str">
        <f t="shared" si="40"/>
        <v>06-2014</v>
      </c>
      <c r="N869">
        <f t="shared" si="41"/>
        <v>7.99</v>
      </c>
    </row>
    <row r="870" spans="3:14" x14ac:dyDescent="0.25">
      <c r="C870" t="str">
        <f>IF(COUNTBLANK(E870:K870) = 7,"",IF(AND(NOT(ISBLANK(E870)),COUNTBLANK(E870:K870) = 6),"3 Delete",IF(ISBLANK(E870),"2 Add",IF(SHA1Range(E870:K870) = "915485ae2dbaf05c3d4881e2576783b5dbfafa0c","0 Original","1 Modify"))))</f>
        <v>0 Original</v>
      </c>
      <c r="D870" s="5" t="s">
        <v>3144</v>
      </c>
      <c r="E870" s="3">
        <v>3354</v>
      </c>
      <c r="F870" t="s">
        <v>1223</v>
      </c>
      <c r="G870" t="s">
        <v>579</v>
      </c>
      <c r="H870" s="9">
        <v>9.99</v>
      </c>
      <c r="I870" s="3">
        <v>2</v>
      </c>
      <c r="J870" s="5" t="s">
        <v>68</v>
      </c>
      <c r="K870" s="15">
        <v>41800.996770833335</v>
      </c>
      <c r="L870" s="20">
        <f t="shared" si="39"/>
        <v>41800</v>
      </c>
      <c r="M870" t="str">
        <f t="shared" si="40"/>
        <v>06-2014</v>
      </c>
      <c r="N870">
        <f t="shared" si="41"/>
        <v>19.98</v>
      </c>
    </row>
    <row r="871" spans="3:14" x14ac:dyDescent="0.25">
      <c r="C871" t="str">
        <f>IF(COUNTBLANK(E871:K871) = 7,"",IF(AND(NOT(ISBLANK(E871)),COUNTBLANK(E871:K871) = 6),"3 Delete",IF(ISBLANK(E871),"2 Add",IF(SHA1Range(E871:K871) = "2ee8bdde47cd070bd967548e835c32ab4bf92676","0 Original","1 Modify"))))</f>
        <v>0 Original</v>
      </c>
      <c r="D871" s="5" t="s">
        <v>3145</v>
      </c>
      <c r="E871" s="3">
        <v>3355</v>
      </c>
      <c r="F871" t="s">
        <v>1223</v>
      </c>
      <c r="G871" t="s">
        <v>749</v>
      </c>
      <c r="H871" s="9">
        <v>5.99</v>
      </c>
      <c r="I871" s="3">
        <v>2</v>
      </c>
      <c r="J871" s="5" t="s">
        <v>68</v>
      </c>
      <c r="K871" s="15">
        <v>41800.996770833335</v>
      </c>
      <c r="L871" s="20">
        <f t="shared" si="39"/>
        <v>41800</v>
      </c>
      <c r="M871" t="str">
        <f t="shared" si="40"/>
        <v>06-2014</v>
      </c>
      <c r="N871">
        <f t="shared" si="41"/>
        <v>11.98</v>
      </c>
    </row>
    <row r="872" spans="3:14" x14ac:dyDescent="0.25">
      <c r="C872" t="str">
        <f>IF(COUNTBLANK(E872:K872) = 7,"",IF(AND(NOT(ISBLANK(E872)),COUNTBLANK(E872:K872) = 6),"3 Delete",IF(ISBLANK(E872),"2 Add",IF(SHA1Range(E872:K872) = "bd45b921103244f6979301b6a086d1d054aee0b5","0 Original","1 Modify"))))</f>
        <v>0 Original</v>
      </c>
      <c r="D872" s="5" t="s">
        <v>3146</v>
      </c>
      <c r="E872" s="3">
        <v>3356</v>
      </c>
      <c r="F872" t="s">
        <v>1223</v>
      </c>
      <c r="G872" t="s">
        <v>687</v>
      </c>
      <c r="H872" s="9">
        <v>9.99</v>
      </c>
      <c r="I872" s="3">
        <v>1</v>
      </c>
      <c r="J872" s="5" t="s">
        <v>68</v>
      </c>
      <c r="K872" s="15">
        <v>41800.996770833335</v>
      </c>
      <c r="L872" s="20">
        <f t="shared" si="39"/>
        <v>41800</v>
      </c>
      <c r="M872" t="str">
        <f t="shared" si="40"/>
        <v>06-2014</v>
      </c>
      <c r="N872">
        <f t="shared" si="41"/>
        <v>9.99</v>
      </c>
    </row>
    <row r="873" spans="3:14" x14ac:dyDescent="0.25">
      <c r="C873" t="str">
        <f>IF(COUNTBLANK(E873:K873) = 7,"",IF(AND(NOT(ISBLANK(E873)),COUNTBLANK(E873:K873) = 6),"3 Delete",IF(ISBLANK(E873),"2 Add",IF(SHA1Range(E873:K873) = "e28ead0a1264890ed85564ab995dc319af27fb7b","0 Original","1 Modify"))))</f>
        <v>0 Original</v>
      </c>
      <c r="D873" s="5" t="s">
        <v>3147</v>
      </c>
      <c r="E873" s="3">
        <v>593</v>
      </c>
      <c r="F873" t="s">
        <v>1224</v>
      </c>
      <c r="G873" t="s">
        <v>457</v>
      </c>
      <c r="H873" s="9">
        <v>4.99</v>
      </c>
      <c r="I873" s="3">
        <v>1</v>
      </c>
      <c r="J873" s="5" t="s">
        <v>68</v>
      </c>
      <c r="K873" s="15">
        <v>41801.091851851852</v>
      </c>
      <c r="L873" s="20">
        <f t="shared" si="39"/>
        <v>41801</v>
      </c>
      <c r="M873" t="str">
        <f t="shared" si="40"/>
        <v>06-2014</v>
      </c>
      <c r="N873">
        <f t="shared" si="41"/>
        <v>4.99</v>
      </c>
    </row>
    <row r="874" spans="3:14" x14ac:dyDescent="0.25">
      <c r="C874" t="str">
        <f>IF(COUNTBLANK(E874:K874) = 7,"",IF(AND(NOT(ISBLANK(E874)),COUNTBLANK(E874:K874) = 6),"3 Delete",IF(ISBLANK(E874),"2 Add",IF(SHA1Range(E874:K874) = "4c86a0819cd181ebc1175eedcd7643daf3f788a9","0 Original","1 Modify"))))</f>
        <v>0 Original</v>
      </c>
      <c r="D874" s="5" t="s">
        <v>3148</v>
      </c>
      <c r="E874" s="3">
        <v>594</v>
      </c>
      <c r="F874" t="s">
        <v>1224</v>
      </c>
      <c r="G874" t="s">
        <v>926</v>
      </c>
      <c r="H874" s="9">
        <v>9.99</v>
      </c>
      <c r="I874" s="3">
        <v>2</v>
      </c>
      <c r="J874" s="5" t="s">
        <v>68</v>
      </c>
      <c r="K874" s="15">
        <v>41801.091851851852</v>
      </c>
      <c r="L874" s="20">
        <f t="shared" si="39"/>
        <v>41801</v>
      </c>
      <c r="M874" t="str">
        <f t="shared" si="40"/>
        <v>06-2014</v>
      </c>
      <c r="N874">
        <f t="shared" si="41"/>
        <v>19.98</v>
      </c>
    </row>
    <row r="875" spans="3:14" x14ac:dyDescent="0.25">
      <c r="C875" t="str">
        <f>IF(COUNTBLANK(E875:K875) = 7,"",IF(AND(NOT(ISBLANK(E875)),COUNTBLANK(E875:K875) = 6),"3 Delete",IF(ISBLANK(E875),"2 Add",IF(SHA1Range(E875:K875) = "49abff84f69d7284c5f5fb37fee9f7b20b5c9a8c","0 Original","1 Modify"))))</f>
        <v>0 Original</v>
      </c>
      <c r="D875" s="5" t="s">
        <v>3149</v>
      </c>
      <c r="E875" s="3">
        <v>432</v>
      </c>
      <c r="F875" t="s">
        <v>1225</v>
      </c>
      <c r="G875" t="s">
        <v>492</v>
      </c>
      <c r="H875" s="9">
        <v>7.99</v>
      </c>
      <c r="I875" s="3">
        <v>1</v>
      </c>
      <c r="J875" s="5" t="s">
        <v>68</v>
      </c>
      <c r="K875" s="15">
        <v>41802.237361111111</v>
      </c>
      <c r="L875" s="20">
        <f t="shared" si="39"/>
        <v>41802</v>
      </c>
      <c r="M875" t="str">
        <f t="shared" si="40"/>
        <v>06-2014</v>
      </c>
      <c r="N875">
        <f t="shared" si="41"/>
        <v>7.99</v>
      </c>
    </row>
    <row r="876" spans="3:14" x14ac:dyDescent="0.25">
      <c r="C876" t="str">
        <f>IF(COUNTBLANK(E876:K876) = 7,"",IF(AND(NOT(ISBLANK(E876)),COUNTBLANK(E876:K876) = 6),"3 Delete",IF(ISBLANK(E876),"2 Add",IF(SHA1Range(E876:K876) = "e93f69a6150cf7bb8b0fc8e0519e4acf88cdfe0c","0 Original","1 Modify"))))</f>
        <v>0 Original</v>
      </c>
      <c r="D876" s="5" t="s">
        <v>3150</v>
      </c>
      <c r="E876" s="3">
        <v>433</v>
      </c>
      <c r="F876" t="s">
        <v>1225</v>
      </c>
      <c r="G876" t="s">
        <v>836</v>
      </c>
      <c r="H876" s="9">
        <v>7.99</v>
      </c>
      <c r="I876" s="3">
        <v>1</v>
      </c>
      <c r="J876" s="5" t="s">
        <v>68</v>
      </c>
      <c r="K876" s="15">
        <v>41802.237361111111</v>
      </c>
      <c r="L876" s="20">
        <f t="shared" si="39"/>
        <v>41802</v>
      </c>
      <c r="M876" t="str">
        <f t="shared" si="40"/>
        <v>06-2014</v>
      </c>
      <c r="N876">
        <f t="shared" si="41"/>
        <v>7.99</v>
      </c>
    </row>
    <row r="877" spans="3:14" x14ac:dyDescent="0.25">
      <c r="C877" t="str">
        <f>IF(COUNTBLANK(E877:K877) = 7,"",IF(AND(NOT(ISBLANK(E877)),COUNTBLANK(E877:K877) = 6),"3 Delete",IF(ISBLANK(E877),"2 Add",IF(SHA1Range(E877:K877) = "65b11a21394b55ccfec4635b20d4568d2ece2d90","0 Original","1 Modify"))))</f>
        <v>0 Original</v>
      </c>
      <c r="D877" s="5" t="s">
        <v>3151</v>
      </c>
      <c r="E877" s="3">
        <v>434</v>
      </c>
      <c r="F877" t="s">
        <v>1225</v>
      </c>
      <c r="G877" t="s">
        <v>715</v>
      </c>
      <c r="H877" s="9">
        <v>8.99</v>
      </c>
      <c r="I877" s="3">
        <v>1</v>
      </c>
      <c r="J877" s="5" t="s">
        <v>68</v>
      </c>
      <c r="K877" s="15">
        <v>41802.237361111111</v>
      </c>
      <c r="L877" s="20">
        <f t="shared" si="39"/>
        <v>41802</v>
      </c>
      <c r="M877" t="str">
        <f t="shared" si="40"/>
        <v>06-2014</v>
      </c>
      <c r="N877">
        <f t="shared" si="41"/>
        <v>8.99</v>
      </c>
    </row>
    <row r="878" spans="3:14" x14ac:dyDescent="0.25">
      <c r="C878" t="str">
        <f>IF(COUNTBLANK(E878:K878) = 7,"",IF(AND(NOT(ISBLANK(E878)),COUNTBLANK(E878:K878) = 6),"3 Delete",IF(ISBLANK(E878),"2 Add",IF(SHA1Range(E878:K878) = "bd8b4debf733013e9c166d74e1b5054626a8e7ef","0 Original","1 Modify"))))</f>
        <v>0 Original</v>
      </c>
      <c r="D878" s="5" t="s">
        <v>3152</v>
      </c>
      <c r="E878" s="3">
        <v>3665</v>
      </c>
      <c r="F878" t="s">
        <v>1226</v>
      </c>
      <c r="G878" t="s">
        <v>579</v>
      </c>
      <c r="H878" s="9">
        <v>9.99</v>
      </c>
      <c r="I878" s="3">
        <v>2</v>
      </c>
      <c r="J878" s="5" t="s">
        <v>68</v>
      </c>
      <c r="K878" s="15">
        <v>41802.692418981482</v>
      </c>
      <c r="L878" s="20">
        <f t="shared" si="39"/>
        <v>41802</v>
      </c>
      <c r="M878" t="str">
        <f t="shared" si="40"/>
        <v>06-2014</v>
      </c>
      <c r="N878">
        <f t="shared" si="41"/>
        <v>19.98</v>
      </c>
    </row>
    <row r="879" spans="3:14" x14ac:dyDescent="0.25">
      <c r="C879" t="str">
        <f>IF(COUNTBLANK(E879:K879) = 7,"",IF(AND(NOT(ISBLANK(E879)),COUNTBLANK(E879:K879) = 6),"3 Delete",IF(ISBLANK(E879),"2 Add",IF(SHA1Range(E879:K879) = "b8fb0bb608579e4d32c71a06ec11ddf985715988","0 Original","1 Modify"))))</f>
        <v>0 Original</v>
      </c>
      <c r="D879" s="5" t="s">
        <v>3153</v>
      </c>
      <c r="E879" s="3">
        <v>3666</v>
      </c>
      <c r="F879" t="s">
        <v>1226</v>
      </c>
      <c r="G879" t="s">
        <v>948</v>
      </c>
      <c r="H879" s="9">
        <v>4.99</v>
      </c>
      <c r="I879" s="3">
        <v>2</v>
      </c>
      <c r="J879" s="5" t="s">
        <v>68</v>
      </c>
      <c r="K879" s="15">
        <v>41802.692418981482</v>
      </c>
      <c r="L879" s="20">
        <f t="shared" si="39"/>
        <v>41802</v>
      </c>
      <c r="M879" t="str">
        <f t="shared" si="40"/>
        <v>06-2014</v>
      </c>
      <c r="N879">
        <f t="shared" si="41"/>
        <v>9.98</v>
      </c>
    </row>
    <row r="880" spans="3:14" x14ac:dyDescent="0.25">
      <c r="C880" t="str">
        <f>IF(COUNTBLANK(E880:K880) = 7,"",IF(AND(NOT(ISBLANK(E880)),COUNTBLANK(E880:K880) = 6),"3 Delete",IF(ISBLANK(E880),"2 Add",IF(SHA1Range(E880:K880) = "15c8564e19467ec578340cae7b5817b874cc9877","0 Original","1 Modify"))))</f>
        <v>0 Original</v>
      </c>
      <c r="D880" s="5" t="s">
        <v>3154</v>
      </c>
      <c r="E880" s="3">
        <v>3667</v>
      </c>
      <c r="F880" t="s">
        <v>1226</v>
      </c>
      <c r="G880" t="s">
        <v>948</v>
      </c>
      <c r="H880" s="9">
        <v>4.99</v>
      </c>
      <c r="I880" s="3">
        <v>1</v>
      </c>
      <c r="J880" s="5" t="s">
        <v>68</v>
      </c>
      <c r="K880" s="15">
        <v>41802.692418981482</v>
      </c>
      <c r="L880" s="20">
        <f t="shared" si="39"/>
        <v>41802</v>
      </c>
      <c r="M880" t="str">
        <f t="shared" si="40"/>
        <v>06-2014</v>
      </c>
      <c r="N880">
        <f t="shared" si="41"/>
        <v>4.99</v>
      </c>
    </row>
    <row r="881" spans="3:14" x14ac:dyDescent="0.25">
      <c r="C881" t="str">
        <f>IF(COUNTBLANK(E881:K881) = 7,"",IF(AND(NOT(ISBLANK(E881)),COUNTBLANK(E881:K881) = 6),"3 Delete",IF(ISBLANK(E881),"2 Add",IF(SHA1Range(E881:K881) = "e7007bade6c81aa402109aab990bc6cdce6f87e0","0 Original","1 Modify"))))</f>
        <v>0 Original</v>
      </c>
      <c r="D881" s="5" t="s">
        <v>3155</v>
      </c>
      <c r="E881" s="3">
        <v>3668</v>
      </c>
      <c r="F881" t="s">
        <v>1226</v>
      </c>
      <c r="G881" t="s">
        <v>579</v>
      </c>
      <c r="H881" s="9">
        <v>9.99</v>
      </c>
      <c r="I881" s="3">
        <v>1</v>
      </c>
      <c r="J881" s="5" t="s">
        <v>68</v>
      </c>
      <c r="K881" s="15">
        <v>41802.692418981482</v>
      </c>
      <c r="L881" s="20">
        <f t="shared" si="39"/>
        <v>41802</v>
      </c>
      <c r="M881" t="str">
        <f t="shared" si="40"/>
        <v>06-2014</v>
      </c>
      <c r="N881">
        <f t="shared" si="41"/>
        <v>9.99</v>
      </c>
    </row>
    <row r="882" spans="3:14" x14ac:dyDescent="0.25">
      <c r="C882" t="str">
        <f>IF(COUNTBLANK(E882:K882) = 7,"",IF(AND(NOT(ISBLANK(E882)),COUNTBLANK(E882:K882) = 6),"3 Delete",IF(ISBLANK(E882),"2 Add",IF(SHA1Range(E882:K882) = "18ec94c561bbd3404fecdfd7f4aa5415306b89cd","0 Original","1 Modify"))))</f>
        <v>0 Original</v>
      </c>
      <c r="D882" s="5" t="s">
        <v>3156</v>
      </c>
      <c r="E882" s="3">
        <v>3408</v>
      </c>
      <c r="F882" t="s">
        <v>1227</v>
      </c>
      <c r="G882" t="s">
        <v>552</v>
      </c>
      <c r="H882" s="9">
        <v>6.99</v>
      </c>
      <c r="I882" s="3">
        <v>3</v>
      </c>
      <c r="J882" s="5" t="s">
        <v>68</v>
      </c>
      <c r="K882" s="15">
        <v>41804.507418981484</v>
      </c>
      <c r="L882" s="20">
        <f t="shared" si="39"/>
        <v>41804</v>
      </c>
      <c r="M882" t="str">
        <f t="shared" si="40"/>
        <v>06-2014</v>
      </c>
      <c r="N882">
        <f t="shared" si="41"/>
        <v>20.97</v>
      </c>
    </row>
    <row r="883" spans="3:14" x14ac:dyDescent="0.25">
      <c r="C883" t="str">
        <f>IF(COUNTBLANK(E883:K883) = 7,"",IF(AND(NOT(ISBLANK(E883)),COUNTBLANK(E883:K883) = 6),"3 Delete",IF(ISBLANK(E883),"2 Add",IF(SHA1Range(E883:K883) = "57b0493ceb7f676dca5c6b0bde2f3efb3e83ae3c","0 Original","1 Modify"))))</f>
        <v>0 Original</v>
      </c>
      <c r="D883" s="5" t="s">
        <v>3157</v>
      </c>
      <c r="E883" s="3">
        <v>3409</v>
      </c>
      <c r="F883" t="s">
        <v>1227</v>
      </c>
      <c r="G883" t="s">
        <v>749</v>
      </c>
      <c r="H883" s="9">
        <v>5.99</v>
      </c>
      <c r="I883" s="3">
        <v>1</v>
      </c>
      <c r="J883" s="5" t="s">
        <v>68</v>
      </c>
      <c r="K883" s="15">
        <v>41804.507418981484</v>
      </c>
      <c r="L883" s="20">
        <f t="shared" si="39"/>
        <v>41804</v>
      </c>
      <c r="M883" t="str">
        <f t="shared" si="40"/>
        <v>06-2014</v>
      </c>
      <c r="N883">
        <f t="shared" si="41"/>
        <v>5.99</v>
      </c>
    </row>
    <row r="884" spans="3:14" x14ac:dyDescent="0.25">
      <c r="C884" t="str">
        <f>IF(COUNTBLANK(E884:K884) = 7,"",IF(AND(NOT(ISBLANK(E884)),COUNTBLANK(E884:K884) = 6),"3 Delete",IF(ISBLANK(E884),"2 Add",IF(SHA1Range(E884:K884) = "cecf03aadaf22245395cbc670192dd494d5ec80f","0 Original","1 Modify"))))</f>
        <v>0 Original</v>
      </c>
      <c r="D884" s="5" t="s">
        <v>3158</v>
      </c>
      <c r="E884" s="3">
        <v>3410</v>
      </c>
      <c r="F884" t="s">
        <v>1227</v>
      </c>
      <c r="G884" t="s">
        <v>373</v>
      </c>
      <c r="H884" s="9">
        <v>7.99</v>
      </c>
      <c r="I884" s="3">
        <v>1</v>
      </c>
      <c r="J884" s="5" t="s">
        <v>68</v>
      </c>
      <c r="K884" s="15">
        <v>41804.507418981484</v>
      </c>
      <c r="L884" s="20">
        <f t="shared" si="39"/>
        <v>41804</v>
      </c>
      <c r="M884" t="str">
        <f t="shared" si="40"/>
        <v>06-2014</v>
      </c>
      <c r="N884">
        <f t="shared" si="41"/>
        <v>7.99</v>
      </c>
    </row>
    <row r="885" spans="3:14" x14ac:dyDescent="0.25">
      <c r="C885" t="str">
        <f>IF(COUNTBLANK(E885:K885) = 7,"",IF(AND(NOT(ISBLANK(E885)),COUNTBLANK(E885:K885) = 6),"3 Delete",IF(ISBLANK(E885),"2 Add",IF(SHA1Range(E885:K885) = "f030b166a800665b2cdb3d2040b7cb641ef1cb82","0 Original","1 Modify"))))</f>
        <v>0 Original</v>
      </c>
      <c r="D885" s="5" t="s">
        <v>3159</v>
      </c>
      <c r="E885" s="3">
        <v>2556</v>
      </c>
      <c r="F885" t="s">
        <v>1228</v>
      </c>
      <c r="G885" t="s">
        <v>642</v>
      </c>
      <c r="H885" s="9">
        <v>9.99</v>
      </c>
      <c r="I885" s="3">
        <v>1</v>
      </c>
      <c r="J885" s="5" t="s">
        <v>68</v>
      </c>
      <c r="K885" s="15">
        <v>41805.133622685185</v>
      </c>
      <c r="L885" s="20">
        <f t="shared" si="39"/>
        <v>41805</v>
      </c>
      <c r="M885" t="str">
        <f t="shared" si="40"/>
        <v>06-2014</v>
      </c>
      <c r="N885">
        <f t="shared" si="41"/>
        <v>9.99</v>
      </c>
    </row>
    <row r="886" spans="3:14" x14ac:dyDescent="0.25">
      <c r="C886" t="str">
        <f>IF(COUNTBLANK(E886:K886) = 7,"",IF(AND(NOT(ISBLANK(E886)),COUNTBLANK(E886:K886) = 6),"3 Delete",IF(ISBLANK(E886),"2 Add",IF(SHA1Range(E886:K886) = "936ed4fc966170b25b3f6c571d8224f13a62ae5e","0 Original","1 Modify"))))</f>
        <v>0 Original</v>
      </c>
      <c r="D886" s="5" t="s">
        <v>3160</v>
      </c>
      <c r="E886" s="3">
        <v>2557</v>
      </c>
      <c r="F886" t="s">
        <v>1228</v>
      </c>
      <c r="G886" t="s">
        <v>400</v>
      </c>
      <c r="H886" s="9">
        <v>4.99</v>
      </c>
      <c r="I886" s="3">
        <v>1</v>
      </c>
      <c r="J886" s="5" t="s">
        <v>68</v>
      </c>
      <c r="K886" s="15">
        <v>41805.133622685185</v>
      </c>
      <c r="L886" s="20">
        <f t="shared" si="39"/>
        <v>41805</v>
      </c>
      <c r="M886" t="str">
        <f t="shared" si="40"/>
        <v>06-2014</v>
      </c>
      <c r="N886">
        <f t="shared" si="41"/>
        <v>4.99</v>
      </c>
    </row>
    <row r="887" spans="3:14" x14ac:dyDescent="0.25">
      <c r="C887" t="str">
        <f>IF(COUNTBLANK(E887:K887) = 7,"",IF(AND(NOT(ISBLANK(E887)),COUNTBLANK(E887:K887) = 6),"3 Delete",IF(ISBLANK(E887),"2 Add",IF(SHA1Range(E887:K887) = "c3aa860f5ac5b94b88e7d60777396e94f95a733f","0 Original","1 Modify"))))</f>
        <v>0 Original</v>
      </c>
      <c r="D887" s="5" t="s">
        <v>3161</v>
      </c>
      <c r="E887" s="3">
        <v>9</v>
      </c>
      <c r="F887" t="s">
        <v>1229</v>
      </c>
      <c r="G887" t="s">
        <v>865</v>
      </c>
      <c r="H887" s="9">
        <v>4.99</v>
      </c>
      <c r="I887" s="3">
        <v>1</v>
      </c>
      <c r="J887" s="5" t="s">
        <v>68</v>
      </c>
      <c r="K887" s="15">
        <v>41805.616446759261</v>
      </c>
      <c r="L887" s="20">
        <f t="shared" si="39"/>
        <v>41805</v>
      </c>
      <c r="M887" t="str">
        <f t="shared" si="40"/>
        <v>06-2014</v>
      </c>
      <c r="N887">
        <f t="shared" si="41"/>
        <v>4.99</v>
      </c>
    </row>
    <row r="888" spans="3:14" x14ac:dyDescent="0.25">
      <c r="C888" t="str">
        <f>IF(COUNTBLANK(E888:K888) = 7,"",IF(AND(NOT(ISBLANK(E888)),COUNTBLANK(E888:K888) = 6),"3 Delete",IF(ISBLANK(E888),"2 Add",IF(SHA1Range(E888:K888) = "9f28aa025b6de41aecc7e19ba55f84a9fe52cb2c","0 Original","1 Modify"))))</f>
        <v>0 Original</v>
      </c>
      <c r="D888" s="5" t="s">
        <v>3162</v>
      </c>
      <c r="E888" s="3">
        <v>10</v>
      </c>
      <c r="F888" t="s">
        <v>1229</v>
      </c>
      <c r="G888" t="s">
        <v>468</v>
      </c>
      <c r="H888" s="9">
        <v>5.99</v>
      </c>
      <c r="I888" s="3">
        <v>1</v>
      </c>
      <c r="J888" s="5" t="s">
        <v>68</v>
      </c>
      <c r="K888" s="15">
        <v>41805.616446759261</v>
      </c>
      <c r="L888" s="20">
        <f t="shared" si="39"/>
        <v>41805</v>
      </c>
      <c r="M888" t="str">
        <f t="shared" si="40"/>
        <v>06-2014</v>
      </c>
      <c r="N888">
        <f t="shared" si="41"/>
        <v>5.99</v>
      </c>
    </row>
    <row r="889" spans="3:14" x14ac:dyDescent="0.25">
      <c r="C889" t="str">
        <f>IF(COUNTBLANK(E889:K889) = 7,"",IF(AND(NOT(ISBLANK(E889)),COUNTBLANK(E889:K889) = 6),"3 Delete",IF(ISBLANK(E889),"2 Add",IF(SHA1Range(E889:K889) = "7929c6f931ab02292c074664c4d921a2bd1481dd","0 Original","1 Modify"))))</f>
        <v>0 Original</v>
      </c>
      <c r="D889" s="5" t="s">
        <v>3163</v>
      </c>
      <c r="E889" s="3">
        <v>11</v>
      </c>
      <c r="F889" t="s">
        <v>1229</v>
      </c>
      <c r="G889" t="s">
        <v>445</v>
      </c>
      <c r="H889" s="9">
        <v>7.99</v>
      </c>
      <c r="I889" s="3">
        <v>1</v>
      </c>
      <c r="J889" s="5" t="s">
        <v>68</v>
      </c>
      <c r="K889" s="15">
        <v>41805.616446759261</v>
      </c>
      <c r="L889" s="20">
        <f t="shared" si="39"/>
        <v>41805</v>
      </c>
      <c r="M889" t="str">
        <f t="shared" si="40"/>
        <v>06-2014</v>
      </c>
      <c r="N889">
        <f t="shared" si="41"/>
        <v>7.99</v>
      </c>
    </row>
    <row r="890" spans="3:14" x14ac:dyDescent="0.25">
      <c r="C890" t="str">
        <f>IF(COUNTBLANK(E890:K890) = 7,"",IF(AND(NOT(ISBLANK(E890)),COUNTBLANK(E890:K890) = 6),"3 Delete",IF(ISBLANK(E890),"2 Add",IF(SHA1Range(E890:K890) = "c07bf6f3e3d6b11727fee4a4644d92102610a22b","0 Original","1 Modify"))))</f>
        <v>0 Original</v>
      </c>
      <c r="D890" s="5" t="s">
        <v>3164</v>
      </c>
      <c r="E890" s="3">
        <v>3564</v>
      </c>
      <c r="F890" t="s">
        <v>1230</v>
      </c>
      <c r="G890" t="s">
        <v>948</v>
      </c>
      <c r="H890" s="9">
        <v>4.99</v>
      </c>
      <c r="I890" s="3">
        <v>2</v>
      </c>
      <c r="J890" s="5" t="s">
        <v>68</v>
      </c>
      <c r="K890" s="15">
        <v>41805.796493055554</v>
      </c>
      <c r="L890" s="20">
        <f t="shared" si="39"/>
        <v>41805</v>
      </c>
      <c r="M890" t="str">
        <f t="shared" si="40"/>
        <v>06-2014</v>
      </c>
      <c r="N890">
        <f t="shared" si="41"/>
        <v>9.98</v>
      </c>
    </row>
    <row r="891" spans="3:14" x14ac:dyDescent="0.25">
      <c r="C891" t="str">
        <f>IF(COUNTBLANK(E891:K891) = 7,"",IF(AND(NOT(ISBLANK(E891)),COUNTBLANK(E891:K891) = 6),"3 Delete",IF(ISBLANK(E891),"2 Add",IF(SHA1Range(E891:K891) = "745705781f75efcf66931bc4dbc99fbfe3745697","0 Original","1 Modify"))))</f>
        <v>0 Original</v>
      </c>
      <c r="D891" s="5" t="s">
        <v>3165</v>
      </c>
      <c r="E891" s="3">
        <v>3565</v>
      </c>
      <c r="F891" t="s">
        <v>1230</v>
      </c>
      <c r="G891" t="s">
        <v>687</v>
      </c>
      <c r="H891" s="9">
        <v>9.99</v>
      </c>
      <c r="I891" s="3">
        <v>2</v>
      </c>
      <c r="J891" s="5" t="s">
        <v>68</v>
      </c>
      <c r="K891" s="15">
        <v>41805.796493055554</v>
      </c>
      <c r="L891" s="20">
        <f t="shared" si="39"/>
        <v>41805</v>
      </c>
      <c r="M891" t="str">
        <f t="shared" si="40"/>
        <v>06-2014</v>
      </c>
      <c r="N891">
        <f t="shared" si="41"/>
        <v>19.98</v>
      </c>
    </row>
    <row r="892" spans="3:14" x14ac:dyDescent="0.25">
      <c r="C892" t="str">
        <f>IF(COUNTBLANK(E892:K892) = 7,"",IF(AND(NOT(ISBLANK(E892)),COUNTBLANK(E892:K892) = 6),"3 Delete",IF(ISBLANK(E892),"2 Add",IF(SHA1Range(E892:K892) = "621005b67ccc8eb1293a5383fde5a674564bb099","0 Original","1 Modify"))))</f>
        <v>0 Original</v>
      </c>
      <c r="D892" s="5" t="s">
        <v>3166</v>
      </c>
      <c r="E892" s="3">
        <v>3566</v>
      </c>
      <c r="F892" t="s">
        <v>1230</v>
      </c>
      <c r="G892" t="s">
        <v>400</v>
      </c>
      <c r="H892" s="9">
        <v>4.99</v>
      </c>
      <c r="I892" s="3">
        <v>1</v>
      </c>
      <c r="J892" s="5" t="s">
        <v>68</v>
      </c>
      <c r="K892" s="15">
        <v>41805.796493055554</v>
      </c>
      <c r="L892" s="20">
        <f t="shared" si="39"/>
        <v>41805</v>
      </c>
      <c r="M892" t="str">
        <f t="shared" si="40"/>
        <v>06-2014</v>
      </c>
      <c r="N892">
        <f t="shared" si="41"/>
        <v>4.99</v>
      </c>
    </row>
    <row r="893" spans="3:14" x14ac:dyDescent="0.25">
      <c r="C893" t="str">
        <f>IF(COUNTBLANK(E893:K893) = 7,"",IF(AND(NOT(ISBLANK(E893)),COUNTBLANK(E893:K893) = 6),"3 Delete",IF(ISBLANK(E893),"2 Add",IF(SHA1Range(E893:K893) = "e4ff37716a836d792885fcc398eafc01f58be288","0 Original","1 Modify"))))</f>
        <v>0 Original</v>
      </c>
      <c r="D893" s="5" t="s">
        <v>3167</v>
      </c>
      <c r="E893" s="3">
        <v>3567</v>
      </c>
      <c r="F893" t="s">
        <v>1230</v>
      </c>
      <c r="G893" t="s">
        <v>373</v>
      </c>
      <c r="H893" s="9">
        <v>7.99</v>
      </c>
      <c r="I893" s="3">
        <v>1</v>
      </c>
      <c r="J893" s="5" t="s">
        <v>68</v>
      </c>
      <c r="K893" s="15">
        <v>41805.796493055554</v>
      </c>
      <c r="L893" s="20">
        <f t="shared" si="39"/>
        <v>41805</v>
      </c>
      <c r="M893" t="str">
        <f t="shared" si="40"/>
        <v>06-2014</v>
      </c>
      <c r="N893">
        <f t="shared" si="41"/>
        <v>7.99</v>
      </c>
    </row>
    <row r="894" spans="3:14" x14ac:dyDescent="0.25">
      <c r="C894" t="str">
        <f>IF(COUNTBLANK(E894:K894) = 7,"",IF(AND(NOT(ISBLANK(E894)),COUNTBLANK(E894:K894) = 6),"3 Delete",IF(ISBLANK(E894),"2 Add",IF(SHA1Range(E894:K894) = "31cb6aedd16f5039f027c0ec7e83af93424bb69c","0 Original","1 Modify"))))</f>
        <v>0 Original</v>
      </c>
      <c r="D894" s="5" t="s">
        <v>3168</v>
      </c>
      <c r="E894" s="3">
        <v>1178</v>
      </c>
      <c r="F894" t="s">
        <v>1231</v>
      </c>
      <c r="G894" t="s">
        <v>749</v>
      </c>
      <c r="H894" s="9">
        <v>5.99</v>
      </c>
      <c r="I894" s="3">
        <v>1</v>
      </c>
      <c r="J894" s="5" t="s">
        <v>68</v>
      </c>
      <c r="K894" s="15">
        <v>41806.625497685185</v>
      </c>
      <c r="L894" s="20">
        <f t="shared" si="39"/>
        <v>41806</v>
      </c>
      <c r="M894" t="str">
        <f t="shared" si="40"/>
        <v>06-2014</v>
      </c>
      <c r="N894">
        <f t="shared" si="41"/>
        <v>5.99</v>
      </c>
    </row>
    <row r="895" spans="3:14" x14ac:dyDescent="0.25">
      <c r="C895" t="str">
        <f>IF(COUNTBLANK(E895:K895) = 7,"",IF(AND(NOT(ISBLANK(E895)),COUNTBLANK(E895:K895) = 6),"3 Delete",IF(ISBLANK(E895),"2 Add",IF(SHA1Range(E895:K895) = "5813dd261c58f55241fa97c71fe488a3e79ab4a2","0 Original","1 Modify"))))</f>
        <v>0 Original</v>
      </c>
      <c r="D895" s="5" t="s">
        <v>3169</v>
      </c>
      <c r="E895" s="3">
        <v>1179</v>
      </c>
      <c r="F895" t="s">
        <v>1231</v>
      </c>
      <c r="G895" t="s">
        <v>771</v>
      </c>
      <c r="H895" s="9">
        <v>9.99</v>
      </c>
      <c r="I895" s="3">
        <v>2</v>
      </c>
      <c r="J895" s="5" t="s">
        <v>68</v>
      </c>
      <c r="K895" s="15">
        <v>41806.625497685185</v>
      </c>
      <c r="L895" s="20">
        <f t="shared" si="39"/>
        <v>41806</v>
      </c>
      <c r="M895" t="str">
        <f t="shared" si="40"/>
        <v>06-2014</v>
      </c>
      <c r="N895">
        <f t="shared" si="41"/>
        <v>19.98</v>
      </c>
    </row>
    <row r="896" spans="3:14" x14ac:dyDescent="0.25">
      <c r="C896" t="str">
        <f>IF(COUNTBLANK(E896:K896) = 7,"",IF(AND(NOT(ISBLANK(E896)),COUNTBLANK(E896:K896) = 6),"3 Delete",IF(ISBLANK(E896),"2 Add",IF(SHA1Range(E896:K896) = "1e8f0444aa29b6c1a441e86e624856803dcde507","0 Original","1 Modify"))))</f>
        <v>0 Original</v>
      </c>
      <c r="D896" s="5" t="s">
        <v>3170</v>
      </c>
      <c r="E896" s="3">
        <v>1180</v>
      </c>
      <c r="F896" t="s">
        <v>1231</v>
      </c>
      <c r="G896" t="s">
        <v>482</v>
      </c>
      <c r="H896" s="9">
        <v>8.99</v>
      </c>
      <c r="I896" s="3">
        <v>1</v>
      </c>
      <c r="J896" s="5" t="s">
        <v>68</v>
      </c>
      <c r="K896" s="15">
        <v>41806.625497685185</v>
      </c>
      <c r="L896" s="20">
        <f t="shared" si="39"/>
        <v>41806</v>
      </c>
      <c r="M896" t="str">
        <f t="shared" si="40"/>
        <v>06-2014</v>
      </c>
      <c r="N896">
        <f t="shared" si="41"/>
        <v>8.99</v>
      </c>
    </row>
    <row r="897" spans="3:14" x14ac:dyDescent="0.25">
      <c r="C897" t="str">
        <f>IF(COUNTBLANK(E897:K897) = 7,"",IF(AND(NOT(ISBLANK(E897)),COUNTBLANK(E897:K897) = 6),"3 Delete",IF(ISBLANK(E897),"2 Add",IF(SHA1Range(E897:K897) = "273fe94469e881af84da4a9e19a70be7ee02496b","0 Original","1 Modify"))))</f>
        <v>0 Original</v>
      </c>
      <c r="D897" s="5" t="s">
        <v>3171</v>
      </c>
      <c r="E897" s="3">
        <v>1181</v>
      </c>
      <c r="F897" t="s">
        <v>1231</v>
      </c>
      <c r="G897" t="s">
        <v>697</v>
      </c>
      <c r="H897" s="9">
        <v>5.99</v>
      </c>
      <c r="I897" s="3">
        <v>1</v>
      </c>
      <c r="J897" s="5" t="s">
        <v>68</v>
      </c>
      <c r="K897" s="15">
        <v>41806.625497685185</v>
      </c>
      <c r="L897" s="20">
        <f t="shared" si="39"/>
        <v>41806</v>
      </c>
      <c r="M897" t="str">
        <f t="shared" si="40"/>
        <v>06-2014</v>
      </c>
      <c r="N897">
        <f t="shared" si="41"/>
        <v>5.99</v>
      </c>
    </row>
    <row r="898" spans="3:14" x14ac:dyDescent="0.25">
      <c r="C898" t="str">
        <f>IF(COUNTBLANK(E898:K898) = 7,"",IF(AND(NOT(ISBLANK(E898)),COUNTBLANK(E898:K898) = 6),"3 Delete",IF(ISBLANK(E898),"2 Add",IF(SHA1Range(E898:K898) = "c425d09f4b4f23da4461b9ab0229040d4209ec5c","0 Original","1 Modify"))))</f>
        <v>0 Original</v>
      </c>
      <c r="D898" s="5" t="s">
        <v>3172</v>
      </c>
      <c r="E898" s="3">
        <v>1182</v>
      </c>
      <c r="F898" t="s">
        <v>1231</v>
      </c>
      <c r="G898" t="s">
        <v>945</v>
      </c>
      <c r="H898" s="9">
        <v>4.99</v>
      </c>
      <c r="I898" s="3">
        <v>2</v>
      </c>
      <c r="J898" s="5" t="s">
        <v>68</v>
      </c>
      <c r="K898" s="15">
        <v>41806.625497685185</v>
      </c>
      <c r="L898" s="20">
        <f t="shared" si="39"/>
        <v>41806</v>
      </c>
      <c r="M898" t="str">
        <f t="shared" si="40"/>
        <v>06-2014</v>
      </c>
      <c r="N898">
        <f t="shared" si="41"/>
        <v>9.98</v>
      </c>
    </row>
    <row r="899" spans="3:14" x14ac:dyDescent="0.25">
      <c r="C899" t="str">
        <f>IF(COUNTBLANK(E899:K899) = 7,"",IF(AND(NOT(ISBLANK(E899)),COUNTBLANK(E899:K899) = 6),"3 Delete",IF(ISBLANK(E899),"2 Add",IF(SHA1Range(E899:K899) = "c1a68cf5068f2f1b9e725f219ebe31b1a94a5dcc","0 Original","1 Modify"))))</f>
        <v>0 Original</v>
      </c>
      <c r="D899" s="5" t="s">
        <v>3173</v>
      </c>
      <c r="E899" s="3">
        <v>3500</v>
      </c>
      <c r="F899" t="s">
        <v>1232</v>
      </c>
      <c r="G899" t="s">
        <v>579</v>
      </c>
      <c r="H899" s="9">
        <v>9.99</v>
      </c>
      <c r="I899" s="3">
        <v>1</v>
      </c>
      <c r="J899" s="5" t="s">
        <v>68</v>
      </c>
      <c r="K899" s="15">
        <v>41806.91133101852</v>
      </c>
      <c r="L899" s="20">
        <f t="shared" ref="L899:L962" si="42">DATEVALUE(LEFT(F899,10))</f>
        <v>41806</v>
      </c>
      <c r="M899" t="str">
        <f t="shared" ref="M899:M962" si="43">TEXT(L899,"mm-yyyy")</f>
        <v>06-2014</v>
      </c>
      <c r="N899">
        <f t="shared" ref="N899:N962" si="44">H899*I899</f>
        <v>9.99</v>
      </c>
    </row>
    <row r="900" spans="3:14" x14ac:dyDescent="0.25">
      <c r="C900" t="str">
        <f>IF(COUNTBLANK(E900:K900) = 7,"",IF(AND(NOT(ISBLANK(E900)),COUNTBLANK(E900:K900) = 6),"3 Delete",IF(ISBLANK(E900),"2 Add",IF(SHA1Range(E900:K900) = "621fe9812f91bc9315562e02d1d2322d1d4c9c67","0 Original","1 Modify"))))</f>
        <v>0 Original</v>
      </c>
      <c r="D900" s="5" t="s">
        <v>3174</v>
      </c>
      <c r="E900" s="3">
        <v>3501</v>
      </c>
      <c r="F900" t="s">
        <v>1232</v>
      </c>
      <c r="G900" t="s">
        <v>579</v>
      </c>
      <c r="H900" s="9">
        <v>9.99</v>
      </c>
      <c r="I900" s="3">
        <v>1</v>
      </c>
      <c r="J900" s="5" t="s">
        <v>68</v>
      </c>
      <c r="K900" s="15">
        <v>41806.91133101852</v>
      </c>
      <c r="L900" s="20">
        <f t="shared" si="42"/>
        <v>41806</v>
      </c>
      <c r="M900" t="str">
        <f t="shared" si="43"/>
        <v>06-2014</v>
      </c>
      <c r="N900">
        <f t="shared" si="44"/>
        <v>9.99</v>
      </c>
    </row>
    <row r="901" spans="3:14" x14ac:dyDescent="0.25">
      <c r="C901" t="str">
        <f>IF(COUNTBLANK(E901:K901) = 7,"",IF(AND(NOT(ISBLANK(E901)),COUNTBLANK(E901:K901) = 6),"3 Delete",IF(ISBLANK(E901),"2 Add",IF(SHA1Range(E901:K901) = "a8d4862e776ded330f64bb67ca58eb7864962828","0 Original","1 Modify"))))</f>
        <v>0 Original</v>
      </c>
      <c r="D901" s="5" t="s">
        <v>3175</v>
      </c>
      <c r="E901" s="3">
        <v>3502</v>
      </c>
      <c r="F901" t="s">
        <v>1232</v>
      </c>
      <c r="G901" t="s">
        <v>948</v>
      </c>
      <c r="H901" s="9">
        <v>4.99</v>
      </c>
      <c r="I901" s="3">
        <v>2</v>
      </c>
      <c r="J901" s="5" t="s">
        <v>68</v>
      </c>
      <c r="K901" s="15">
        <v>41806.91133101852</v>
      </c>
      <c r="L901" s="20">
        <f t="shared" si="42"/>
        <v>41806</v>
      </c>
      <c r="M901" t="str">
        <f t="shared" si="43"/>
        <v>06-2014</v>
      </c>
      <c r="N901">
        <f t="shared" si="44"/>
        <v>9.98</v>
      </c>
    </row>
    <row r="902" spans="3:14" x14ac:dyDescent="0.25">
      <c r="C902" t="str">
        <f>IF(COUNTBLANK(E902:K902) = 7,"",IF(AND(NOT(ISBLANK(E902)),COUNTBLANK(E902:K902) = 6),"3 Delete",IF(ISBLANK(E902),"2 Add",IF(SHA1Range(E902:K902) = "1d106839cb124c398adc7b2d47d1c763faa9245d","0 Original","1 Modify"))))</f>
        <v>0 Original</v>
      </c>
      <c r="D902" s="5" t="s">
        <v>3176</v>
      </c>
      <c r="E902" s="3">
        <v>730</v>
      </c>
      <c r="F902" t="s">
        <v>1233</v>
      </c>
      <c r="G902" t="s">
        <v>563</v>
      </c>
      <c r="H902" s="9">
        <v>6.99</v>
      </c>
      <c r="I902" s="3">
        <v>1</v>
      </c>
      <c r="J902" s="5" t="s">
        <v>68</v>
      </c>
      <c r="K902" s="15">
        <v>41808.429942129631</v>
      </c>
      <c r="L902" s="20">
        <f t="shared" si="42"/>
        <v>41808</v>
      </c>
      <c r="M902" t="str">
        <f t="shared" si="43"/>
        <v>06-2014</v>
      </c>
      <c r="N902">
        <f t="shared" si="44"/>
        <v>6.99</v>
      </c>
    </row>
    <row r="903" spans="3:14" x14ac:dyDescent="0.25">
      <c r="C903" t="str">
        <f>IF(COUNTBLANK(E903:K903) = 7,"",IF(AND(NOT(ISBLANK(E903)),COUNTBLANK(E903:K903) = 6),"3 Delete",IF(ISBLANK(E903),"2 Add",IF(SHA1Range(E903:K903) = "a126808bdc18f99b927d72767e6e8c2eb3f828b3","0 Original","1 Modify"))))</f>
        <v>0 Original</v>
      </c>
      <c r="D903" s="5" t="s">
        <v>3177</v>
      </c>
      <c r="E903" s="3">
        <v>731</v>
      </c>
      <c r="F903" t="s">
        <v>1233</v>
      </c>
      <c r="G903" t="s">
        <v>690</v>
      </c>
      <c r="H903" s="9">
        <v>7.99</v>
      </c>
      <c r="I903" s="3">
        <v>1</v>
      </c>
      <c r="J903" s="5" t="s">
        <v>68</v>
      </c>
      <c r="K903" s="15">
        <v>41808.429942129631</v>
      </c>
      <c r="L903" s="20">
        <f t="shared" si="42"/>
        <v>41808</v>
      </c>
      <c r="M903" t="str">
        <f t="shared" si="43"/>
        <v>06-2014</v>
      </c>
      <c r="N903">
        <f t="shared" si="44"/>
        <v>7.99</v>
      </c>
    </row>
    <row r="904" spans="3:14" x14ac:dyDescent="0.25">
      <c r="C904" t="str">
        <f>IF(COUNTBLANK(E904:K904) = 7,"",IF(AND(NOT(ISBLANK(E904)),COUNTBLANK(E904:K904) = 6),"3 Delete",IF(ISBLANK(E904),"2 Add",IF(SHA1Range(E904:K904) = "ff51d4d18c0f50f27f38bf4f62109a68a6eb6202","0 Original","1 Modify"))))</f>
        <v>0 Original</v>
      </c>
      <c r="D904" s="5" t="s">
        <v>3178</v>
      </c>
      <c r="E904" s="3">
        <v>732</v>
      </c>
      <c r="F904" t="s">
        <v>1233</v>
      </c>
      <c r="G904" t="s">
        <v>792</v>
      </c>
      <c r="H904" s="9">
        <v>9.99</v>
      </c>
      <c r="I904" s="3">
        <v>2</v>
      </c>
      <c r="J904" s="5" t="s">
        <v>68</v>
      </c>
      <c r="K904" s="15">
        <v>41808.429942129631</v>
      </c>
      <c r="L904" s="20">
        <f t="shared" si="42"/>
        <v>41808</v>
      </c>
      <c r="M904" t="str">
        <f t="shared" si="43"/>
        <v>06-2014</v>
      </c>
      <c r="N904">
        <f t="shared" si="44"/>
        <v>19.98</v>
      </c>
    </row>
    <row r="905" spans="3:14" x14ac:dyDescent="0.25">
      <c r="C905" t="str">
        <f>IF(COUNTBLANK(E905:K905) = 7,"",IF(AND(NOT(ISBLANK(E905)),COUNTBLANK(E905:K905) = 6),"3 Delete",IF(ISBLANK(E905),"2 Add",IF(SHA1Range(E905:K905) = "1a7b8ac026c8d64c5b9d7f60812d3854f75fae9a","0 Original","1 Modify"))))</f>
        <v>0 Original</v>
      </c>
      <c r="D905" s="5" t="s">
        <v>3179</v>
      </c>
      <c r="E905" s="3">
        <v>733</v>
      </c>
      <c r="F905" t="s">
        <v>1233</v>
      </c>
      <c r="G905" t="s">
        <v>671</v>
      </c>
      <c r="H905" s="9">
        <v>6.99</v>
      </c>
      <c r="I905" s="3">
        <v>1</v>
      </c>
      <c r="J905" s="5" t="s">
        <v>68</v>
      </c>
      <c r="K905" s="15">
        <v>41808.429942129631</v>
      </c>
      <c r="L905" s="20">
        <f t="shared" si="42"/>
        <v>41808</v>
      </c>
      <c r="M905" t="str">
        <f t="shared" si="43"/>
        <v>06-2014</v>
      </c>
      <c r="N905">
        <f t="shared" si="44"/>
        <v>6.99</v>
      </c>
    </row>
    <row r="906" spans="3:14" x14ac:dyDescent="0.25">
      <c r="C906" t="str">
        <f>IF(COUNTBLANK(E906:K906) = 7,"",IF(AND(NOT(ISBLANK(E906)),COUNTBLANK(E906:K906) = 6),"3 Delete",IF(ISBLANK(E906),"2 Add",IF(SHA1Range(E906:K906) = "328b5f304afc09883207917fa3505feee3dc6f6d","0 Original","1 Modify"))))</f>
        <v>0 Original</v>
      </c>
      <c r="D906" s="5" t="s">
        <v>3180</v>
      </c>
      <c r="E906" s="3">
        <v>1192</v>
      </c>
      <c r="F906" t="s">
        <v>1234</v>
      </c>
      <c r="G906" t="s">
        <v>642</v>
      </c>
      <c r="H906" s="9">
        <v>9.99</v>
      </c>
      <c r="I906" s="3">
        <v>1</v>
      </c>
      <c r="J906" s="5" t="s">
        <v>68</v>
      </c>
      <c r="K906" s="15">
        <v>41808.689062500001</v>
      </c>
      <c r="L906" s="20">
        <f t="shared" si="42"/>
        <v>41808</v>
      </c>
      <c r="M906" t="str">
        <f t="shared" si="43"/>
        <v>06-2014</v>
      </c>
      <c r="N906">
        <f t="shared" si="44"/>
        <v>9.99</v>
      </c>
    </row>
    <row r="907" spans="3:14" x14ac:dyDescent="0.25">
      <c r="C907" t="str">
        <f>IF(COUNTBLANK(E907:K907) = 7,"",IF(AND(NOT(ISBLANK(E907)),COUNTBLANK(E907:K907) = 6),"3 Delete",IF(ISBLANK(E907),"2 Add",IF(SHA1Range(E907:K907) = "a904a409e56262e4d1d5608220eea2e65b332320","0 Original","1 Modify"))))</f>
        <v>0 Original</v>
      </c>
      <c r="D907" s="5" t="s">
        <v>3181</v>
      </c>
      <c r="E907" s="3">
        <v>1193</v>
      </c>
      <c r="F907" t="s">
        <v>1234</v>
      </c>
      <c r="G907" t="s">
        <v>942</v>
      </c>
      <c r="H907" s="9">
        <v>6.99</v>
      </c>
      <c r="I907" s="3">
        <v>1</v>
      </c>
      <c r="J907" s="5" t="s">
        <v>68</v>
      </c>
      <c r="K907" s="15">
        <v>41808.689062500001</v>
      </c>
      <c r="L907" s="20">
        <f t="shared" si="42"/>
        <v>41808</v>
      </c>
      <c r="M907" t="str">
        <f t="shared" si="43"/>
        <v>06-2014</v>
      </c>
      <c r="N907">
        <f t="shared" si="44"/>
        <v>6.99</v>
      </c>
    </row>
    <row r="908" spans="3:14" x14ac:dyDescent="0.25">
      <c r="C908" t="str">
        <f>IF(COUNTBLANK(E908:K908) = 7,"",IF(AND(NOT(ISBLANK(E908)),COUNTBLANK(E908:K908) = 6),"3 Delete",IF(ISBLANK(E908),"2 Add",IF(SHA1Range(E908:K908) = "51ee74054cbc9915fcc6883b34db62b61b894dfc","0 Original","1 Modify"))))</f>
        <v>0 Original</v>
      </c>
      <c r="D908" s="5" t="s">
        <v>3182</v>
      </c>
      <c r="E908" s="3">
        <v>1194</v>
      </c>
      <c r="F908" t="s">
        <v>1234</v>
      </c>
      <c r="G908" t="s">
        <v>761</v>
      </c>
      <c r="H908" s="9">
        <v>8.99</v>
      </c>
      <c r="I908" s="3">
        <v>1</v>
      </c>
      <c r="J908" s="5" t="s">
        <v>68</v>
      </c>
      <c r="K908" s="15">
        <v>41808.689062500001</v>
      </c>
      <c r="L908" s="20">
        <f t="shared" si="42"/>
        <v>41808</v>
      </c>
      <c r="M908" t="str">
        <f t="shared" si="43"/>
        <v>06-2014</v>
      </c>
      <c r="N908">
        <f t="shared" si="44"/>
        <v>8.99</v>
      </c>
    </row>
    <row r="909" spans="3:14" x14ac:dyDescent="0.25">
      <c r="C909" t="str">
        <f>IF(COUNTBLANK(E909:K909) = 7,"",IF(AND(NOT(ISBLANK(E909)),COUNTBLANK(E909:K909) = 6),"3 Delete",IF(ISBLANK(E909),"2 Add",IF(SHA1Range(E909:K909) = "c387ef838be5ca64a686dbcb410c6311159ebb60","0 Original","1 Modify"))))</f>
        <v>0 Original</v>
      </c>
      <c r="D909" s="5" t="s">
        <v>3183</v>
      </c>
      <c r="E909" s="3">
        <v>3134</v>
      </c>
      <c r="F909" t="s">
        <v>1235</v>
      </c>
      <c r="G909" t="s">
        <v>687</v>
      </c>
      <c r="H909" s="9">
        <v>9.99</v>
      </c>
      <c r="I909" s="3">
        <v>2</v>
      </c>
      <c r="J909" s="5" t="s">
        <v>68</v>
      </c>
      <c r="K909" s="15">
        <v>41809.112916666665</v>
      </c>
      <c r="L909" s="20">
        <f t="shared" si="42"/>
        <v>41809</v>
      </c>
      <c r="M909" t="str">
        <f t="shared" si="43"/>
        <v>06-2014</v>
      </c>
      <c r="N909">
        <f t="shared" si="44"/>
        <v>19.98</v>
      </c>
    </row>
    <row r="910" spans="3:14" x14ac:dyDescent="0.25">
      <c r="C910" t="str">
        <f>IF(COUNTBLANK(E910:K910) = 7,"",IF(AND(NOT(ISBLANK(E910)),COUNTBLANK(E910:K910) = 6),"3 Delete",IF(ISBLANK(E910),"2 Add",IF(SHA1Range(E910:K910) = "ea1dd533387008fceb8f17bc76d8bd3c721cb04c","0 Original","1 Modify"))))</f>
        <v>0 Original</v>
      </c>
      <c r="D910" s="5" t="s">
        <v>3184</v>
      </c>
      <c r="E910" s="3">
        <v>3135</v>
      </c>
      <c r="F910" t="s">
        <v>1235</v>
      </c>
      <c r="G910" t="s">
        <v>642</v>
      </c>
      <c r="H910" s="9">
        <v>9.99</v>
      </c>
      <c r="I910" s="3">
        <v>2</v>
      </c>
      <c r="J910" s="5" t="s">
        <v>68</v>
      </c>
      <c r="K910" s="15">
        <v>41809.112916666665</v>
      </c>
      <c r="L910" s="20">
        <f t="shared" si="42"/>
        <v>41809</v>
      </c>
      <c r="M910" t="str">
        <f t="shared" si="43"/>
        <v>06-2014</v>
      </c>
      <c r="N910">
        <f t="shared" si="44"/>
        <v>19.98</v>
      </c>
    </row>
    <row r="911" spans="3:14" x14ac:dyDescent="0.25">
      <c r="C911" t="str">
        <f>IF(COUNTBLANK(E911:K911) = 7,"",IF(AND(NOT(ISBLANK(E911)),COUNTBLANK(E911:K911) = 6),"3 Delete",IF(ISBLANK(E911),"2 Add",IF(SHA1Range(E911:K911) = "a0af8f95d04d329ec4af8e1e73d4308a2cecbabf","0 Original","1 Modify"))))</f>
        <v>0 Original</v>
      </c>
      <c r="D911" s="5" t="s">
        <v>3185</v>
      </c>
      <c r="E911" s="3">
        <v>2720</v>
      </c>
      <c r="F911" t="s">
        <v>1236</v>
      </c>
      <c r="G911" t="s">
        <v>373</v>
      </c>
      <c r="H911" s="9">
        <v>7.99</v>
      </c>
      <c r="I911" s="3">
        <v>1</v>
      </c>
      <c r="J911" s="5" t="s">
        <v>68</v>
      </c>
      <c r="K911" s="15">
        <v>41809.185555555552</v>
      </c>
      <c r="L911" s="20">
        <f t="shared" si="42"/>
        <v>41809</v>
      </c>
      <c r="M911" t="str">
        <f t="shared" si="43"/>
        <v>06-2014</v>
      </c>
      <c r="N911">
        <f t="shared" si="44"/>
        <v>7.99</v>
      </c>
    </row>
    <row r="912" spans="3:14" x14ac:dyDescent="0.25">
      <c r="C912" t="str">
        <f>IF(COUNTBLANK(E912:K912) = 7,"",IF(AND(NOT(ISBLANK(E912)),COUNTBLANK(E912:K912) = 6),"3 Delete",IF(ISBLANK(E912),"2 Add",IF(SHA1Range(E912:K912) = "12f3021d6835d1c317d557e9d559eaf1e5ae093f","0 Original","1 Modify"))))</f>
        <v>0 Original</v>
      </c>
      <c r="D912" s="5" t="s">
        <v>3186</v>
      </c>
      <c r="E912" s="3">
        <v>908</v>
      </c>
      <c r="F912" t="s">
        <v>1237</v>
      </c>
      <c r="G912" t="s">
        <v>690</v>
      </c>
      <c r="H912" s="9">
        <v>7.99</v>
      </c>
      <c r="I912" s="3">
        <v>1</v>
      </c>
      <c r="J912" s="5" t="s">
        <v>68</v>
      </c>
      <c r="K912" s="15">
        <v>41810.622361111113</v>
      </c>
      <c r="L912" s="20">
        <f t="shared" si="42"/>
        <v>41810</v>
      </c>
      <c r="M912" t="str">
        <f t="shared" si="43"/>
        <v>06-2014</v>
      </c>
      <c r="N912">
        <f t="shared" si="44"/>
        <v>7.99</v>
      </c>
    </row>
    <row r="913" spans="3:14" x14ac:dyDescent="0.25">
      <c r="C913" t="str">
        <f>IF(COUNTBLANK(E913:K913) = 7,"",IF(AND(NOT(ISBLANK(E913)),COUNTBLANK(E913:K913) = 6),"3 Delete",IF(ISBLANK(E913),"2 Add",IF(SHA1Range(E913:K913) = "cc5c2e6f424f7b57d99978a02454f2840c8ddaf8","0 Original","1 Modify"))))</f>
        <v>0 Original</v>
      </c>
      <c r="D913" s="5" t="s">
        <v>3187</v>
      </c>
      <c r="E913" s="3">
        <v>909</v>
      </c>
      <c r="F913" t="s">
        <v>1237</v>
      </c>
      <c r="G913" t="s">
        <v>642</v>
      </c>
      <c r="H913" s="9">
        <v>9.99</v>
      </c>
      <c r="I913" s="3">
        <v>2</v>
      </c>
      <c r="J913" s="5" t="s">
        <v>68</v>
      </c>
      <c r="K913" s="15">
        <v>41810.622361111113</v>
      </c>
      <c r="L913" s="20">
        <f t="shared" si="42"/>
        <v>41810</v>
      </c>
      <c r="M913" t="str">
        <f t="shared" si="43"/>
        <v>06-2014</v>
      </c>
      <c r="N913">
        <f t="shared" si="44"/>
        <v>19.98</v>
      </c>
    </row>
    <row r="914" spans="3:14" x14ac:dyDescent="0.25">
      <c r="C914" t="str">
        <f>IF(COUNTBLANK(E914:K914) = 7,"",IF(AND(NOT(ISBLANK(E914)),COUNTBLANK(E914:K914) = 6),"3 Delete",IF(ISBLANK(E914),"2 Add",IF(SHA1Range(E914:K914) = "e4b9474947b95976c359fe73c75fdfb0d66a3ae8","0 Original","1 Modify"))))</f>
        <v>0 Original</v>
      </c>
      <c r="D914" s="5" t="s">
        <v>3188</v>
      </c>
      <c r="E914" s="3">
        <v>910</v>
      </c>
      <c r="F914" t="s">
        <v>1237</v>
      </c>
      <c r="G914" t="s">
        <v>945</v>
      </c>
      <c r="H914" s="9">
        <v>4.99</v>
      </c>
      <c r="I914" s="3">
        <v>1</v>
      </c>
      <c r="J914" s="5" t="s">
        <v>68</v>
      </c>
      <c r="K914" s="15">
        <v>41810.622361111113</v>
      </c>
      <c r="L914" s="20">
        <f t="shared" si="42"/>
        <v>41810</v>
      </c>
      <c r="M914" t="str">
        <f t="shared" si="43"/>
        <v>06-2014</v>
      </c>
      <c r="N914">
        <f t="shared" si="44"/>
        <v>4.99</v>
      </c>
    </row>
    <row r="915" spans="3:14" x14ac:dyDescent="0.25">
      <c r="C915" t="str">
        <f>IF(COUNTBLANK(E915:K915) = 7,"",IF(AND(NOT(ISBLANK(E915)),COUNTBLANK(E915:K915) = 6),"3 Delete",IF(ISBLANK(E915),"2 Add",IF(SHA1Range(E915:K915) = "25bad0c301e73f509afe3223e4463de1dc9edd22","0 Original","1 Modify"))))</f>
        <v>0 Original</v>
      </c>
      <c r="D915" s="5" t="s">
        <v>3189</v>
      </c>
      <c r="E915" s="3">
        <v>911</v>
      </c>
      <c r="F915" t="s">
        <v>1237</v>
      </c>
      <c r="G915" t="s">
        <v>585</v>
      </c>
      <c r="H915" s="9">
        <v>9.99</v>
      </c>
      <c r="I915" s="3">
        <v>2</v>
      </c>
      <c r="J915" s="5" t="s">
        <v>68</v>
      </c>
      <c r="K915" s="15">
        <v>41810.622361111113</v>
      </c>
      <c r="L915" s="20">
        <f t="shared" si="42"/>
        <v>41810</v>
      </c>
      <c r="M915" t="str">
        <f t="shared" si="43"/>
        <v>06-2014</v>
      </c>
      <c r="N915">
        <f t="shared" si="44"/>
        <v>19.98</v>
      </c>
    </row>
    <row r="916" spans="3:14" x14ac:dyDescent="0.25">
      <c r="C916" t="str">
        <f>IF(COUNTBLANK(E916:K916) = 7,"",IF(AND(NOT(ISBLANK(E916)),COUNTBLANK(E916:K916) = 6),"3 Delete",IF(ISBLANK(E916),"2 Add",IF(SHA1Range(E916:K916) = "892df767e9f60da1256a7d78cde27812cd14f60c","0 Original","1 Modify"))))</f>
        <v>0 Original</v>
      </c>
      <c r="D916" s="5" t="s">
        <v>3190</v>
      </c>
      <c r="E916" s="3">
        <v>912</v>
      </c>
      <c r="F916" t="s">
        <v>1237</v>
      </c>
      <c r="G916" t="s">
        <v>690</v>
      </c>
      <c r="H916" s="9">
        <v>7.99</v>
      </c>
      <c r="I916" s="3">
        <v>1</v>
      </c>
      <c r="J916" s="5" t="s">
        <v>68</v>
      </c>
      <c r="K916" s="15">
        <v>41810.622361111113</v>
      </c>
      <c r="L916" s="20">
        <f t="shared" si="42"/>
        <v>41810</v>
      </c>
      <c r="M916" t="str">
        <f t="shared" si="43"/>
        <v>06-2014</v>
      </c>
      <c r="N916">
        <f t="shared" si="44"/>
        <v>7.99</v>
      </c>
    </row>
    <row r="917" spans="3:14" x14ac:dyDescent="0.25">
      <c r="C917" t="str">
        <f>IF(COUNTBLANK(E917:K917) = 7,"",IF(AND(NOT(ISBLANK(E917)),COUNTBLANK(E917:K917) = 6),"3 Delete",IF(ISBLANK(E917),"2 Add",IF(SHA1Range(E917:K917) = "0269f39ad3dfb63ecb2226431b81435ec26e8e40","0 Original","1 Modify"))))</f>
        <v>0 Original</v>
      </c>
      <c r="D917" s="5" t="s">
        <v>3191</v>
      </c>
      <c r="E917" s="3">
        <v>3956</v>
      </c>
      <c r="F917" t="s">
        <v>1238</v>
      </c>
      <c r="G917" t="s">
        <v>373</v>
      </c>
      <c r="H917" s="9">
        <v>7.99</v>
      </c>
      <c r="I917" s="3">
        <v>2</v>
      </c>
      <c r="J917" s="5" t="s">
        <v>68</v>
      </c>
      <c r="K917" s="15">
        <v>41810.6328587963</v>
      </c>
      <c r="L917" s="20">
        <f t="shared" si="42"/>
        <v>41810</v>
      </c>
      <c r="M917" t="str">
        <f t="shared" si="43"/>
        <v>06-2014</v>
      </c>
      <c r="N917">
        <f t="shared" si="44"/>
        <v>15.98</v>
      </c>
    </row>
    <row r="918" spans="3:14" x14ac:dyDescent="0.25">
      <c r="C918" t="str">
        <f>IF(COUNTBLANK(E918:K918) = 7,"",IF(AND(NOT(ISBLANK(E918)),COUNTBLANK(E918:K918) = 6),"3 Delete",IF(ISBLANK(E918),"2 Add",IF(SHA1Range(E918:K918) = "24ef4621e7c75e4ece2d20c070df6d581876fd4a","0 Original","1 Modify"))))</f>
        <v>0 Original</v>
      </c>
      <c r="D918" s="5" t="s">
        <v>3192</v>
      </c>
      <c r="E918" s="3">
        <v>3474</v>
      </c>
      <c r="F918" t="s">
        <v>1239</v>
      </c>
      <c r="G918" t="s">
        <v>707</v>
      </c>
      <c r="H918" s="9">
        <v>7.99</v>
      </c>
      <c r="I918" s="3">
        <v>2</v>
      </c>
      <c r="J918" s="5" t="s">
        <v>68</v>
      </c>
      <c r="K918" s="15">
        <v>41812.194675925923</v>
      </c>
      <c r="L918" s="20">
        <f t="shared" si="42"/>
        <v>41812</v>
      </c>
      <c r="M918" t="str">
        <f t="shared" si="43"/>
        <v>06-2014</v>
      </c>
      <c r="N918">
        <f t="shared" si="44"/>
        <v>15.98</v>
      </c>
    </row>
    <row r="919" spans="3:14" x14ac:dyDescent="0.25">
      <c r="C919" t="str">
        <f>IF(COUNTBLANK(E919:K919) = 7,"",IF(AND(NOT(ISBLANK(E919)),COUNTBLANK(E919:K919) = 6),"3 Delete",IF(ISBLANK(E919),"2 Add",IF(SHA1Range(E919:K919) = "ff52ea75900c87b3d361de73a7412ddf596b9dc5","0 Original","1 Modify"))))</f>
        <v>0 Original</v>
      </c>
      <c r="D919" s="5" t="s">
        <v>3193</v>
      </c>
      <c r="E919" s="3">
        <v>3475</v>
      </c>
      <c r="F919" t="s">
        <v>1239</v>
      </c>
      <c r="G919" t="s">
        <v>707</v>
      </c>
      <c r="H919" s="9">
        <v>7.99</v>
      </c>
      <c r="I919" s="3">
        <v>1</v>
      </c>
      <c r="J919" s="5" t="s">
        <v>68</v>
      </c>
      <c r="K919" s="15">
        <v>41812.194675925923</v>
      </c>
      <c r="L919" s="20">
        <f t="shared" si="42"/>
        <v>41812</v>
      </c>
      <c r="M919" t="str">
        <f t="shared" si="43"/>
        <v>06-2014</v>
      </c>
      <c r="N919">
        <f t="shared" si="44"/>
        <v>7.99</v>
      </c>
    </row>
    <row r="920" spans="3:14" x14ac:dyDescent="0.25">
      <c r="C920" t="str">
        <f>IF(COUNTBLANK(E920:K920) = 7,"",IF(AND(NOT(ISBLANK(E920)),COUNTBLANK(E920:K920) = 6),"3 Delete",IF(ISBLANK(E920),"2 Add",IF(SHA1Range(E920:K920) = "004c86e01f070d1a5c4bf4fc439a5ea75ee2b249","0 Original","1 Modify"))))</f>
        <v>0 Original</v>
      </c>
      <c r="D920" s="5" t="s">
        <v>3194</v>
      </c>
      <c r="E920" s="3">
        <v>1962</v>
      </c>
      <c r="F920" t="s">
        <v>1240</v>
      </c>
      <c r="G920" t="s">
        <v>955</v>
      </c>
      <c r="H920" s="9">
        <v>8.99</v>
      </c>
      <c r="I920" s="3">
        <v>1</v>
      </c>
      <c r="J920" s="5" t="s">
        <v>68</v>
      </c>
      <c r="K920" s="15">
        <v>41812.270243055558</v>
      </c>
      <c r="L920" s="20">
        <f t="shared" si="42"/>
        <v>41812</v>
      </c>
      <c r="M920" t="str">
        <f t="shared" si="43"/>
        <v>06-2014</v>
      </c>
      <c r="N920">
        <f t="shared" si="44"/>
        <v>8.99</v>
      </c>
    </row>
    <row r="921" spans="3:14" x14ac:dyDescent="0.25">
      <c r="C921" t="str">
        <f>IF(COUNTBLANK(E921:K921) = 7,"",IF(AND(NOT(ISBLANK(E921)),COUNTBLANK(E921:K921) = 6),"3 Delete",IF(ISBLANK(E921),"2 Add",IF(SHA1Range(E921:K921) = "68d855baad2ddd987035756f64dab58741f76520","0 Original","1 Modify"))))</f>
        <v>0 Original</v>
      </c>
      <c r="D921" s="5" t="s">
        <v>3195</v>
      </c>
      <c r="E921" s="3">
        <v>1963</v>
      </c>
      <c r="F921" t="s">
        <v>1240</v>
      </c>
      <c r="G921" t="s">
        <v>842</v>
      </c>
      <c r="H921" s="9">
        <v>4.99</v>
      </c>
      <c r="I921" s="3">
        <v>1</v>
      </c>
      <c r="J921" s="5" t="s">
        <v>68</v>
      </c>
      <c r="K921" s="15">
        <v>41812.270243055558</v>
      </c>
      <c r="L921" s="20">
        <f t="shared" si="42"/>
        <v>41812</v>
      </c>
      <c r="M921" t="str">
        <f t="shared" si="43"/>
        <v>06-2014</v>
      </c>
      <c r="N921">
        <f t="shared" si="44"/>
        <v>4.99</v>
      </c>
    </row>
    <row r="922" spans="3:14" x14ac:dyDescent="0.25">
      <c r="C922" t="str">
        <f>IF(COUNTBLANK(E922:K922) = 7,"",IF(AND(NOT(ISBLANK(E922)),COUNTBLANK(E922:K922) = 6),"3 Delete",IF(ISBLANK(E922),"2 Add",IF(SHA1Range(E922:K922) = "cd6f82c1269077005c8ee011137b7156386368ba","0 Original","1 Modify"))))</f>
        <v>0 Original</v>
      </c>
      <c r="D922" s="5" t="s">
        <v>3196</v>
      </c>
      <c r="E922" s="3">
        <v>1964</v>
      </c>
      <c r="F922" t="s">
        <v>1240</v>
      </c>
      <c r="G922" t="s">
        <v>560</v>
      </c>
      <c r="H922" s="9">
        <v>8.99</v>
      </c>
      <c r="I922" s="3">
        <v>1</v>
      </c>
      <c r="J922" s="5" t="s">
        <v>68</v>
      </c>
      <c r="K922" s="15">
        <v>41812.270243055558</v>
      </c>
      <c r="L922" s="20">
        <f t="shared" si="42"/>
        <v>41812</v>
      </c>
      <c r="M922" t="str">
        <f t="shared" si="43"/>
        <v>06-2014</v>
      </c>
      <c r="N922">
        <f t="shared" si="44"/>
        <v>8.99</v>
      </c>
    </row>
    <row r="923" spans="3:14" x14ac:dyDescent="0.25">
      <c r="C923" t="str">
        <f>IF(COUNTBLANK(E923:K923) = 7,"",IF(AND(NOT(ISBLANK(E923)),COUNTBLANK(E923:K923) = 6),"3 Delete",IF(ISBLANK(E923),"2 Add",IF(SHA1Range(E923:K923) = "4cdfa397ec43a1c90a41769ae992e483df707514","0 Original","1 Modify"))))</f>
        <v>0 Original</v>
      </c>
      <c r="D923" s="5" t="s">
        <v>3197</v>
      </c>
      <c r="E923" s="3">
        <v>1965</v>
      </c>
      <c r="F923" t="s">
        <v>1240</v>
      </c>
      <c r="G923" t="s">
        <v>482</v>
      </c>
      <c r="H923" s="9">
        <v>8.99</v>
      </c>
      <c r="I923" s="3">
        <v>2</v>
      </c>
      <c r="J923" s="5" t="s">
        <v>68</v>
      </c>
      <c r="K923" s="15">
        <v>41812.270243055558</v>
      </c>
      <c r="L923" s="20">
        <f t="shared" si="42"/>
        <v>41812</v>
      </c>
      <c r="M923" t="str">
        <f t="shared" si="43"/>
        <v>06-2014</v>
      </c>
      <c r="N923">
        <f t="shared" si="44"/>
        <v>17.98</v>
      </c>
    </row>
    <row r="924" spans="3:14" x14ac:dyDescent="0.25">
      <c r="C924" t="str">
        <f>IF(COUNTBLANK(E924:K924) = 7,"",IF(AND(NOT(ISBLANK(E924)),COUNTBLANK(E924:K924) = 6),"3 Delete",IF(ISBLANK(E924),"2 Add",IF(SHA1Range(E924:K924) = "da99126f339a19181cf04aec04e21de08d080e4d","0 Original","1 Modify"))))</f>
        <v>0 Original</v>
      </c>
      <c r="D924" s="5" t="s">
        <v>3198</v>
      </c>
      <c r="E924" s="3">
        <v>1157</v>
      </c>
      <c r="F924" t="s">
        <v>1241</v>
      </c>
      <c r="G924" t="s">
        <v>687</v>
      </c>
      <c r="H924" s="9">
        <v>9.99</v>
      </c>
      <c r="I924" s="3">
        <v>2</v>
      </c>
      <c r="J924" s="5" t="s">
        <v>68</v>
      </c>
      <c r="K924" s="15">
        <v>41812.343877314815</v>
      </c>
      <c r="L924" s="20">
        <f t="shared" si="42"/>
        <v>41812</v>
      </c>
      <c r="M924" t="str">
        <f t="shared" si="43"/>
        <v>06-2014</v>
      </c>
      <c r="N924">
        <f t="shared" si="44"/>
        <v>19.98</v>
      </c>
    </row>
    <row r="925" spans="3:14" x14ac:dyDescent="0.25">
      <c r="C925" t="str">
        <f>IF(COUNTBLANK(E925:K925) = 7,"",IF(AND(NOT(ISBLANK(E925)),COUNTBLANK(E925:K925) = 6),"3 Delete",IF(ISBLANK(E925),"2 Add",IF(SHA1Range(E925:K925) = "fd477dddaf2ee0ae5e7c5664f51bcdba9000aabc","0 Original","1 Modify"))))</f>
        <v>0 Original</v>
      </c>
      <c r="D925" s="5" t="s">
        <v>3199</v>
      </c>
      <c r="E925" s="3">
        <v>1158</v>
      </c>
      <c r="F925" t="s">
        <v>1241</v>
      </c>
      <c r="G925" t="s">
        <v>771</v>
      </c>
      <c r="H925" s="9">
        <v>9.99</v>
      </c>
      <c r="I925" s="3">
        <v>1</v>
      </c>
      <c r="J925" s="5" t="s">
        <v>68</v>
      </c>
      <c r="K925" s="15">
        <v>41812.343877314815</v>
      </c>
      <c r="L925" s="20">
        <f t="shared" si="42"/>
        <v>41812</v>
      </c>
      <c r="M925" t="str">
        <f t="shared" si="43"/>
        <v>06-2014</v>
      </c>
      <c r="N925">
        <f t="shared" si="44"/>
        <v>9.99</v>
      </c>
    </row>
    <row r="926" spans="3:14" x14ac:dyDescent="0.25">
      <c r="C926" t="str">
        <f>IF(COUNTBLANK(E926:K926) = 7,"",IF(AND(NOT(ISBLANK(E926)),COUNTBLANK(E926:K926) = 6),"3 Delete",IF(ISBLANK(E926),"2 Add",IF(SHA1Range(E926:K926) = "12d7c2886d86c46f985c3973e87b454476523072","0 Original","1 Modify"))))</f>
        <v>0 Original</v>
      </c>
      <c r="D926" s="5" t="s">
        <v>3200</v>
      </c>
      <c r="E926" s="3">
        <v>1183</v>
      </c>
      <c r="F926" t="s">
        <v>1242</v>
      </c>
      <c r="G926" t="s">
        <v>528</v>
      </c>
      <c r="H926" s="9">
        <v>5.99</v>
      </c>
      <c r="I926" s="3">
        <v>1</v>
      </c>
      <c r="J926" s="5" t="s">
        <v>68</v>
      </c>
      <c r="K926" s="15">
        <v>41812.817569444444</v>
      </c>
      <c r="L926" s="20">
        <f t="shared" si="42"/>
        <v>41812</v>
      </c>
      <c r="M926" t="str">
        <f t="shared" si="43"/>
        <v>06-2014</v>
      </c>
      <c r="N926">
        <f t="shared" si="44"/>
        <v>5.99</v>
      </c>
    </row>
    <row r="927" spans="3:14" x14ac:dyDescent="0.25">
      <c r="C927" t="str">
        <f>IF(COUNTBLANK(E927:K927) = 7,"",IF(AND(NOT(ISBLANK(E927)),COUNTBLANK(E927:K927) = 6),"3 Delete",IF(ISBLANK(E927),"2 Add",IF(SHA1Range(E927:K927) = "e6fa37ba5be79a366acc9aa52c0ba06535f70503","0 Original","1 Modify"))))</f>
        <v>0 Original</v>
      </c>
      <c r="D927" s="5" t="s">
        <v>3201</v>
      </c>
      <c r="E927" s="3">
        <v>1184</v>
      </c>
      <c r="F927" t="s">
        <v>1242</v>
      </c>
      <c r="G927" t="s">
        <v>945</v>
      </c>
      <c r="H927" s="9">
        <v>4.99</v>
      </c>
      <c r="I927" s="3">
        <v>1</v>
      </c>
      <c r="J927" s="5" t="s">
        <v>68</v>
      </c>
      <c r="K927" s="15">
        <v>41812.817569444444</v>
      </c>
      <c r="L927" s="20">
        <f t="shared" si="42"/>
        <v>41812</v>
      </c>
      <c r="M927" t="str">
        <f t="shared" si="43"/>
        <v>06-2014</v>
      </c>
      <c r="N927">
        <f t="shared" si="44"/>
        <v>4.99</v>
      </c>
    </row>
    <row r="928" spans="3:14" x14ac:dyDescent="0.25">
      <c r="C928" t="str">
        <f>IF(COUNTBLANK(E928:K928) = 7,"",IF(AND(NOT(ISBLANK(E928)),COUNTBLANK(E928:K928) = 6),"3 Delete",IF(ISBLANK(E928),"2 Add",IF(SHA1Range(E928:K928) = "de44bffe79860814ef76ad76e65a58632f09e07d","0 Original","1 Modify"))))</f>
        <v>0 Original</v>
      </c>
      <c r="D928" s="5" t="s">
        <v>3202</v>
      </c>
      <c r="E928" s="3">
        <v>1185</v>
      </c>
      <c r="F928" t="s">
        <v>1242</v>
      </c>
      <c r="G928" t="s">
        <v>548</v>
      </c>
      <c r="H928" s="9">
        <v>5.99</v>
      </c>
      <c r="I928" s="3">
        <v>1</v>
      </c>
      <c r="J928" s="5" t="s">
        <v>68</v>
      </c>
      <c r="K928" s="15">
        <v>41812.817569444444</v>
      </c>
      <c r="L928" s="20">
        <f t="shared" si="42"/>
        <v>41812</v>
      </c>
      <c r="M928" t="str">
        <f t="shared" si="43"/>
        <v>06-2014</v>
      </c>
      <c r="N928">
        <f t="shared" si="44"/>
        <v>5.99</v>
      </c>
    </row>
    <row r="929" spans="3:14" x14ac:dyDescent="0.25">
      <c r="C929" t="str">
        <f>IF(COUNTBLANK(E929:K929) = 7,"",IF(AND(NOT(ISBLANK(E929)),COUNTBLANK(E929:K929) = 6),"3 Delete",IF(ISBLANK(E929),"2 Add",IF(SHA1Range(E929:K929) = "43bb0197796c302ffc55d489dd2aebf30fba6816","0 Original","1 Modify"))))</f>
        <v>0 Original</v>
      </c>
      <c r="D929" s="5" t="s">
        <v>3203</v>
      </c>
      <c r="E929" s="3">
        <v>1186</v>
      </c>
      <c r="F929" t="s">
        <v>1242</v>
      </c>
      <c r="G929" t="s">
        <v>507</v>
      </c>
      <c r="H929" s="9">
        <v>6.99</v>
      </c>
      <c r="I929" s="3">
        <v>2</v>
      </c>
      <c r="J929" s="5" t="s">
        <v>68</v>
      </c>
      <c r="K929" s="15">
        <v>41812.817569444444</v>
      </c>
      <c r="L929" s="20">
        <f t="shared" si="42"/>
        <v>41812</v>
      </c>
      <c r="M929" t="str">
        <f t="shared" si="43"/>
        <v>06-2014</v>
      </c>
      <c r="N929">
        <f t="shared" si="44"/>
        <v>13.98</v>
      </c>
    </row>
    <row r="930" spans="3:14" x14ac:dyDescent="0.25">
      <c r="C930" t="str">
        <f>IF(COUNTBLANK(E930:K930) = 7,"",IF(AND(NOT(ISBLANK(E930)),COUNTBLANK(E930:K930) = 6),"3 Delete",IF(ISBLANK(E930),"2 Add",IF(SHA1Range(E930:K930) = "824f5ff475bf1c8ed8a4cc89bdca6d3e793f2868","0 Original","1 Modify"))))</f>
        <v>0 Original</v>
      </c>
      <c r="D930" s="5" t="s">
        <v>3204</v>
      </c>
      <c r="E930" s="3">
        <v>1187</v>
      </c>
      <c r="F930" t="s">
        <v>1242</v>
      </c>
      <c r="G930" t="s">
        <v>671</v>
      </c>
      <c r="H930" s="9">
        <v>6.99</v>
      </c>
      <c r="I930" s="3">
        <v>1</v>
      </c>
      <c r="J930" s="5" t="s">
        <v>68</v>
      </c>
      <c r="K930" s="15">
        <v>41812.817569444444</v>
      </c>
      <c r="L930" s="20">
        <f t="shared" si="42"/>
        <v>41812</v>
      </c>
      <c r="M930" t="str">
        <f t="shared" si="43"/>
        <v>06-2014</v>
      </c>
      <c r="N930">
        <f t="shared" si="44"/>
        <v>6.99</v>
      </c>
    </row>
    <row r="931" spans="3:14" x14ac:dyDescent="0.25">
      <c r="C931" t="str">
        <f>IF(COUNTBLANK(E931:K931) = 7,"",IF(AND(NOT(ISBLANK(E931)),COUNTBLANK(E931:K931) = 6),"3 Delete",IF(ISBLANK(E931),"2 Add",IF(SHA1Range(E931:K931) = "9034c576fd35a69de813ed55c46e039efbe36c7f","0 Original","1 Modify"))))</f>
        <v>0 Original</v>
      </c>
      <c r="D931" s="5" t="s">
        <v>3205</v>
      </c>
      <c r="E931" s="3">
        <v>1188</v>
      </c>
      <c r="F931" t="s">
        <v>1242</v>
      </c>
      <c r="G931" t="s">
        <v>854</v>
      </c>
      <c r="H931" s="9">
        <v>8.99</v>
      </c>
      <c r="I931" s="3">
        <v>1</v>
      </c>
      <c r="J931" s="5" t="s">
        <v>68</v>
      </c>
      <c r="K931" s="15">
        <v>41812.817569444444</v>
      </c>
      <c r="L931" s="20">
        <f t="shared" si="42"/>
        <v>41812</v>
      </c>
      <c r="M931" t="str">
        <f t="shared" si="43"/>
        <v>06-2014</v>
      </c>
      <c r="N931">
        <f t="shared" si="44"/>
        <v>8.99</v>
      </c>
    </row>
    <row r="932" spans="3:14" x14ac:dyDescent="0.25">
      <c r="C932" t="str">
        <f>IF(COUNTBLANK(E932:K932) = 7,"",IF(AND(NOT(ISBLANK(E932)),COUNTBLANK(E932:K932) = 6),"3 Delete",IF(ISBLANK(E932),"2 Add",IF(SHA1Range(E932:K932) = "d81159b62b4d74c8a1244247ad3e18517d8ab52e","0 Original","1 Modify"))))</f>
        <v>0 Original</v>
      </c>
      <c r="D932" s="5" t="s">
        <v>3206</v>
      </c>
      <c r="E932" s="3">
        <v>1189</v>
      </c>
      <c r="F932" t="s">
        <v>1242</v>
      </c>
      <c r="G932" t="s">
        <v>600</v>
      </c>
      <c r="H932" s="9">
        <v>5.99</v>
      </c>
      <c r="I932" s="3">
        <v>2</v>
      </c>
      <c r="J932" s="5" t="s">
        <v>68</v>
      </c>
      <c r="K932" s="15">
        <v>41812.817569444444</v>
      </c>
      <c r="L932" s="20">
        <f t="shared" si="42"/>
        <v>41812</v>
      </c>
      <c r="M932" t="str">
        <f t="shared" si="43"/>
        <v>06-2014</v>
      </c>
      <c r="N932">
        <f t="shared" si="44"/>
        <v>11.98</v>
      </c>
    </row>
    <row r="933" spans="3:14" x14ac:dyDescent="0.25">
      <c r="C933" t="str">
        <f>IF(COUNTBLANK(E933:K933) = 7,"",IF(AND(NOT(ISBLANK(E933)),COUNTBLANK(E933:K933) = 6),"3 Delete",IF(ISBLANK(E933),"2 Add",IF(SHA1Range(E933:K933) = "82a35cc9d73a7a6cfaa55f7e72e2b224ed80ca0c","0 Original","1 Modify"))))</f>
        <v>0 Original</v>
      </c>
      <c r="D933" s="5" t="s">
        <v>3207</v>
      </c>
      <c r="E933" s="3">
        <v>1190</v>
      </c>
      <c r="F933" t="s">
        <v>1242</v>
      </c>
      <c r="G933" t="s">
        <v>396</v>
      </c>
      <c r="H933" s="9">
        <v>8.99</v>
      </c>
      <c r="I933" s="3">
        <v>1</v>
      </c>
      <c r="J933" s="5" t="s">
        <v>68</v>
      </c>
      <c r="K933" s="15">
        <v>41812.817569444444</v>
      </c>
      <c r="L933" s="20">
        <f t="shared" si="42"/>
        <v>41812</v>
      </c>
      <c r="M933" t="str">
        <f t="shared" si="43"/>
        <v>06-2014</v>
      </c>
      <c r="N933">
        <f t="shared" si="44"/>
        <v>8.99</v>
      </c>
    </row>
    <row r="934" spans="3:14" x14ac:dyDescent="0.25">
      <c r="C934" t="str">
        <f>IF(COUNTBLANK(E934:K934) = 7,"",IF(AND(NOT(ISBLANK(E934)),COUNTBLANK(E934:K934) = 6),"3 Delete",IF(ISBLANK(E934),"2 Add",IF(SHA1Range(E934:K934) = "9cf5d78c6a2dd1b84c00f68f0bd3e822e0fa03d9","0 Original","1 Modify"))))</f>
        <v>0 Original</v>
      </c>
      <c r="D934" s="5" t="s">
        <v>3208</v>
      </c>
      <c r="E934" s="3">
        <v>2789</v>
      </c>
      <c r="F934" t="s">
        <v>1243</v>
      </c>
      <c r="G934" t="s">
        <v>948</v>
      </c>
      <c r="H934" s="9">
        <v>4.99</v>
      </c>
      <c r="I934" s="3">
        <v>1</v>
      </c>
      <c r="J934" s="5" t="s">
        <v>68</v>
      </c>
      <c r="K934" s="15">
        <v>41813.308530092596</v>
      </c>
      <c r="L934" s="20">
        <f t="shared" si="42"/>
        <v>41813</v>
      </c>
      <c r="M934" t="str">
        <f t="shared" si="43"/>
        <v>06-2014</v>
      </c>
      <c r="N934">
        <f t="shared" si="44"/>
        <v>4.99</v>
      </c>
    </row>
    <row r="935" spans="3:14" x14ac:dyDescent="0.25">
      <c r="C935" t="str">
        <f>IF(COUNTBLANK(E935:K935) = 7,"",IF(AND(NOT(ISBLANK(E935)),COUNTBLANK(E935:K935) = 6),"3 Delete",IF(ISBLANK(E935),"2 Add",IF(SHA1Range(E935:K935) = "6eb750bd5b05911bc132424b2f69987956343386","0 Original","1 Modify"))))</f>
        <v>0 Original</v>
      </c>
      <c r="D935" s="5" t="s">
        <v>3209</v>
      </c>
      <c r="E935" s="3">
        <v>2790</v>
      </c>
      <c r="F935" t="s">
        <v>1243</v>
      </c>
      <c r="G935" t="s">
        <v>948</v>
      </c>
      <c r="H935" s="9">
        <v>4.99</v>
      </c>
      <c r="I935" s="3">
        <v>1</v>
      </c>
      <c r="J935" s="5" t="s">
        <v>68</v>
      </c>
      <c r="K935" s="15">
        <v>41813.308530092596</v>
      </c>
      <c r="L935" s="20">
        <f t="shared" si="42"/>
        <v>41813</v>
      </c>
      <c r="M935" t="str">
        <f t="shared" si="43"/>
        <v>06-2014</v>
      </c>
      <c r="N935">
        <f t="shared" si="44"/>
        <v>4.99</v>
      </c>
    </row>
    <row r="936" spans="3:14" x14ac:dyDescent="0.25">
      <c r="C936" t="str">
        <f>IF(COUNTBLANK(E936:K936) = 7,"",IF(AND(NOT(ISBLANK(E936)),COUNTBLANK(E936:K936) = 6),"3 Delete",IF(ISBLANK(E936),"2 Add",IF(SHA1Range(E936:K936) = "cb0dc132c3d73bee89f0c254fc6fc4d3b3241857","0 Original","1 Modify"))))</f>
        <v>0 Original</v>
      </c>
      <c r="D936" s="5" t="s">
        <v>3210</v>
      </c>
      <c r="E936" s="3">
        <v>2791</v>
      </c>
      <c r="F936" t="s">
        <v>1243</v>
      </c>
      <c r="G936" t="s">
        <v>749</v>
      </c>
      <c r="H936" s="9">
        <v>5.99</v>
      </c>
      <c r="I936" s="3">
        <v>1</v>
      </c>
      <c r="J936" s="5" t="s">
        <v>68</v>
      </c>
      <c r="K936" s="15">
        <v>41813.308530092596</v>
      </c>
      <c r="L936" s="20">
        <f t="shared" si="42"/>
        <v>41813</v>
      </c>
      <c r="M936" t="str">
        <f t="shared" si="43"/>
        <v>06-2014</v>
      </c>
      <c r="N936">
        <f t="shared" si="44"/>
        <v>5.99</v>
      </c>
    </row>
    <row r="937" spans="3:14" x14ac:dyDescent="0.25">
      <c r="C937" t="str">
        <f>IF(COUNTBLANK(E937:K937) = 7,"",IF(AND(NOT(ISBLANK(E937)),COUNTBLANK(E937:K937) = 6),"3 Delete",IF(ISBLANK(E937),"2 Add",IF(SHA1Range(E937:K937) = "6d39a933b42c89760c2252bff2906298bc26a569","0 Original","1 Modify"))))</f>
        <v>0 Original</v>
      </c>
      <c r="D937" s="5" t="s">
        <v>3211</v>
      </c>
      <c r="E937" s="3">
        <v>2792</v>
      </c>
      <c r="F937" t="s">
        <v>1243</v>
      </c>
      <c r="G937" t="s">
        <v>749</v>
      </c>
      <c r="H937" s="9">
        <v>5.99</v>
      </c>
      <c r="I937" s="3">
        <v>2</v>
      </c>
      <c r="J937" s="5" t="s">
        <v>68</v>
      </c>
      <c r="K937" s="15">
        <v>41813.308530092596</v>
      </c>
      <c r="L937" s="20">
        <f t="shared" si="42"/>
        <v>41813</v>
      </c>
      <c r="M937" t="str">
        <f t="shared" si="43"/>
        <v>06-2014</v>
      </c>
      <c r="N937">
        <f t="shared" si="44"/>
        <v>11.98</v>
      </c>
    </row>
    <row r="938" spans="3:14" x14ac:dyDescent="0.25">
      <c r="C938" t="str">
        <f>IF(COUNTBLANK(E938:K938) = 7,"",IF(AND(NOT(ISBLANK(E938)),COUNTBLANK(E938:K938) = 6),"3 Delete",IF(ISBLANK(E938),"2 Add",IF(SHA1Range(E938:K938) = "1efa2c62013bce80e1f39bc33ad93cb89c274da9","0 Original","1 Modify"))))</f>
        <v>0 Original</v>
      </c>
      <c r="D938" s="5" t="s">
        <v>3212</v>
      </c>
      <c r="E938" s="3">
        <v>3841</v>
      </c>
      <c r="F938" t="s">
        <v>1244</v>
      </c>
      <c r="G938" t="s">
        <v>948</v>
      </c>
      <c r="H938" s="9">
        <v>4.99</v>
      </c>
      <c r="I938" s="3">
        <v>2</v>
      </c>
      <c r="J938" s="5" t="s">
        <v>68</v>
      </c>
      <c r="K938" s="15">
        <v>41813.608483796299</v>
      </c>
      <c r="L938" s="20">
        <f t="shared" si="42"/>
        <v>41813</v>
      </c>
      <c r="M938" t="str">
        <f t="shared" si="43"/>
        <v>06-2014</v>
      </c>
      <c r="N938">
        <f t="shared" si="44"/>
        <v>9.98</v>
      </c>
    </row>
    <row r="939" spans="3:14" x14ac:dyDescent="0.25">
      <c r="C939" t="str">
        <f>IF(COUNTBLANK(E939:K939) = 7,"",IF(AND(NOT(ISBLANK(E939)),COUNTBLANK(E939:K939) = 6),"3 Delete",IF(ISBLANK(E939),"2 Add",IF(SHA1Range(E939:K939) = "c42b8d738cd16be6c19eee2d1db9aff4402135fe","0 Original","1 Modify"))))</f>
        <v>0 Original</v>
      </c>
      <c r="D939" s="5" t="s">
        <v>3213</v>
      </c>
      <c r="E939" s="3">
        <v>1869</v>
      </c>
      <c r="F939" t="s">
        <v>1245</v>
      </c>
      <c r="G939" t="s">
        <v>514</v>
      </c>
      <c r="H939" s="9">
        <v>6.99</v>
      </c>
      <c r="I939" s="3">
        <v>2</v>
      </c>
      <c r="J939" s="5" t="s">
        <v>68</v>
      </c>
      <c r="K939" s="15">
        <v>41814.657812500001</v>
      </c>
      <c r="L939" s="20">
        <f t="shared" si="42"/>
        <v>41814</v>
      </c>
      <c r="M939" t="str">
        <f t="shared" si="43"/>
        <v>06-2014</v>
      </c>
      <c r="N939">
        <f t="shared" si="44"/>
        <v>13.98</v>
      </c>
    </row>
    <row r="940" spans="3:14" x14ac:dyDescent="0.25">
      <c r="C940" t="str">
        <f>IF(COUNTBLANK(E940:K940) = 7,"",IF(AND(NOT(ISBLANK(E940)),COUNTBLANK(E940:K940) = 6),"3 Delete",IF(ISBLANK(E940),"2 Add",IF(SHA1Range(E940:K940) = "82c626c685c9a265f5fa03222903d7d3a2f403ba","0 Original","1 Modify"))))</f>
        <v>0 Original</v>
      </c>
      <c r="D940" s="5" t="s">
        <v>3214</v>
      </c>
      <c r="E940" s="3">
        <v>1870</v>
      </c>
      <c r="F940" t="s">
        <v>1245</v>
      </c>
      <c r="G940" t="s">
        <v>563</v>
      </c>
      <c r="H940" s="9">
        <v>6.99</v>
      </c>
      <c r="I940" s="3">
        <v>1</v>
      </c>
      <c r="J940" s="5" t="s">
        <v>68</v>
      </c>
      <c r="K940" s="15">
        <v>41814.657812500001</v>
      </c>
      <c r="L940" s="20">
        <f t="shared" si="42"/>
        <v>41814</v>
      </c>
      <c r="M940" t="str">
        <f t="shared" si="43"/>
        <v>06-2014</v>
      </c>
      <c r="N940">
        <f t="shared" si="44"/>
        <v>6.99</v>
      </c>
    </row>
    <row r="941" spans="3:14" x14ac:dyDescent="0.25">
      <c r="C941" t="str">
        <f>IF(COUNTBLANK(E941:K941) = 7,"",IF(AND(NOT(ISBLANK(E941)),COUNTBLANK(E941:K941) = 6),"3 Delete",IF(ISBLANK(E941),"2 Add",IF(SHA1Range(E941:K941) = "a78aadcd405abc22b6e616ac6ff94cf64bc3ea18","0 Original","1 Modify"))))</f>
        <v>0 Original</v>
      </c>
      <c r="D941" s="5" t="s">
        <v>3215</v>
      </c>
      <c r="E941" s="3">
        <v>1305</v>
      </c>
      <c r="F941" t="s">
        <v>1246</v>
      </c>
      <c r="G941" t="s">
        <v>935</v>
      </c>
      <c r="H941" s="9">
        <v>6.99</v>
      </c>
      <c r="I941" s="3">
        <v>1</v>
      </c>
      <c r="J941" s="5" t="s">
        <v>68</v>
      </c>
      <c r="K941" s="15">
        <v>41815.036400462966</v>
      </c>
      <c r="L941" s="20">
        <f t="shared" si="42"/>
        <v>41815</v>
      </c>
      <c r="M941" t="str">
        <f t="shared" si="43"/>
        <v>06-2014</v>
      </c>
      <c r="N941">
        <f t="shared" si="44"/>
        <v>6.99</v>
      </c>
    </row>
    <row r="942" spans="3:14" x14ac:dyDescent="0.25">
      <c r="C942" t="str">
        <f>IF(COUNTBLANK(E942:K942) = 7,"",IF(AND(NOT(ISBLANK(E942)),COUNTBLANK(E942:K942) = 6),"3 Delete",IF(ISBLANK(E942),"2 Add",IF(SHA1Range(E942:K942) = "8a79ccd3a93cefad57f1245cc50148c540ce0d09","0 Original","1 Modify"))))</f>
        <v>0 Original</v>
      </c>
      <c r="D942" s="5" t="s">
        <v>3216</v>
      </c>
      <c r="E942" s="3">
        <v>3033</v>
      </c>
      <c r="F942" t="s">
        <v>1247</v>
      </c>
      <c r="G942" t="s">
        <v>749</v>
      </c>
      <c r="H942" s="9">
        <v>5.99</v>
      </c>
      <c r="I942" s="3">
        <v>1</v>
      </c>
      <c r="J942" s="5" t="s">
        <v>68</v>
      </c>
      <c r="K942" s="15">
        <v>41815.150543981479</v>
      </c>
      <c r="L942" s="20">
        <f t="shared" si="42"/>
        <v>41815</v>
      </c>
      <c r="M942" t="str">
        <f t="shared" si="43"/>
        <v>06-2014</v>
      </c>
      <c r="N942">
        <f t="shared" si="44"/>
        <v>5.99</v>
      </c>
    </row>
    <row r="943" spans="3:14" x14ac:dyDescent="0.25">
      <c r="C943" t="str">
        <f>IF(COUNTBLANK(E943:K943) = 7,"",IF(AND(NOT(ISBLANK(E943)),COUNTBLANK(E943:K943) = 6),"3 Delete",IF(ISBLANK(E943),"2 Add",IF(SHA1Range(E943:K943) = "e335179bce8cff31a04fdd80e264ebaa6035a60b","0 Original","1 Modify"))))</f>
        <v>0 Original</v>
      </c>
      <c r="D943" s="5" t="s">
        <v>3217</v>
      </c>
      <c r="E943" s="3">
        <v>3034</v>
      </c>
      <c r="F943" t="s">
        <v>1247</v>
      </c>
      <c r="G943" t="s">
        <v>552</v>
      </c>
      <c r="H943" s="9">
        <v>6.99</v>
      </c>
      <c r="I943" s="3">
        <v>1</v>
      </c>
      <c r="J943" s="5" t="s">
        <v>68</v>
      </c>
      <c r="K943" s="15">
        <v>41815.150543981479</v>
      </c>
      <c r="L943" s="20">
        <f t="shared" si="42"/>
        <v>41815</v>
      </c>
      <c r="M943" t="str">
        <f t="shared" si="43"/>
        <v>06-2014</v>
      </c>
      <c r="N943">
        <f t="shared" si="44"/>
        <v>6.99</v>
      </c>
    </row>
    <row r="944" spans="3:14" x14ac:dyDescent="0.25">
      <c r="C944" t="str">
        <f>IF(COUNTBLANK(E944:K944) = 7,"",IF(AND(NOT(ISBLANK(E944)),COUNTBLANK(E944:K944) = 6),"3 Delete",IF(ISBLANK(E944),"2 Add",IF(SHA1Range(E944:K944) = "35aab5ab539ef419dc0796e86b90cbe88d1b0b67","0 Original","1 Modify"))))</f>
        <v>0 Original</v>
      </c>
      <c r="D944" s="5" t="s">
        <v>3218</v>
      </c>
      <c r="E944" s="3">
        <v>3035</v>
      </c>
      <c r="F944" t="s">
        <v>1247</v>
      </c>
      <c r="G944" t="s">
        <v>687</v>
      </c>
      <c r="H944" s="9">
        <v>9.99</v>
      </c>
      <c r="I944" s="3">
        <v>1</v>
      </c>
      <c r="J944" s="5" t="s">
        <v>68</v>
      </c>
      <c r="K944" s="15">
        <v>41815.150543981479</v>
      </c>
      <c r="L944" s="20">
        <f t="shared" si="42"/>
        <v>41815</v>
      </c>
      <c r="M944" t="str">
        <f t="shared" si="43"/>
        <v>06-2014</v>
      </c>
      <c r="N944">
        <f t="shared" si="44"/>
        <v>9.99</v>
      </c>
    </row>
    <row r="945" spans="3:14" x14ac:dyDescent="0.25">
      <c r="C945" t="str">
        <f>IF(COUNTBLANK(E945:K945) = 7,"",IF(AND(NOT(ISBLANK(E945)),COUNTBLANK(E945:K945) = 6),"3 Delete",IF(ISBLANK(E945),"2 Add",IF(SHA1Range(E945:K945) = "f1f06227ee097aeef6e14481510b94f56018d42d","0 Original","1 Modify"))))</f>
        <v>0 Original</v>
      </c>
      <c r="D945" s="5" t="s">
        <v>3219</v>
      </c>
      <c r="E945" s="3">
        <v>3036</v>
      </c>
      <c r="F945" t="s">
        <v>1247</v>
      </c>
      <c r="G945" t="s">
        <v>749</v>
      </c>
      <c r="H945" s="9">
        <v>5.99</v>
      </c>
      <c r="I945" s="3">
        <v>1</v>
      </c>
      <c r="J945" s="5" t="s">
        <v>68</v>
      </c>
      <c r="K945" s="15">
        <v>41815.150543981479</v>
      </c>
      <c r="L945" s="20">
        <f t="shared" si="42"/>
        <v>41815</v>
      </c>
      <c r="M945" t="str">
        <f t="shared" si="43"/>
        <v>06-2014</v>
      </c>
      <c r="N945">
        <f t="shared" si="44"/>
        <v>5.99</v>
      </c>
    </row>
    <row r="946" spans="3:14" x14ac:dyDescent="0.25">
      <c r="C946" t="str">
        <f>IF(COUNTBLANK(E946:K946) = 7,"",IF(AND(NOT(ISBLANK(E946)),COUNTBLANK(E946:K946) = 6),"3 Delete",IF(ISBLANK(E946),"2 Add",IF(SHA1Range(E946:K946) = "e96d700104103c6daadfc274636c4f7b89451741","0 Original","1 Modify"))))</f>
        <v>0 Original</v>
      </c>
      <c r="D946" s="5" t="s">
        <v>3220</v>
      </c>
      <c r="E946" s="3">
        <v>3037</v>
      </c>
      <c r="F946" t="s">
        <v>1247</v>
      </c>
      <c r="G946" t="s">
        <v>707</v>
      </c>
      <c r="H946" s="9">
        <v>7.99</v>
      </c>
      <c r="I946" s="3">
        <v>1</v>
      </c>
      <c r="J946" s="5" t="s">
        <v>68</v>
      </c>
      <c r="K946" s="15">
        <v>41815.150543981479</v>
      </c>
      <c r="L946" s="20">
        <f t="shared" si="42"/>
        <v>41815</v>
      </c>
      <c r="M946" t="str">
        <f t="shared" si="43"/>
        <v>06-2014</v>
      </c>
      <c r="N946">
        <f t="shared" si="44"/>
        <v>7.99</v>
      </c>
    </row>
    <row r="947" spans="3:14" x14ac:dyDescent="0.25">
      <c r="C947" t="str">
        <f>IF(COUNTBLANK(E947:K947) = 7,"",IF(AND(NOT(ISBLANK(E947)),COUNTBLANK(E947:K947) = 6),"3 Delete",IF(ISBLANK(E947),"2 Add",IF(SHA1Range(E947:K947) = "4be84d0343f6990777c33f9abcb8c44bce32e63c","0 Original","1 Modify"))))</f>
        <v>0 Original</v>
      </c>
      <c r="D947" s="5" t="s">
        <v>3221</v>
      </c>
      <c r="E947" s="3">
        <v>3038</v>
      </c>
      <c r="F947" t="s">
        <v>1247</v>
      </c>
      <c r="G947" t="s">
        <v>552</v>
      </c>
      <c r="H947" s="9">
        <v>6.99</v>
      </c>
      <c r="I947" s="3">
        <v>2</v>
      </c>
      <c r="J947" s="5" t="s">
        <v>68</v>
      </c>
      <c r="K947" s="15">
        <v>41815.150543981479</v>
      </c>
      <c r="L947" s="20">
        <f t="shared" si="42"/>
        <v>41815</v>
      </c>
      <c r="M947" t="str">
        <f t="shared" si="43"/>
        <v>06-2014</v>
      </c>
      <c r="N947">
        <f t="shared" si="44"/>
        <v>13.98</v>
      </c>
    </row>
    <row r="948" spans="3:14" x14ac:dyDescent="0.25">
      <c r="C948" t="str">
        <f>IF(COUNTBLANK(E948:K948) = 7,"",IF(AND(NOT(ISBLANK(E948)),COUNTBLANK(E948:K948) = 6),"3 Delete",IF(ISBLANK(E948),"2 Add",IF(SHA1Range(E948:K948) = "be05d30395561d17fe0bfe212029f2a1b2088da6","0 Original","1 Modify"))))</f>
        <v>0 Original</v>
      </c>
      <c r="D948" s="5" t="s">
        <v>3222</v>
      </c>
      <c r="E948" s="3">
        <v>3039</v>
      </c>
      <c r="F948" t="s">
        <v>1247</v>
      </c>
      <c r="G948" t="s">
        <v>687</v>
      </c>
      <c r="H948" s="9">
        <v>9.99</v>
      </c>
      <c r="I948" s="3">
        <v>1</v>
      </c>
      <c r="J948" s="5" t="s">
        <v>68</v>
      </c>
      <c r="K948" s="15">
        <v>41815.150543981479</v>
      </c>
      <c r="L948" s="20">
        <f t="shared" si="42"/>
        <v>41815</v>
      </c>
      <c r="M948" t="str">
        <f t="shared" si="43"/>
        <v>06-2014</v>
      </c>
      <c r="N948">
        <f t="shared" si="44"/>
        <v>9.99</v>
      </c>
    </row>
    <row r="949" spans="3:14" x14ac:dyDescent="0.25">
      <c r="C949" t="str">
        <f>IF(COUNTBLANK(E949:K949) = 7,"",IF(AND(NOT(ISBLANK(E949)),COUNTBLANK(E949:K949) = 6),"3 Delete",IF(ISBLANK(E949),"2 Add",IF(SHA1Range(E949:K949) = "e11adab04e534385839b228d932e1592998fbf84","0 Original","1 Modify"))))</f>
        <v>0 Original</v>
      </c>
      <c r="D949" s="5" t="s">
        <v>3223</v>
      </c>
      <c r="E949" s="3">
        <v>3040</v>
      </c>
      <c r="F949" t="s">
        <v>1247</v>
      </c>
      <c r="G949" t="s">
        <v>514</v>
      </c>
      <c r="H949" s="9">
        <v>6.99</v>
      </c>
      <c r="I949" s="3">
        <v>1</v>
      </c>
      <c r="J949" s="5" t="s">
        <v>68</v>
      </c>
      <c r="K949" s="15">
        <v>41815.150543981479</v>
      </c>
      <c r="L949" s="20">
        <f t="shared" si="42"/>
        <v>41815</v>
      </c>
      <c r="M949" t="str">
        <f t="shared" si="43"/>
        <v>06-2014</v>
      </c>
      <c r="N949">
        <f t="shared" si="44"/>
        <v>6.99</v>
      </c>
    </row>
    <row r="950" spans="3:14" x14ac:dyDescent="0.25">
      <c r="C950" t="str">
        <f>IF(COUNTBLANK(E950:K950) = 7,"",IF(AND(NOT(ISBLANK(E950)),COUNTBLANK(E950:K950) = 6),"3 Delete",IF(ISBLANK(E950),"2 Add",IF(SHA1Range(E950:K950) = "d58f71d2967b8f9ffc21c9abecda512d3f5a9a39","0 Original","1 Modify"))))</f>
        <v>0 Original</v>
      </c>
      <c r="D950" s="5" t="s">
        <v>3224</v>
      </c>
      <c r="E950" s="3">
        <v>2124</v>
      </c>
      <c r="F950" t="s">
        <v>1248</v>
      </c>
      <c r="G950" t="s">
        <v>588</v>
      </c>
      <c r="H950" s="9">
        <v>4.99</v>
      </c>
      <c r="I950" s="3">
        <v>1</v>
      </c>
      <c r="J950" s="5" t="s">
        <v>68</v>
      </c>
      <c r="K950" s="15">
        <v>41815.472303240742</v>
      </c>
      <c r="L950" s="20">
        <f t="shared" si="42"/>
        <v>41815</v>
      </c>
      <c r="M950" t="str">
        <f t="shared" si="43"/>
        <v>06-2014</v>
      </c>
      <c r="N950">
        <f t="shared" si="44"/>
        <v>4.99</v>
      </c>
    </row>
    <row r="951" spans="3:14" x14ac:dyDescent="0.25">
      <c r="C951" t="str">
        <f>IF(COUNTBLANK(E951:K951) = 7,"",IF(AND(NOT(ISBLANK(E951)),COUNTBLANK(E951:K951) = 6),"3 Delete",IF(ISBLANK(E951),"2 Add",IF(SHA1Range(E951:K951) = "bf0ea5b7cbf03f561c6e7c21a4a7d06e57fcc735","0 Original","1 Modify"))))</f>
        <v>0 Original</v>
      </c>
      <c r="D951" s="5" t="s">
        <v>3225</v>
      </c>
      <c r="E951" s="3">
        <v>1928</v>
      </c>
      <c r="F951" t="s">
        <v>1249</v>
      </c>
      <c r="G951" t="s">
        <v>570</v>
      </c>
      <c r="H951" s="9">
        <v>6.99</v>
      </c>
      <c r="I951" s="3">
        <v>1</v>
      </c>
      <c r="J951" s="5" t="s">
        <v>68</v>
      </c>
      <c r="K951" s="15">
        <v>41815.493587962963</v>
      </c>
      <c r="L951" s="20">
        <f t="shared" si="42"/>
        <v>41815</v>
      </c>
      <c r="M951" t="str">
        <f t="shared" si="43"/>
        <v>06-2014</v>
      </c>
      <c r="N951">
        <f t="shared" si="44"/>
        <v>6.99</v>
      </c>
    </row>
    <row r="952" spans="3:14" x14ac:dyDescent="0.25">
      <c r="C952" t="str">
        <f>IF(COUNTBLANK(E952:K952) = 7,"",IF(AND(NOT(ISBLANK(E952)),COUNTBLANK(E952:K952) = 6),"3 Delete",IF(ISBLANK(E952),"2 Add",IF(SHA1Range(E952:K952) = "0795fed7dcb21893dbaab57c050d1e3d63e10580","0 Original","1 Modify"))))</f>
        <v>0 Original</v>
      </c>
      <c r="D952" s="5" t="s">
        <v>3226</v>
      </c>
      <c r="E952" s="3">
        <v>1929</v>
      </c>
      <c r="F952" t="s">
        <v>1249</v>
      </c>
      <c r="G952" t="s">
        <v>854</v>
      </c>
      <c r="H952" s="9">
        <v>8.99</v>
      </c>
      <c r="I952" s="3">
        <v>1</v>
      </c>
      <c r="J952" s="5" t="s">
        <v>68</v>
      </c>
      <c r="K952" s="15">
        <v>41815.493587962963</v>
      </c>
      <c r="L952" s="20">
        <f t="shared" si="42"/>
        <v>41815</v>
      </c>
      <c r="M952" t="str">
        <f t="shared" si="43"/>
        <v>06-2014</v>
      </c>
      <c r="N952">
        <f t="shared" si="44"/>
        <v>8.99</v>
      </c>
    </row>
    <row r="953" spans="3:14" x14ac:dyDescent="0.25">
      <c r="C953" t="str">
        <f>IF(COUNTBLANK(E953:K953) = 7,"",IF(AND(NOT(ISBLANK(E953)),COUNTBLANK(E953:K953) = 6),"3 Delete",IF(ISBLANK(E953),"2 Add",IF(SHA1Range(E953:K953) = "10044548cb735f4770af96255addc419f7ff6427","0 Original","1 Modify"))))</f>
        <v>0 Original</v>
      </c>
      <c r="D953" s="5" t="s">
        <v>3227</v>
      </c>
      <c r="E953" s="3">
        <v>1930</v>
      </c>
      <c r="F953" t="s">
        <v>1249</v>
      </c>
      <c r="G953" t="s">
        <v>697</v>
      </c>
      <c r="H953" s="9">
        <v>5.99</v>
      </c>
      <c r="I953" s="3">
        <v>1</v>
      </c>
      <c r="J953" s="5" t="s">
        <v>68</v>
      </c>
      <c r="K953" s="15">
        <v>41815.493587962963</v>
      </c>
      <c r="L953" s="20">
        <f t="shared" si="42"/>
        <v>41815</v>
      </c>
      <c r="M953" t="str">
        <f t="shared" si="43"/>
        <v>06-2014</v>
      </c>
      <c r="N953">
        <f t="shared" si="44"/>
        <v>5.99</v>
      </c>
    </row>
    <row r="954" spans="3:14" x14ac:dyDescent="0.25">
      <c r="C954" t="str">
        <f>IF(COUNTBLANK(E954:K954) = 7,"",IF(AND(NOT(ISBLANK(E954)),COUNTBLANK(E954:K954) = 6),"3 Delete",IF(ISBLANK(E954),"2 Add",IF(SHA1Range(E954:K954) = "c1fe5d3986d750f5f38f9b80dfdb7d1842a9b33d","0 Original","1 Modify"))))</f>
        <v>0 Original</v>
      </c>
      <c r="D954" s="5" t="s">
        <v>3228</v>
      </c>
      <c r="E954" s="3">
        <v>3816</v>
      </c>
      <c r="F954" t="s">
        <v>1250</v>
      </c>
      <c r="G954" t="s">
        <v>400</v>
      </c>
      <c r="H954" s="9">
        <v>4.99</v>
      </c>
      <c r="I954" s="3">
        <v>1</v>
      </c>
      <c r="J954" s="5" t="s">
        <v>68</v>
      </c>
      <c r="K954" s="15">
        <v>41815.995011574072</v>
      </c>
      <c r="L954" s="20">
        <f t="shared" si="42"/>
        <v>41815</v>
      </c>
      <c r="M954" t="str">
        <f t="shared" si="43"/>
        <v>06-2014</v>
      </c>
      <c r="N954">
        <f t="shared" si="44"/>
        <v>4.99</v>
      </c>
    </row>
    <row r="955" spans="3:14" x14ac:dyDescent="0.25">
      <c r="C955" t="str">
        <f>IF(COUNTBLANK(E955:K955) = 7,"",IF(AND(NOT(ISBLANK(E955)),COUNTBLANK(E955:K955) = 6),"3 Delete",IF(ISBLANK(E955),"2 Add",IF(SHA1Range(E955:K955) = "cbeaf4696d172579e1397134044b1664bfcd116f","0 Original","1 Modify"))))</f>
        <v>0 Original</v>
      </c>
      <c r="D955" s="5" t="s">
        <v>3229</v>
      </c>
      <c r="E955" s="3">
        <v>3817</v>
      </c>
      <c r="F955" t="s">
        <v>1250</v>
      </c>
      <c r="G955" t="s">
        <v>552</v>
      </c>
      <c r="H955" s="9">
        <v>6.99</v>
      </c>
      <c r="I955" s="3">
        <v>2</v>
      </c>
      <c r="J955" s="5" t="s">
        <v>68</v>
      </c>
      <c r="K955" s="15">
        <v>41815.995011574072</v>
      </c>
      <c r="L955" s="20">
        <f t="shared" si="42"/>
        <v>41815</v>
      </c>
      <c r="M955" t="str">
        <f t="shared" si="43"/>
        <v>06-2014</v>
      </c>
      <c r="N955">
        <f t="shared" si="44"/>
        <v>13.98</v>
      </c>
    </row>
    <row r="956" spans="3:14" x14ac:dyDescent="0.25">
      <c r="C956" t="str">
        <f>IF(COUNTBLANK(E956:K956) = 7,"",IF(AND(NOT(ISBLANK(E956)),COUNTBLANK(E956:K956) = 6),"3 Delete",IF(ISBLANK(E956),"2 Add",IF(SHA1Range(E956:K956) = "22c16c46c902c69c11696993dadcc1f57eca53b6","0 Original","1 Modify"))))</f>
        <v>0 Original</v>
      </c>
      <c r="D956" s="5" t="s">
        <v>3230</v>
      </c>
      <c r="E956" s="3">
        <v>2829</v>
      </c>
      <c r="F956" t="s">
        <v>1251</v>
      </c>
      <c r="G956" t="s">
        <v>749</v>
      </c>
      <c r="H956" s="9">
        <v>5.99</v>
      </c>
      <c r="I956" s="3">
        <v>2</v>
      </c>
      <c r="J956" s="5" t="s">
        <v>68</v>
      </c>
      <c r="K956" s="15">
        <v>41817.090925925928</v>
      </c>
      <c r="L956" s="20">
        <f t="shared" si="42"/>
        <v>41817</v>
      </c>
      <c r="M956" t="str">
        <f t="shared" si="43"/>
        <v>06-2014</v>
      </c>
      <c r="N956">
        <f t="shared" si="44"/>
        <v>11.98</v>
      </c>
    </row>
    <row r="957" spans="3:14" x14ac:dyDescent="0.25">
      <c r="C957" t="str">
        <f>IF(COUNTBLANK(E957:K957) = 7,"",IF(AND(NOT(ISBLANK(E957)),COUNTBLANK(E957:K957) = 6),"3 Delete",IF(ISBLANK(E957),"2 Add",IF(SHA1Range(E957:K957) = "3fa339546d76f93900db6953f88859d5dc6c4e48","0 Original","1 Modify"))))</f>
        <v>0 Original</v>
      </c>
      <c r="D957" s="5" t="s">
        <v>3231</v>
      </c>
      <c r="E957" s="3">
        <v>2830</v>
      </c>
      <c r="F957" t="s">
        <v>1251</v>
      </c>
      <c r="G957" t="s">
        <v>749</v>
      </c>
      <c r="H957" s="9">
        <v>5.99</v>
      </c>
      <c r="I957" s="3">
        <v>1</v>
      </c>
      <c r="J957" s="5" t="s">
        <v>68</v>
      </c>
      <c r="K957" s="15">
        <v>41817.090925925928</v>
      </c>
      <c r="L957" s="20">
        <f t="shared" si="42"/>
        <v>41817</v>
      </c>
      <c r="M957" t="str">
        <f t="shared" si="43"/>
        <v>06-2014</v>
      </c>
      <c r="N957">
        <f t="shared" si="44"/>
        <v>5.99</v>
      </c>
    </row>
    <row r="958" spans="3:14" x14ac:dyDescent="0.25">
      <c r="C958" t="str">
        <f>IF(COUNTBLANK(E958:K958) = 7,"",IF(AND(NOT(ISBLANK(E958)),COUNTBLANK(E958:K958) = 6),"3 Delete",IF(ISBLANK(E958),"2 Add",IF(SHA1Range(E958:K958) = "18c4d36793874de0aa927338bf01e0075dba7d8b","0 Original","1 Modify"))))</f>
        <v>0 Original</v>
      </c>
      <c r="D958" s="5" t="s">
        <v>3232</v>
      </c>
      <c r="E958" s="3">
        <v>2831</v>
      </c>
      <c r="F958" t="s">
        <v>1251</v>
      </c>
      <c r="G958" t="s">
        <v>707</v>
      </c>
      <c r="H958" s="9">
        <v>7.99</v>
      </c>
      <c r="I958" s="3">
        <v>2</v>
      </c>
      <c r="J958" s="5" t="s">
        <v>68</v>
      </c>
      <c r="K958" s="15">
        <v>41817.090925925928</v>
      </c>
      <c r="L958" s="20">
        <f t="shared" si="42"/>
        <v>41817</v>
      </c>
      <c r="M958" t="str">
        <f t="shared" si="43"/>
        <v>06-2014</v>
      </c>
      <c r="N958">
        <f t="shared" si="44"/>
        <v>15.98</v>
      </c>
    </row>
    <row r="959" spans="3:14" x14ac:dyDescent="0.25">
      <c r="C959" t="str">
        <f>IF(COUNTBLANK(E959:K959) = 7,"",IF(AND(NOT(ISBLANK(E959)),COUNTBLANK(E959:K959) = 6),"3 Delete",IF(ISBLANK(E959),"2 Add",IF(SHA1Range(E959:K959) = "03449fa9234f92b0bc6354db3ff59cad7544fa47","0 Original","1 Modify"))))</f>
        <v>0 Original</v>
      </c>
      <c r="D959" s="5" t="s">
        <v>3233</v>
      </c>
      <c r="E959" s="3">
        <v>238</v>
      </c>
      <c r="F959" t="s">
        <v>1252</v>
      </c>
      <c r="G959" t="s">
        <v>732</v>
      </c>
      <c r="H959" s="9">
        <v>9.99</v>
      </c>
      <c r="I959" s="3">
        <v>2</v>
      </c>
      <c r="J959" s="5" t="s">
        <v>68</v>
      </c>
      <c r="K959" s="15">
        <v>41818.404374999998</v>
      </c>
      <c r="L959" s="20">
        <f t="shared" si="42"/>
        <v>41818</v>
      </c>
      <c r="M959" t="str">
        <f t="shared" si="43"/>
        <v>06-2014</v>
      </c>
      <c r="N959">
        <f t="shared" si="44"/>
        <v>19.98</v>
      </c>
    </row>
    <row r="960" spans="3:14" x14ac:dyDescent="0.25">
      <c r="C960" t="str">
        <f>IF(COUNTBLANK(E960:K960) = 7,"",IF(AND(NOT(ISBLANK(E960)),COUNTBLANK(E960:K960) = 6),"3 Delete",IF(ISBLANK(E960),"2 Add",IF(SHA1Range(E960:K960) = "0005236a2cb5d7b97acc106659f03e5ae592a51d","0 Original","1 Modify"))))</f>
        <v>0 Original</v>
      </c>
      <c r="D960" s="5" t="s">
        <v>3234</v>
      </c>
      <c r="E960" s="3">
        <v>239</v>
      </c>
      <c r="F960" t="s">
        <v>1252</v>
      </c>
      <c r="G960" t="s">
        <v>948</v>
      </c>
      <c r="H960" s="9">
        <v>4.99</v>
      </c>
      <c r="I960" s="3">
        <v>1</v>
      </c>
      <c r="J960" s="5" t="s">
        <v>68</v>
      </c>
      <c r="K960" s="15">
        <v>41818.404374999998</v>
      </c>
      <c r="L960" s="20">
        <f t="shared" si="42"/>
        <v>41818</v>
      </c>
      <c r="M960" t="str">
        <f t="shared" si="43"/>
        <v>06-2014</v>
      </c>
      <c r="N960">
        <f t="shared" si="44"/>
        <v>4.99</v>
      </c>
    </row>
    <row r="961" spans="3:14" x14ac:dyDescent="0.25">
      <c r="C961" t="str">
        <f>IF(COUNTBLANK(E961:K961) = 7,"",IF(AND(NOT(ISBLANK(E961)),COUNTBLANK(E961:K961) = 6),"3 Delete",IF(ISBLANK(E961),"2 Add",IF(SHA1Range(E961:K961) = "f5bc6ef7fa5c2bce286ecce3b64685e3565cae4d","0 Original","1 Modify"))))</f>
        <v>0 Original</v>
      </c>
      <c r="D961" s="5" t="s">
        <v>3235</v>
      </c>
      <c r="E961" s="3">
        <v>1282</v>
      </c>
      <c r="F961" t="s">
        <v>1253</v>
      </c>
      <c r="G961" t="s">
        <v>739</v>
      </c>
      <c r="H961" s="9">
        <v>8.99</v>
      </c>
      <c r="I961" s="3">
        <v>1</v>
      </c>
      <c r="J961" s="5" t="s">
        <v>68</v>
      </c>
      <c r="K961" s="15">
        <v>41818.839861111112</v>
      </c>
      <c r="L961" s="20">
        <f t="shared" si="42"/>
        <v>41818</v>
      </c>
      <c r="M961" t="str">
        <f t="shared" si="43"/>
        <v>06-2014</v>
      </c>
      <c r="N961">
        <f t="shared" si="44"/>
        <v>8.99</v>
      </c>
    </row>
    <row r="962" spans="3:14" x14ac:dyDescent="0.25">
      <c r="C962" t="str">
        <f>IF(COUNTBLANK(E962:K962) = 7,"",IF(AND(NOT(ISBLANK(E962)),COUNTBLANK(E962:K962) = 6),"3 Delete",IF(ISBLANK(E962),"2 Add",IF(SHA1Range(E962:K962) = "2b24e6426dc33433229290d061ba167fab48035d","0 Original","1 Modify"))))</f>
        <v>0 Original</v>
      </c>
      <c r="D962" s="5" t="s">
        <v>3236</v>
      </c>
      <c r="E962" s="3">
        <v>1283</v>
      </c>
      <c r="F962" t="s">
        <v>1253</v>
      </c>
      <c r="G962" t="s">
        <v>570</v>
      </c>
      <c r="H962" s="9">
        <v>6.99</v>
      </c>
      <c r="I962" s="3">
        <v>1</v>
      </c>
      <c r="J962" s="5" t="s">
        <v>68</v>
      </c>
      <c r="K962" s="15">
        <v>41818.839861111112</v>
      </c>
      <c r="L962" s="20">
        <f t="shared" si="42"/>
        <v>41818</v>
      </c>
      <c r="M962" t="str">
        <f t="shared" si="43"/>
        <v>06-2014</v>
      </c>
      <c r="N962">
        <f t="shared" si="44"/>
        <v>6.99</v>
      </c>
    </row>
    <row r="963" spans="3:14" x14ac:dyDescent="0.25">
      <c r="C963" t="str">
        <f>IF(COUNTBLANK(E963:K963) = 7,"",IF(AND(NOT(ISBLANK(E963)),COUNTBLANK(E963:K963) = 6),"3 Delete",IF(ISBLANK(E963),"2 Add",IF(SHA1Range(E963:K963) = "b33ff9f9d7839b153d36c2ffe065d2c696ac4b14","0 Original","1 Modify"))))</f>
        <v>0 Original</v>
      </c>
      <c r="D963" s="5" t="s">
        <v>3237</v>
      </c>
      <c r="E963" s="3">
        <v>2019</v>
      </c>
      <c r="F963" t="s">
        <v>1254</v>
      </c>
      <c r="G963" t="s">
        <v>942</v>
      </c>
      <c r="H963" s="9">
        <v>6.99</v>
      </c>
      <c r="I963" s="3">
        <v>1</v>
      </c>
      <c r="J963" s="5" t="s">
        <v>68</v>
      </c>
      <c r="K963" s="15">
        <v>41819.095601851855</v>
      </c>
      <c r="L963" s="20">
        <f t="shared" ref="L963:L1026" si="45">DATEVALUE(LEFT(F963,10))</f>
        <v>41819</v>
      </c>
      <c r="M963" t="str">
        <f t="shared" ref="M963:M1026" si="46">TEXT(L963,"mm-yyyy")</f>
        <v>06-2014</v>
      </c>
      <c r="N963">
        <f t="shared" ref="N963:N1026" si="47">H963*I963</f>
        <v>6.99</v>
      </c>
    </row>
    <row r="964" spans="3:14" x14ac:dyDescent="0.25">
      <c r="C964" t="str">
        <f>IF(COUNTBLANK(E964:K964) = 7,"",IF(AND(NOT(ISBLANK(E964)),COUNTBLANK(E964:K964) = 6),"3 Delete",IF(ISBLANK(E964),"2 Add",IF(SHA1Range(E964:K964) = "d4c02b21ffa140a84cd5e178335500393399a31f","0 Original","1 Modify"))))</f>
        <v>0 Original</v>
      </c>
      <c r="D964" s="5" t="s">
        <v>3238</v>
      </c>
      <c r="E964" s="3">
        <v>2020</v>
      </c>
      <c r="F964" t="s">
        <v>1254</v>
      </c>
      <c r="G964" t="s">
        <v>687</v>
      </c>
      <c r="H964" s="9">
        <v>9.99</v>
      </c>
      <c r="I964" s="3">
        <v>1</v>
      </c>
      <c r="J964" s="5" t="s">
        <v>68</v>
      </c>
      <c r="K964" s="15">
        <v>41819.095601851855</v>
      </c>
      <c r="L964" s="20">
        <f t="shared" si="45"/>
        <v>41819</v>
      </c>
      <c r="M964" t="str">
        <f t="shared" si="46"/>
        <v>06-2014</v>
      </c>
      <c r="N964">
        <f t="shared" si="47"/>
        <v>9.99</v>
      </c>
    </row>
    <row r="965" spans="3:14" x14ac:dyDescent="0.25">
      <c r="C965" t="str">
        <f>IF(COUNTBLANK(E965:K965) = 7,"",IF(AND(NOT(ISBLANK(E965)),COUNTBLANK(E965:K965) = 6),"3 Delete",IF(ISBLANK(E965),"2 Add",IF(SHA1Range(E965:K965) = "7cf104ca657be5cddf9cf74c92fd7586feb7620c","0 Original","1 Modify"))))</f>
        <v>0 Original</v>
      </c>
      <c r="D965" s="5" t="s">
        <v>3239</v>
      </c>
      <c r="E965" s="3">
        <v>2021</v>
      </c>
      <c r="F965" t="s">
        <v>1254</v>
      </c>
      <c r="G965" t="s">
        <v>373</v>
      </c>
      <c r="H965" s="9">
        <v>7.99</v>
      </c>
      <c r="I965" s="3">
        <v>2</v>
      </c>
      <c r="J965" s="5" t="s">
        <v>68</v>
      </c>
      <c r="K965" s="15">
        <v>41819.095601851855</v>
      </c>
      <c r="L965" s="20">
        <f t="shared" si="45"/>
        <v>41819</v>
      </c>
      <c r="M965" t="str">
        <f t="shared" si="46"/>
        <v>06-2014</v>
      </c>
      <c r="N965">
        <f t="shared" si="47"/>
        <v>15.98</v>
      </c>
    </row>
    <row r="966" spans="3:14" x14ac:dyDescent="0.25">
      <c r="C966" t="str">
        <f>IF(COUNTBLANK(E966:K966) = 7,"",IF(AND(NOT(ISBLANK(E966)),COUNTBLANK(E966:K966) = 6),"3 Delete",IF(ISBLANK(E966),"2 Add",IF(SHA1Range(E966:K966) = "efdccfc45c77ecb81823e745740aaa11dbd3921f","0 Original","1 Modify"))))</f>
        <v>0 Original</v>
      </c>
      <c r="D966" s="5" t="s">
        <v>3240</v>
      </c>
      <c r="E966" s="3">
        <v>1205</v>
      </c>
      <c r="F966" t="s">
        <v>1255</v>
      </c>
      <c r="G966" t="s">
        <v>514</v>
      </c>
      <c r="H966" s="9">
        <v>6.99</v>
      </c>
      <c r="I966" s="3">
        <v>2</v>
      </c>
      <c r="J966" s="5" t="s">
        <v>68</v>
      </c>
      <c r="K966" s="15">
        <v>41819.715648148151</v>
      </c>
      <c r="L966" s="20">
        <f t="shared" si="45"/>
        <v>41819</v>
      </c>
      <c r="M966" t="str">
        <f t="shared" si="46"/>
        <v>06-2014</v>
      </c>
      <c r="N966">
        <f t="shared" si="47"/>
        <v>13.98</v>
      </c>
    </row>
    <row r="967" spans="3:14" x14ac:dyDescent="0.25">
      <c r="C967" t="str">
        <f>IF(COUNTBLANK(E967:K967) = 7,"",IF(AND(NOT(ISBLANK(E967)),COUNTBLANK(E967:K967) = 6),"3 Delete",IF(ISBLANK(E967),"2 Add",IF(SHA1Range(E967:K967) = "551a62bbe3a1ea0d760bf1a4138fb230cb846e28","0 Original","1 Modify"))))</f>
        <v>0 Original</v>
      </c>
      <c r="D967" s="5" t="s">
        <v>3241</v>
      </c>
      <c r="E967" s="3">
        <v>1206</v>
      </c>
      <c r="F967" t="s">
        <v>1255</v>
      </c>
      <c r="G967" t="s">
        <v>739</v>
      </c>
      <c r="H967" s="9">
        <v>8.99</v>
      </c>
      <c r="I967" s="3">
        <v>1</v>
      </c>
      <c r="J967" s="5" t="s">
        <v>68</v>
      </c>
      <c r="K967" s="15">
        <v>41819.715648148151</v>
      </c>
      <c r="L967" s="20">
        <f t="shared" si="45"/>
        <v>41819</v>
      </c>
      <c r="M967" t="str">
        <f t="shared" si="46"/>
        <v>06-2014</v>
      </c>
      <c r="N967">
        <f t="shared" si="47"/>
        <v>8.99</v>
      </c>
    </row>
    <row r="968" spans="3:14" x14ac:dyDescent="0.25">
      <c r="C968" t="str">
        <f>IF(COUNTBLANK(E968:K968) = 7,"",IF(AND(NOT(ISBLANK(E968)),COUNTBLANK(E968:K968) = 6),"3 Delete",IF(ISBLANK(E968),"2 Add",IF(SHA1Range(E968:K968) = "91a57a795ba0596ab61be6d6c73f6a6d1d015ffd","0 Original","1 Modify"))))</f>
        <v>0 Original</v>
      </c>
      <c r="D968" s="5" t="s">
        <v>3242</v>
      </c>
      <c r="E968" s="3">
        <v>1207</v>
      </c>
      <c r="F968" t="s">
        <v>1255</v>
      </c>
      <c r="G968" t="s">
        <v>373</v>
      </c>
      <c r="H968" s="9">
        <v>7.99</v>
      </c>
      <c r="I968" s="3">
        <v>1</v>
      </c>
      <c r="J968" s="5" t="s">
        <v>68</v>
      </c>
      <c r="K968" s="15">
        <v>41819.715648148151</v>
      </c>
      <c r="L968" s="20">
        <f t="shared" si="45"/>
        <v>41819</v>
      </c>
      <c r="M968" t="str">
        <f t="shared" si="46"/>
        <v>06-2014</v>
      </c>
      <c r="N968">
        <f t="shared" si="47"/>
        <v>7.99</v>
      </c>
    </row>
    <row r="969" spans="3:14" x14ac:dyDescent="0.25">
      <c r="C969" t="str">
        <f>IF(COUNTBLANK(E969:K969) = 7,"",IF(AND(NOT(ISBLANK(E969)),COUNTBLANK(E969:K969) = 6),"3 Delete",IF(ISBLANK(E969),"2 Add",IF(SHA1Range(E969:K969) = "ecd05bcc9467d61a596ab1c33e14766b4c8a5db3","0 Original","1 Modify"))))</f>
        <v>0 Original</v>
      </c>
      <c r="D969" s="5" t="s">
        <v>3243</v>
      </c>
      <c r="E969" s="3">
        <v>1208</v>
      </c>
      <c r="F969" t="s">
        <v>1255</v>
      </c>
      <c r="G969" t="s">
        <v>514</v>
      </c>
      <c r="H969" s="9">
        <v>6.99</v>
      </c>
      <c r="I969" s="3">
        <v>1</v>
      </c>
      <c r="J969" s="5" t="s">
        <v>68</v>
      </c>
      <c r="K969" s="15">
        <v>41819.715648148151</v>
      </c>
      <c r="L969" s="20">
        <f t="shared" si="45"/>
        <v>41819</v>
      </c>
      <c r="M969" t="str">
        <f t="shared" si="46"/>
        <v>06-2014</v>
      </c>
      <c r="N969">
        <f t="shared" si="47"/>
        <v>6.99</v>
      </c>
    </row>
    <row r="970" spans="3:14" x14ac:dyDescent="0.25">
      <c r="C970" t="str">
        <f>IF(COUNTBLANK(E970:K970) = 7,"",IF(AND(NOT(ISBLANK(E970)),COUNTBLANK(E970:K970) = 6),"3 Delete",IF(ISBLANK(E970),"2 Add",IF(SHA1Range(E970:K970) = "1bc51c395017882d602a1a2265f0512370f394e8","0 Original","1 Modify"))))</f>
        <v>0 Original</v>
      </c>
      <c r="D970" s="5" t="s">
        <v>3244</v>
      </c>
      <c r="E970" s="3">
        <v>1209</v>
      </c>
      <c r="F970" t="s">
        <v>1255</v>
      </c>
      <c r="G970" t="s">
        <v>503</v>
      </c>
      <c r="H970" s="9">
        <v>9.99</v>
      </c>
      <c r="I970" s="3">
        <v>1</v>
      </c>
      <c r="J970" s="5" t="s">
        <v>68</v>
      </c>
      <c r="K970" s="15">
        <v>41819.715648148151</v>
      </c>
      <c r="L970" s="20">
        <f t="shared" si="45"/>
        <v>41819</v>
      </c>
      <c r="M970" t="str">
        <f t="shared" si="46"/>
        <v>06-2014</v>
      </c>
      <c r="N970">
        <f t="shared" si="47"/>
        <v>9.99</v>
      </c>
    </row>
    <row r="971" spans="3:14" x14ac:dyDescent="0.25">
      <c r="C971" t="str">
        <f>IF(COUNTBLANK(E971:K971) = 7,"",IF(AND(NOT(ISBLANK(E971)),COUNTBLANK(E971:K971) = 6),"3 Delete",IF(ISBLANK(E971),"2 Add",IF(SHA1Range(E971:K971) = "e93c0204541d7826d8f479b2a0e74fd9e9136564","0 Original","1 Modify"))))</f>
        <v>0 Original</v>
      </c>
      <c r="D971" s="5" t="s">
        <v>3245</v>
      </c>
      <c r="E971" s="3">
        <v>1760</v>
      </c>
      <c r="F971" t="s">
        <v>1256</v>
      </c>
      <c r="G971" t="s">
        <v>761</v>
      </c>
      <c r="H971" s="9">
        <v>8.99</v>
      </c>
      <c r="I971" s="3">
        <v>1</v>
      </c>
      <c r="J971" s="5" t="s">
        <v>68</v>
      </c>
      <c r="K971" s="15">
        <v>41819.764930555553</v>
      </c>
      <c r="L971" s="20">
        <f t="shared" si="45"/>
        <v>41819</v>
      </c>
      <c r="M971" t="str">
        <f t="shared" si="46"/>
        <v>06-2014</v>
      </c>
      <c r="N971">
        <f t="shared" si="47"/>
        <v>8.99</v>
      </c>
    </row>
    <row r="972" spans="3:14" x14ac:dyDescent="0.25">
      <c r="C972" t="str">
        <f>IF(COUNTBLANK(E972:K972) = 7,"",IF(AND(NOT(ISBLANK(E972)),COUNTBLANK(E972:K972) = 6),"3 Delete",IF(ISBLANK(E972),"2 Add",IF(SHA1Range(E972:K972) = "1c742fedd9f32e0eef0cc45fad0a25be4a39d67b","0 Original","1 Modify"))))</f>
        <v>0 Original</v>
      </c>
      <c r="D972" s="5" t="s">
        <v>3246</v>
      </c>
      <c r="E972" s="3">
        <v>1761</v>
      </c>
      <c r="F972" t="s">
        <v>1256</v>
      </c>
      <c r="G972" t="s">
        <v>514</v>
      </c>
      <c r="H972" s="9">
        <v>6.99</v>
      </c>
      <c r="I972" s="3">
        <v>1</v>
      </c>
      <c r="J972" s="5" t="s">
        <v>68</v>
      </c>
      <c r="K972" s="15">
        <v>41819.764930555553</v>
      </c>
      <c r="L972" s="20">
        <f t="shared" si="45"/>
        <v>41819</v>
      </c>
      <c r="M972" t="str">
        <f t="shared" si="46"/>
        <v>06-2014</v>
      </c>
      <c r="N972">
        <f t="shared" si="47"/>
        <v>6.99</v>
      </c>
    </row>
    <row r="973" spans="3:14" x14ac:dyDescent="0.25">
      <c r="C973" t="str">
        <f>IF(COUNTBLANK(E973:K973) = 7,"",IF(AND(NOT(ISBLANK(E973)),COUNTBLANK(E973:K973) = 6),"3 Delete",IF(ISBLANK(E973),"2 Add",IF(SHA1Range(E973:K973) = "eef280d71b08c5044f90cd1c2e281b16ca541911","0 Original","1 Modify"))))</f>
        <v>0 Original</v>
      </c>
      <c r="D973" s="5" t="s">
        <v>3247</v>
      </c>
      <c r="E973" s="3">
        <v>1762</v>
      </c>
      <c r="F973" t="s">
        <v>1256</v>
      </c>
      <c r="G973" t="s">
        <v>596</v>
      </c>
      <c r="H973" s="9">
        <v>7.99</v>
      </c>
      <c r="I973" s="3">
        <v>1</v>
      </c>
      <c r="J973" s="5" t="s">
        <v>68</v>
      </c>
      <c r="K973" s="15">
        <v>41819.764930555553</v>
      </c>
      <c r="L973" s="20">
        <f t="shared" si="45"/>
        <v>41819</v>
      </c>
      <c r="M973" t="str">
        <f t="shared" si="46"/>
        <v>06-2014</v>
      </c>
      <c r="N973">
        <f t="shared" si="47"/>
        <v>7.99</v>
      </c>
    </row>
    <row r="974" spans="3:14" x14ac:dyDescent="0.25">
      <c r="C974" t="str">
        <f>IF(COUNTBLANK(E974:K974) = 7,"",IF(AND(NOT(ISBLANK(E974)),COUNTBLANK(E974:K974) = 6),"3 Delete",IF(ISBLANK(E974),"2 Add",IF(SHA1Range(E974:K974) = "13aa31f5bb33da8fe2e032328ab5395ba3bf43eb","0 Original","1 Modify"))))</f>
        <v>0 Original</v>
      </c>
      <c r="D974" s="5" t="s">
        <v>3248</v>
      </c>
      <c r="E974" s="3">
        <v>1763</v>
      </c>
      <c r="F974" t="s">
        <v>1256</v>
      </c>
      <c r="G974" t="s">
        <v>771</v>
      </c>
      <c r="H974" s="9">
        <v>9.99</v>
      </c>
      <c r="I974" s="3">
        <v>2</v>
      </c>
      <c r="J974" s="5" t="s">
        <v>68</v>
      </c>
      <c r="K974" s="15">
        <v>41819.764930555553</v>
      </c>
      <c r="L974" s="20">
        <f t="shared" si="45"/>
        <v>41819</v>
      </c>
      <c r="M974" t="str">
        <f t="shared" si="46"/>
        <v>06-2014</v>
      </c>
      <c r="N974">
        <f t="shared" si="47"/>
        <v>19.98</v>
      </c>
    </row>
    <row r="975" spans="3:14" x14ac:dyDescent="0.25">
      <c r="C975" t="str">
        <f>IF(COUNTBLANK(E975:K975) = 7,"",IF(AND(NOT(ISBLANK(E975)),COUNTBLANK(E975:K975) = 6),"3 Delete",IF(ISBLANK(E975),"2 Add",IF(SHA1Range(E975:K975) = "18a10364f69070bcd5959145ff7679347857b2d2","0 Original","1 Modify"))))</f>
        <v>0 Original</v>
      </c>
      <c r="D975" s="5" t="s">
        <v>3249</v>
      </c>
      <c r="E975" s="3">
        <v>1891</v>
      </c>
      <c r="F975" t="s">
        <v>1257</v>
      </c>
      <c r="G975" t="s">
        <v>600</v>
      </c>
      <c r="H975" s="9">
        <v>5.99</v>
      </c>
      <c r="I975" s="3">
        <v>1</v>
      </c>
      <c r="J975" s="5" t="s">
        <v>68</v>
      </c>
      <c r="K975" s="15">
        <v>41820.441446759258</v>
      </c>
      <c r="L975" s="20">
        <f t="shared" si="45"/>
        <v>41820</v>
      </c>
      <c r="M975" t="str">
        <f t="shared" si="46"/>
        <v>06-2014</v>
      </c>
      <c r="N975">
        <f t="shared" si="47"/>
        <v>5.99</v>
      </c>
    </row>
    <row r="976" spans="3:14" x14ac:dyDescent="0.25">
      <c r="C976" t="str">
        <f>IF(COUNTBLANK(E976:K976) = 7,"",IF(AND(NOT(ISBLANK(E976)),COUNTBLANK(E976:K976) = 6),"3 Delete",IF(ISBLANK(E976),"2 Add",IF(SHA1Range(E976:K976) = "f594ba55ca9a5ccdc6a564b789fb571ffc0ac1fa","0 Original","1 Modify"))))</f>
        <v>0 Original</v>
      </c>
      <c r="D976" s="5" t="s">
        <v>3250</v>
      </c>
      <c r="E976" s="3">
        <v>1892</v>
      </c>
      <c r="F976" t="s">
        <v>1257</v>
      </c>
      <c r="G976" t="s">
        <v>548</v>
      </c>
      <c r="H976" s="9">
        <v>5.99</v>
      </c>
      <c r="I976" s="3">
        <v>1</v>
      </c>
      <c r="J976" s="5" t="s">
        <v>68</v>
      </c>
      <c r="K976" s="15">
        <v>41820.441446759258</v>
      </c>
      <c r="L976" s="20">
        <f t="shared" si="45"/>
        <v>41820</v>
      </c>
      <c r="M976" t="str">
        <f t="shared" si="46"/>
        <v>06-2014</v>
      </c>
      <c r="N976">
        <f t="shared" si="47"/>
        <v>5.99</v>
      </c>
    </row>
    <row r="977" spans="3:14" x14ac:dyDescent="0.25">
      <c r="C977" t="str">
        <f>IF(COUNTBLANK(E977:K977) = 7,"",IF(AND(NOT(ISBLANK(E977)),COUNTBLANK(E977:K977) = 6),"3 Delete",IF(ISBLANK(E977),"2 Add",IF(SHA1Range(E977:K977) = "46ca51d604c782413031834e0d701d878939780b","0 Original","1 Modify"))))</f>
        <v>0 Original</v>
      </c>
      <c r="D977" s="5" t="s">
        <v>3251</v>
      </c>
      <c r="E977" s="3">
        <v>1893</v>
      </c>
      <c r="F977" t="s">
        <v>1257</v>
      </c>
      <c r="G977" t="s">
        <v>693</v>
      </c>
      <c r="H977" s="9">
        <v>7.99</v>
      </c>
      <c r="I977" s="3">
        <v>2</v>
      </c>
      <c r="J977" s="5" t="s">
        <v>68</v>
      </c>
      <c r="K977" s="15">
        <v>41820.441446759258</v>
      </c>
      <c r="L977" s="20">
        <f t="shared" si="45"/>
        <v>41820</v>
      </c>
      <c r="M977" t="str">
        <f t="shared" si="46"/>
        <v>06-2014</v>
      </c>
      <c r="N977">
        <f t="shared" si="47"/>
        <v>15.98</v>
      </c>
    </row>
    <row r="978" spans="3:14" x14ac:dyDescent="0.25">
      <c r="C978" t="str">
        <f>IF(COUNTBLANK(E978:K978) = 7,"",IF(AND(NOT(ISBLANK(E978)),COUNTBLANK(E978:K978) = 6),"3 Delete",IF(ISBLANK(E978),"2 Add",IF(SHA1Range(E978:K978) = "29ff6772fcc1fd510dbbb364df2ac912d9452851","0 Original","1 Modify"))))</f>
        <v>0 Original</v>
      </c>
      <c r="D978" s="5" t="s">
        <v>3252</v>
      </c>
      <c r="E978" s="3">
        <v>1894</v>
      </c>
      <c r="F978" t="s">
        <v>1257</v>
      </c>
      <c r="G978" t="s">
        <v>600</v>
      </c>
      <c r="H978" s="9">
        <v>5.99</v>
      </c>
      <c r="I978" s="3">
        <v>1</v>
      </c>
      <c r="J978" s="5" t="s">
        <v>68</v>
      </c>
      <c r="K978" s="15">
        <v>41820.441446759258</v>
      </c>
      <c r="L978" s="20">
        <f t="shared" si="45"/>
        <v>41820</v>
      </c>
      <c r="M978" t="str">
        <f t="shared" si="46"/>
        <v>06-2014</v>
      </c>
      <c r="N978">
        <f t="shared" si="47"/>
        <v>5.99</v>
      </c>
    </row>
    <row r="979" spans="3:14" x14ac:dyDescent="0.25">
      <c r="C979" t="str">
        <f>IF(COUNTBLANK(E979:K979) = 7,"",IF(AND(NOT(ISBLANK(E979)),COUNTBLANK(E979:K979) = 6),"3 Delete",IF(ISBLANK(E979),"2 Add",IF(SHA1Range(E979:K979) = "1d711e986552b70b3d25538cc3c0330ca6a75711","0 Original","1 Modify"))))</f>
        <v>0 Original</v>
      </c>
      <c r="D979" s="5" t="s">
        <v>3253</v>
      </c>
      <c r="E979" s="3">
        <v>1517</v>
      </c>
      <c r="F979" t="s">
        <v>1258</v>
      </c>
      <c r="G979" t="s">
        <v>761</v>
      </c>
      <c r="H979" s="9">
        <v>8.99</v>
      </c>
      <c r="I979" s="3">
        <v>1</v>
      </c>
      <c r="J979" s="5" t="s">
        <v>68</v>
      </c>
      <c r="K979" s="15">
        <v>41820.490312499998</v>
      </c>
      <c r="L979" s="20">
        <f t="shared" si="45"/>
        <v>41820</v>
      </c>
      <c r="M979" t="str">
        <f t="shared" si="46"/>
        <v>06-2014</v>
      </c>
      <c r="N979">
        <f t="shared" si="47"/>
        <v>8.99</v>
      </c>
    </row>
    <row r="980" spans="3:14" x14ac:dyDescent="0.25">
      <c r="C980" t="str">
        <f>IF(COUNTBLANK(E980:K980) = 7,"",IF(AND(NOT(ISBLANK(E980)),COUNTBLANK(E980:K980) = 6),"3 Delete",IF(ISBLANK(E980),"2 Add",IF(SHA1Range(E980:K980) = "7f6d296316119e072c835060bbab0dd0b9d6a5a9","0 Original","1 Modify"))))</f>
        <v>0 Original</v>
      </c>
      <c r="D980" s="5" t="s">
        <v>3254</v>
      </c>
      <c r="E980" s="3">
        <v>1518</v>
      </c>
      <c r="F980" t="s">
        <v>1258</v>
      </c>
      <c r="G980" t="s">
        <v>684</v>
      </c>
      <c r="H980" s="9">
        <v>8.99</v>
      </c>
      <c r="I980" s="3">
        <v>1</v>
      </c>
      <c r="J980" s="5" t="s">
        <v>68</v>
      </c>
      <c r="K980" s="15">
        <v>41820.490312499998</v>
      </c>
      <c r="L980" s="20">
        <f t="shared" si="45"/>
        <v>41820</v>
      </c>
      <c r="M980" t="str">
        <f t="shared" si="46"/>
        <v>06-2014</v>
      </c>
      <c r="N980">
        <f t="shared" si="47"/>
        <v>8.99</v>
      </c>
    </row>
    <row r="981" spans="3:14" x14ac:dyDescent="0.25">
      <c r="C981" t="str">
        <f>IF(COUNTBLANK(E981:K981) = 7,"",IF(AND(NOT(ISBLANK(E981)),COUNTBLANK(E981:K981) = 6),"3 Delete",IF(ISBLANK(E981),"2 Add",IF(SHA1Range(E981:K981) = "af8196ff527e5b323a980e0bdc124e0f3f15fe12","0 Original","1 Modify"))))</f>
        <v>0 Original</v>
      </c>
      <c r="D981" s="5" t="s">
        <v>3255</v>
      </c>
      <c r="E981" s="3">
        <v>1519</v>
      </c>
      <c r="F981" t="s">
        <v>1258</v>
      </c>
      <c r="G981" t="s">
        <v>945</v>
      </c>
      <c r="H981" s="9">
        <v>4.99</v>
      </c>
      <c r="I981" s="3">
        <v>2</v>
      </c>
      <c r="J981" s="5" t="s">
        <v>68</v>
      </c>
      <c r="K981" s="15">
        <v>41820.490312499998</v>
      </c>
      <c r="L981" s="20">
        <f t="shared" si="45"/>
        <v>41820</v>
      </c>
      <c r="M981" t="str">
        <f t="shared" si="46"/>
        <v>06-2014</v>
      </c>
      <c r="N981">
        <f t="shared" si="47"/>
        <v>9.98</v>
      </c>
    </row>
    <row r="982" spans="3:14" x14ac:dyDescent="0.25">
      <c r="C982" t="str">
        <f>IF(COUNTBLANK(E982:K982) = 7,"",IF(AND(NOT(ISBLANK(E982)),COUNTBLANK(E982:K982) = 6),"3 Delete",IF(ISBLANK(E982),"2 Add",IF(SHA1Range(E982:K982) = "de20e391ca8b55f6946ba06fa3d225cfeb0bd402","0 Original","1 Modify"))))</f>
        <v>0 Original</v>
      </c>
      <c r="D982" s="5" t="s">
        <v>3256</v>
      </c>
      <c r="E982" s="3">
        <v>1520</v>
      </c>
      <c r="F982" t="s">
        <v>1258</v>
      </c>
      <c r="G982" t="s">
        <v>680</v>
      </c>
      <c r="H982" s="9">
        <v>8.99</v>
      </c>
      <c r="I982" s="3">
        <v>1</v>
      </c>
      <c r="J982" s="5" t="s">
        <v>68</v>
      </c>
      <c r="K982" s="15">
        <v>41820.490312499998</v>
      </c>
      <c r="L982" s="20">
        <f t="shared" si="45"/>
        <v>41820</v>
      </c>
      <c r="M982" t="str">
        <f t="shared" si="46"/>
        <v>06-2014</v>
      </c>
      <c r="N982">
        <f t="shared" si="47"/>
        <v>8.99</v>
      </c>
    </row>
    <row r="983" spans="3:14" x14ac:dyDescent="0.25">
      <c r="C983" t="str">
        <f>IF(COUNTBLANK(E983:K983) = 7,"",IF(AND(NOT(ISBLANK(E983)),COUNTBLANK(E983:K983) = 6),"3 Delete",IF(ISBLANK(E983),"2 Add",IF(SHA1Range(E983:K983) = "5a0a434217e08754bd4fd6f30646c7930b3a2cb0","0 Original","1 Modify"))))</f>
        <v>0 Original</v>
      </c>
      <c r="D983" s="5" t="s">
        <v>3257</v>
      </c>
      <c r="E983" s="3">
        <v>1521</v>
      </c>
      <c r="F983" t="s">
        <v>1258</v>
      </c>
      <c r="G983" t="s">
        <v>739</v>
      </c>
      <c r="H983" s="9">
        <v>8.99</v>
      </c>
      <c r="I983" s="3">
        <v>1</v>
      </c>
      <c r="J983" s="5" t="s">
        <v>68</v>
      </c>
      <c r="K983" s="15">
        <v>41820.490312499998</v>
      </c>
      <c r="L983" s="20">
        <f t="shared" si="45"/>
        <v>41820</v>
      </c>
      <c r="M983" t="str">
        <f t="shared" si="46"/>
        <v>06-2014</v>
      </c>
      <c r="N983">
        <f t="shared" si="47"/>
        <v>8.99</v>
      </c>
    </row>
    <row r="984" spans="3:14" x14ac:dyDescent="0.25">
      <c r="C984" t="str">
        <f>IF(COUNTBLANK(E984:K984) = 7,"",IF(AND(NOT(ISBLANK(E984)),COUNTBLANK(E984:K984) = 6),"3 Delete",IF(ISBLANK(E984),"2 Add",IF(SHA1Range(E984:K984) = "0012cf9846c570d4198683d84752f16f9d45d7a0","0 Original","1 Modify"))))</f>
        <v>0 Original</v>
      </c>
      <c r="D984" s="5" t="s">
        <v>3258</v>
      </c>
      <c r="E984" s="3">
        <v>835</v>
      </c>
      <c r="F984" t="s">
        <v>1259</v>
      </c>
      <c r="G984" t="s">
        <v>869</v>
      </c>
      <c r="H984" s="9">
        <v>4.99</v>
      </c>
      <c r="I984" s="3">
        <v>1</v>
      </c>
      <c r="J984" s="5" t="s">
        <v>68</v>
      </c>
      <c r="K984" s="15">
        <v>41820.557199074072</v>
      </c>
      <c r="L984" s="20">
        <f t="shared" si="45"/>
        <v>41820</v>
      </c>
      <c r="M984" t="str">
        <f t="shared" si="46"/>
        <v>06-2014</v>
      </c>
      <c r="N984">
        <f t="shared" si="47"/>
        <v>4.99</v>
      </c>
    </row>
    <row r="985" spans="3:14" x14ac:dyDescent="0.25">
      <c r="C985" t="str">
        <f>IF(COUNTBLANK(E985:K985) = 7,"",IF(AND(NOT(ISBLANK(E985)),COUNTBLANK(E985:K985) = 6),"3 Delete",IF(ISBLANK(E985),"2 Add",IF(SHA1Range(E985:K985) = "ee5c79f6accc3f76dbc49ff3f2649f83948158ca","0 Original","1 Modify"))))</f>
        <v>0 Original</v>
      </c>
      <c r="D985" s="5" t="s">
        <v>3259</v>
      </c>
      <c r="E985" s="3">
        <v>836</v>
      </c>
      <c r="F985" t="s">
        <v>1259</v>
      </c>
      <c r="G985" t="s">
        <v>482</v>
      </c>
      <c r="H985" s="9">
        <v>8.99</v>
      </c>
      <c r="I985" s="3">
        <v>1</v>
      </c>
      <c r="J985" s="5" t="s">
        <v>68</v>
      </c>
      <c r="K985" s="15">
        <v>41820.557199074072</v>
      </c>
      <c r="L985" s="20">
        <f t="shared" si="45"/>
        <v>41820</v>
      </c>
      <c r="M985" t="str">
        <f t="shared" si="46"/>
        <v>06-2014</v>
      </c>
      <c r="N985">
        <f t="shared" si="47"/>
        <v>8.99</v>
      </c>
    </row>
    <row r="986" spans="3:14" x14ac:dyDescent="0.25">
      <c r="C986" t="str">
        <f>IF(COUNTBLANK(E986:K986) = 7,"",IF(AND(NOT(ISBLANK(E986)),COUNTBLANK(E986:K986) = 6),"3 Delete",IF(ISBLANK(E986),"2 Add",IF(SHA1Range(E986:K986) = "e1203d4ed32db9e8aca20ca40ab3a4e60c8c5024","0 Original","1 Modify"))))</f>
        <v>0 Original</v>
      </c>
      <c r="D986" s="5" t="s">
        <v>3260</v>
      </c>
      <c r="E986" s="3">
        <v>2493</v>
      </c>
      <c r="F986" t="s">
        <v>1260</v>
      </c>
      <c r="G986" t="s">
        <v>687</v>
      </c>
      <c r="H986" s="9">
        <v>9.99</v>
      </c>
      <c r="I986" s="3">
        <v>1</v>
      </c>
      <c r="J986" s="5" t="s">
        <v>68</v>
      </c>
      <c r="K986" s="15">
        <v>41820.925358796296</v>
      </c>
      <c r="L986" s="20">
        <f t="shared" si="45"/>
        <v>41820</v>
      </c>
      <c r="M986" t="str">
        <f t="shared" si="46"/>
        <v>06-2014</v>
      </c>
      <c r="N986">
        <f t="shared" si="47"/>
        <v>9.99</v>
      </c>
    </row>
    <row r="987" spans="3:14" x14ac:dyDescent="0.25">
      <c r="C987" t="str">
        <f>IF(COUNTBLANK(E987:K987) = 7,"",IF(AND(NOT(ISBLANK(E987)),COUNTBLANK(E987:K987) = 6),"3 Delete",IF(ISBLANK(E987),"2 Add",IF(SHA1Range(E987:K987) = "3358b90370fc4cc8004d6b0bae583ca9cf0360f4","0 Original","1 Modify"))))</f>
        <v>0 Original</v>
      </c>
      <c r="D987" s="5" t="s">
        <v>3261</v>
      </c>
      <c r="E987" s="3">
        <v>2494</v>
      </c>
      <c r="F987" t="s">
        <v>1260</v>
      </c>
      <c r="G987" t="s">
        <v>642</v>
      </c>
      <c r="H987" s="9">
        <v>9.99</v>
      </c>
      <c r="I987" s="3">
        <v>1</v>
      </c>
      <c r="J987" s="5" t="s">
        <v>68</v>
      </c>
      <c r="K987" s="15">
        <v>41820.925358796296</v>
      </c>
      <c r="L987" s="20">
        <f t="shared" si="45"/>
        <v>41820</v>
      </c>
      <c r="M987" t="str">
        <f t="shared" si="46"/>
        <v>06-2014</v>
      </c>
      <c r="N987">
        <f t="shared" si="47"/>
        <v>9.99</v>
      </c>
    </row>
    <row r="988" spans="3:14" x14ac:dyDescent="0.25">
      <c r="C988" t="str">
        <f>IF(COUNTBLANK(E988:K988) = 7,"",IF(AND(NOT(ISBLANK(E988)),COUNTBLANK(E988:K988) = 6),"3 Delete",IF(ISBLANK(E988),"2 Add",IF(SHA1Range(E988:K988) = "973ddc2d72715909fe46df85c45ed130a1068184","0 Original","1 Modify"))))</f>
        <v>0 Original</v>
      </c>
      <c r="D988" s="5" t="s">
        <v>3262</v>
      </c>
      <c r="E988" s="3">
        <v>2495</v>
      </c>
      <c r="F988" t="s">
        <v>1260</v>
      </c>
      <c r="G988" t="s">
        <v>749</v>
      </c>
      <c r="H988" s="9">
        <v>5.99</v>
      </c>
      <c r="I988" s="3">
        <v>1</v>
      </c>
      <c r="J988" s="5" t="s">
        <v>68</v>
      </c>
      <c r="K988" s="15">
        <v>41820.925358796296</v>
      </c>
      <c r="L988" s="20">
        <f t="shared" si="45"/>
        <v>41820</v>
      </c>
      <c r="M988" t="str">
        <f t="shared" si="46"/>
        <v>06-2014</v>
      </c>
      <c r="N988">
        <f t="shared" si="47"/>
        <v>5.99</v>
      </c>
    </row>
    <row r="989" spans="3:14" x14ac:dyDescent="0.25">
      <c r="C989" t="str">
        <f>IF(COUNTBLANK(E989:K989) = 7,"",IF(AND(NOT(ISBLANK(E989)),COUNTBLANK(E989:K989) = 6),"3 Delete",IF(ISBLANK(E989),"2 Add",IF(SHA1Range(E989:K989) = "bd81bc75b45385ae636a2ea3fdb4e5daf45c76b8","0 Original","1 Modify"))))</f>
        <v>0 Original</v>
      </c>
      <c r="D989" s="5" t="s">
        <v>3263</v>
      </c>
      <c r="E989" s="3">
        <v>2496</v>
      </c>
      <c r="F989" t="s">
        <v>1260</v>
      </c>
      <c r="G989" t="s">
        <v>400</v>
      </c>
      <c r="H989" s="9">
        <v>4.99</v>
      </c>
      <c r="I989" s="3">
        <v>1</v>
      </c>
      <c r="J989" s="5" t="s">
        <v>68</v>
      </c>
      <c r="K989" s="15">
        <v>41820.925358796296</v>
      </c>
      <c r="L989" s="20">
        <f t="shared" si="45"/>
        <v>41820</v>
      </c>
      <c r="M989" t="str">
        <f t="shared" si="46"/>
        <v>06-2014</v>
      </c>
      <c r="N989">
        <f t="shared" si="47"/>
        <v>4.99</v>
      </c>
    </row>
    <row r="990" spans="3:14" x14ac:dyDescent="0.25">
      <c r="C990" t="str">
        <f>IF(COUNTBLANK(E990:K990) = 7,"",IF(AND(NOT(ISBLANK(E990)),COUNTBLANK(E990:K990) = 6),"3 Delete",IF(ISBLANK(E990),"2 Add",IF(SHA1Range(E990:K990) = "19bc98c4eab5c322eb0cfce77fbaf68aa5323733","0 Original","1 Modify"))))</f>
        <v>0 Original</v>
      </c>
      <c r="D990" s="5" t="s">
        <v>3264</v>
      </c>
      <c r="E990" s="3">
        <v>3646</v>
      </c>
      <c r="F990" t="s">
        <v>1261</v>
      </c>
      <c r="G990" t="s">
        <v>749</v>
      </c>
      <c r="H990" s="9">
        <v>5.99</v>
      </c>
      <c r="I990" s="3">
        <v>1</v>
      </c>
      <c r="J990" s="5" t="s">
        <v>68</v>
      </c>
      <c r="K990" s="15">
        <v>41820.960115740738</v>
      </c>
      <c r="L990" s="20">
        <f t="shared" si="45"/>
        <v>41820</v>
      </c>
      <c r="M990" t="str">
        <f t="shared" si="46"/>
        <v>06-2014</v>
      </c>
      <c r="N990">
        <f t="shared" si="47"/>
        <v>5.99</v>
      </c>
    </row>
    <row r="991" spans="3:14" x14ac:dyDescent="0.25">
      <c r="C991" t="str">
        <f>IF(COUNTBLANK(E991:K991) = 7,"",IF(AND(NOT(ISBLANK(E991)),COUNTBLANK(E991:K991) = 6),"3 Delete",IF(ISBLANK(E991),"2 Add",IF(SHA1Range(E991:K991) = "4d47eb05a4c5a90d74a92c120b5d583704a4dcb1","0 Original","1 Modify"))))</f>
        <v>0 Original</v>
      </c>
      <c r="D991" s="5" t="s">
        <v>3265</v>
      </c>
      <c r="E991" s="3">
        <v>3647</v>
      </c>
      <c r="F991" t="s">
        <v>1261</v>
      </c>
      <c r="G991" t="s">
        <v>948</v>
      </c>
      <c r="H991" s="9">
        <v>4.99</v>
      </c>
      <c r="I991" s="3">
        <v>1</v>
      </c>
      <c r="J991" s="5" t="s">
        <v>68</v>
      </c>
      <c r="K991" s="15">
        <v>41820.960115740738</v>
      </c>
      <c r="L991" s="20">
        <f t="shared" si="45"/>
        <v>41820</v>
      </c>
      <c r="M991" t="str">
        <f t="shared" si="46"/>
        <v>06-2014</v>
      </c>
      <c r="N991">
        <f t="shared" si="47"/>
        <v>4.99</v>
      </c>
    </row>
    <row r="992" spans="3:14" x14ac:dyDescent="0.25">
      <c r="C992" t="str">
        <f>IF(COUNTBLANK(E992:K992) = 7,"",IF(AND(NOT(ISBLANK(E992)),COUNTBLANK(E992:K992) = 6),"3 Delete",IF(ISBLANK(E992),"2 Add",IF(SHA1Range(E992:K992) = "9f21a1afa907d1298bf04c99993c42fed6fdd966","0 Original","1 Modify"))))</f>
        <v>0 Original</v>
      </c>
      <c r="D992" s="5" t="s">
        <v>3266</v>
      </c>
      <c r="E992" s="3">
        <v>3648</v>
      </c>
      <c r="F992" t="s">
        <v>1261</v>
      </c>
      <c r="G992" t="s">
        <v>749</v>
      </c>
      <c r="H992" s="9">
        <v>5.99</v>
      </c>
      <c r="I992" s="3">
        <v>2</v>
      </c>
      <c r="J992" s="5" t="s">
        <v>68</v>
      </c>
      <c r="K992" s="15">
        <v>41820.960115740738</v>
      </c>
      <c r="L992" s="20">
        <f t="shared" si="45"/>
        <v>41820</v>
      </c>
      <c r="M992" t="str">
        <f t="shared" si="46"/>
        <v>06-2014</v>
      </c>
      <c r="N992">
        <f t="shared" si="47"/>
        <v>11.98</v>
      </c>
    </row>
    <row r="993" spans="3:14" x14ac:dyDescent="0.25">
      <c r="C993" t="str">
        <f>IF(COUNTBLANK(E993:K993) = 7,"",IF(AND(NOT(ISBLANK(E993)),COUNTBLANK(E993:K993) = 6),"3 Delete",IF(ISBLANK(E993),"2 Add",IF(SHA1Range(E993:K993) = "7cc171d918bb7a7c8e809fee013659d388f943e3","0 Original","1 Modify"))))</f>
        <v>0 Original</v>
      </c>
      <c r="D993" s="5" t="s">
        <v>3267</v>
      </c>
      <c r="E993" s="3">
        <v>1649</v>
      </c>
      <c r="F993" t="s">
        <v>1262</v>
      </c>
      <c r="G993" t="s">
        <v>912</v>
      </c>
      <c r="H993" s="9">
        <v>6.99</v>
      </c>
      <c r="I993" s="3">
        <v>1</v>
      </c>
      <c r="J993" s="5" t="s">
        <v>68</v>
      </c>
      <c r="K993" s="15">
        <v>41821.255810185183</v>
      </c>
      <c r="L993" s="20">
        <f t="shared" si="45"/>
        <v>41821</v>
      </c>
      <c r="M993" t="str">
        <f t="shared" si="46"/>
        <v>07-2014</v>
      </c>
      <c r="N993">
        <f t="shared" si="47"/>
        <v>6.99</v>
      </c>
    </row>
    <row r="994" spans="3:14" x14ac:dyDescent="0.25">
      <c r="C994" t="str">
        <f>IF(COUNTBLANK(E994:K994) = 7,"",IF(AND(NOT(ISBLANK(E994)),COUNTBLANK(E994:K994) = 6),"3 Delete",IF(ISBLANK(E994),"2 Add",IF(SHA1Range(E994:K994) = "333633277aab3b5232f2cad729b5b19547521338","0 Original","1 Modify"))))</f>
        <v>0 Original</v>
      </c>
      <c r="D994" s="5" t="s">
        <v>3268</v>
      </c>
      <c r="E994" s="3">
        <v>1650</v>
      </c>
      <c r="F994" t="s">
        <v>1262</v>
      </c>
      <c r="G994" t="s">
        <v>610</v>
      </c>
      <c r="H994" s="9">
        <v>9.99</v>
      </c>
      <c r="I994" s="3">
        <v>2</v>
      </c>
      <c r="J994" s="5" t="s">
        <v>68</v>
      </c>
      <c r="K994" s="15">
        <v>41821.255810185183</v>
      </c>
      <c r="L994" s="20">
        <f t="shared" si="45"/>
        <v>41821</v>
      </c>
      <c r="M994" t="str">
        <f t="shared" si="46"/>
        <v>07-2014</v>
      </c>
      <c r="N994">
        <f t="shared" si="47"/>
        <v>19.98</v>
      </c>
    </row>
    <row r="995" spans="3:14" x14ac:dyDescent="0.25">
      <c r="C995" t="str">
        <f>IF(COUNTBLANK(E995:K995) = 7,"",IF(AND(NOT(ISBLANK(E995)),COUNTBLANK(E995:K995) = 6),"3 Delete",IF(ISBLANK(E995),"2 Add",IF(SHA1Range(E995:K995) = "4947dc68af5beb56513c75a0158b83100bb245a4","0 Original","1 Modify"))))</f>
        <v>0 Original</v>
      </c>
      <c r="D995" s="5" t="s">
        <v>3269</v>
      </c>
      <c r="E995" s="3">
        <v>2613</v>
      </c>
      <c r="F995" t="s">
        <v>1263</v>
      </c>
      <c r="G995" t="s">
        <v>642</v>
      </c>
      <c r="H995" s="9">
        <v>9.99</v>
      </c>
      <c r="I995" s="3">
        <v>1</v>
      </c>
      <c r="J995" s="5" t="s">
        <v>68</v>
      </c>
      <c r="K995" s="15">
        <v>41822.808194444442</v>
      </c>
      <c r="L995" s="20">
        <f t="shared" si="45"/>
        <v>41822</v>
      </c>
      <c r="M995" t="str">
        <f t="shared" si="46"/>
        <v>07-2014</v>
      </c>
      <c r="N995">
        <f t="shared" si="47"/>
        <v>9.99</v>
      </c>
    </row>
    <row r="996" spans="3:14" x14ac:dyDescent="0.25">
      <c r="C996" t="str">
        <f>IF(COUNTBLANK(E996:K996) = 7,"",IF(AND(NOT(ISBLANK(E996)),COUNTBLANK(E996:K996) = 6),"3 Delete",IF(ISBLANK(E996),"2 Add",IF(SHA1Range(E996:K996) = "35845f8384227c988d14deea5bc275036b566d11","0 Original","1 Modify"))))</f>
        <v>0 Original</v>
      </c>
      <c r="D996" s="5" t="s">
        <v>3270</v>
      </c>
      <c r="E996" s="3">
        <v>2614</v>
      </c>
      <c r="F996" t="s">
        <v>1263</v>
      </c>
      <c r="G996" t="s">
        <v>642</v>
      </c>
      <c r="H996" s="9">
        <v>9.99</v>
      </c>
      <c r="I996" s="3">
        <v>2</v>
      </c>
      <c r="J996" s="5" t="s">
        <v>68</v>
      </c>
      <c r="K996" s="15">
        <v>41822.808194444442</v>
      </c>
      <c r="L996" s="20">
        <f t="shared" si="45"/>
        <v>41822</v>
      </c>
      <c r="M996" t="str">
        <f t="shared" si="46"/>
        <v>07-2014</v>
      </c>
      <c r="N996">
        <f t="shared" si="47"/>
        <v>19.98</v>
      </c>
    </row>
    <row r="997" spans="3:14" x14ac:dyDescent="0.25">
      <c r="C997" t="str">
        <f>IF(COUNTBLANK(E997:K997) = 7,"",IF(AND(NOT(ISBLANK(E997)),COUNTBLANK(E997:K997) = 6),"3 Delete",IF(ISBLANK(E997),"2 Add",IF(SHA1Range(E997:K997) = "39727919140324ddaecead5ab51dacff4a2a272a","0 Original","1 Modify"))))</f>
        <v>0 Original</v>
      </c>
      <c r="D997" s="5" t="s">
        <v>3271</v>
      </c>
      <c r="E997" s="3">
        <v>2435</v>
      </c>
      <c r="F997" t="s">
        <v>1264</v>
      </c>
      <c r="G997" t="s">
        <v>948</v>
      </c>
      <c r="H997" s="9">
        <v>4.99</v>
      </c>
      <c r="I997" s="3">
        <v>1</v>
      </c>
      <c r="J997" s="5" t="s">
        <v>68</v>
      </c>
      <c r="K997" s="15">
        <v>41822.84716435185</v>
      </c>
      <c r="L997" s="20">
        <f t="shared" si="45"/>
        <v>41822</v>
      </c>
      <c r="M997" t="str">
        <f t="shared" si="46"/>
        <v>07-2014</v>
      </c>
      <c r="N997">
        <f t="shared" si="47"/>
        <v>4.99</v>
      </c>
    </row>
    <row r="998" spans="3:14" x14ac:dyDescent="0.25">
      <c r="C998" t="str">
        <f>IF(COUNTBLANK(E998:K998) = 7,"",IF(AND(NOT(ISBLANK(E998)),COUNTBLANK(E998:K998) = 6),"3 Delete",IF(ISBLANK(E998),"2 Add",IF(SHA1Range(E998:K998) = "ba4b05f4382be8c086a27e6c58b17be557647c1d","0 Original","1 Modify"))))</f>
        <v>0 Original</v>
      </c>
      <c r="D998" s="5" t="s">
        <v>3272</v>
      </c>
      <c r="E998" s="3">
        <v>3085</v>
      </c>
      <c r="F998" t="s">
        <v>1265</v>
      </c>
      <c r="G998" t="s">
        <v>514</v>
      </c>
      <c r="H998" s="9">
        <v>6.99</v>
      </c>
      <c r="I998" s="3">
        <v>1</v>
      </c>
      <c r="J998" s="5" t="s">
        <v>68</v>
      </c>
      <c r="K998" s="15">
        <v>41823.166527777779</v>
      </c>
      <c r="L998" s="20">
        <f t="shared" si="45"/>
        <v>41823</v>
      </c>
      <c r="M998" t="str">
        <f t="shared" si="46"/>
        <v>07-2014</v>
      </c>
      <c r="N998">
        <f t="shared" si="47"/>
        <v>6.99</v>
      </c>
    </row>
    <row r="999" spans="3:14" x14ac:dyDescent="0.25">
      <c r="C999" t="str">
        <f>IF(COUNTBLANK(E999:K999) = 7,"",IF(AND(NOT(ISBLANK(E999)),COUNTBLANK(E999:K999) = 6),"3 Delete",IF(ISBLANK(E999),"2 Add",IF(SHA1Range(E999:K999) = "90cd1e06a61e473e8b9143245c995bebd484099d","0 Original","1 Modify"))))</f>
        <v>0 Original</v>
      </c>
      <c r="D999" s="5" t="s">
        <v>3273</v>
      </c>
      <c r="E999" s="3">
        <v>3086</v>
      </c>
      <c r="F999" t="s">
        <v>1265</v>
      </c>
      <c r="G999" t="s">
        <v>373</v>
      </c>
      <c r="H999" s="9">
        <v>7.99</v>
      </c>
      <c r="I999" s="3">
        <v>1</v>
      </c>
      <c r="J999" s="5" t="s">
        <v>68</v>
      </c>
      <c r="K999" s="15">
        <v>41823.166527777779</v>
      </c>
      <c r="L999" s="20">
        <f t="shared" si="45"/>
        <v>41823</v>
      </c>
      <c r="M999" t="str">
        <f t="shared" si="46"/>
        <v>07-2014</v>
      </c>
      <c r="N999">
        <f t="shared" si="47"/>
        <v>7.99</v>
      </c>
    </row>
    <row r="1000" spans="3:14" x14ac:dyDescent="0.25">
      <c r="C1000" t="str">
        <f>IF(COUNTBLANK(E1000:K1000) = 7,"",IF(AND(NOT(ISBLANK(E1000)),COUNTBLANK(E1000:K1000) = 6),"3 Delete",IF(ISBLANK(E1000),"2 Add",IF(SHA1Range(E1000:K1000) = "f8fee6ad297f132501c38bf3e6fb7e9c4b7d510f","0 Original","1 Modify"))))</f>
        <v>0 Original</v>
      </c>
      <c r="D1000" s="5" t="s">
        <v>3274</v>
      </c>
      <c r="E1000" s="3">
        <v>3087</v>
      </c>
      <c r="F1000" t="s">
        <v>1265</v>
      </c>
      <c r="G1000" t="s">
        <v>579</v>
      </c>
      <c r="H1000" s="9">
        <v>9.99</v>
      </c>
      <c r="I1000" s="3">
        <v>1</v>
      </c>
      <c r="J1000" s="5" t="s">
        <v>68</v>
      </c>
      <c r="K1000" s="15">
        <v>41823.166527777779</v>
      </c>
      <c r="L1000" s="20">
        <f t="shared" si="45"/>
        <v>41823</v>
      </c>
      <c r="M1000" t="str">
        <f t="shared" si="46"/>
        <v>07-2014</v>
      </c>
      <c r="N1000">
        <f t="shared" si="47"/>
        <v>9.99</v>
      </c>
    </row>
    <row r="1001" spans="3:14" x14ac:dyDescent="0.25">
      <c r="C1001" t="str">
        <f>IF(COUNTBLANK(E1001:K1001) = 7,"",IF(AND(NOT(ISBLANK(E1001)),COUNTBLANK(E1001:K1001) = 6),"3 Delete",IF(ISBLANK(E1001),"2 Add",IF(SHA1Range(E1001:K1001) = "e4a788d44ce8035443b2fa018503e18946f608fb","0 Original","1 Modify"))))</f>
        <v>0 Original</v>
      </c>
      <c r="D1001" s="5" t="s">
        <v>3275</v>
      </c>
      <c r="E1001" s="3">
        <v>3088</v>
      </c>
      <c r="F1001" t="s">
        <v>1265</v>
      </c>
      <c r="G1001" t="s">
        <v>514</v>
      </c>
      <c r="H1001" s="9">
        <v>6.99</v>
      </c>
      <c r="I1001" s="3">
        <v>2</v>
      </c>
      <c r="J1001" s="5" t="s">
        <v>68</v>
      </c>
      <c r="K1001" s="15">
        <v>41823.166527777779</v>
      </c>
      <c r="L1001" s="20">
        <f t="shared" si="45"/>
        <v>41823</v>
      </c>
      <c r="M1001" t="str">
        <f t="shared" si="46"/>
        <v>07-2014</v>
      </c>
      <c r="N1001">
        <f t="shared" si="47"/>
        <v>13.98</v>
      </c>
    </row>
    <row r="1002" spans="3:14" x14ac:dyDescent="0.25">
      <c r="C1002" t="str">
        <f>IF(COUNTBLANK(E1002:K1002) = 7,"",IF(AND(NOT(ISBLANK(E1002)),COUNTBLANK(E1002:K1002) = 6),"3 Delete",IF(ISBLANK(E1002),"2 Add",IF(SHA1Range(E1002:K1002) = "b858cb282617fb0956d960215c8e84d1ccf909c6","0 Original","1 Modify"))))</f>
        <v>1 Modify</v>
      </c>
      <c r="D1002" s="5" t="s">
        <v>3276</v>
      </c>
      <c r="E1002" s="3">
        <v>2327</v>
      </c>
      <c r="F1002" t="s">
        <v>1266</v>
      </c>
      <c r="G1002" t="s">
        <v>445</v>
      </c>
      <c r="H1002" s="9">
        <v>7.99</v>
      </c>
      <c r="I1002" s="3">
        <v>1</v>
      </c>
      <c r="J1002" s="5" t="s">
        <v>68</v>
      </c>
      <c r="K1002" s="15">
        <v>41823.283912037034</v>
      </c>
      <c r="L1002" s="20">
        <f t="shared" si="45"/>
        <v>41823</v>
      </c>
      <c r="M1002" t="str">
        <f t="shared" si="46"/>
        <v>07-2014</v>
      </c>
      <c r="N1002">
        <f t="shared" si="47"/>
        <v>7.99</v>
      </c>
    </row>
    <row r="1003" spans="3:14" x14ac:dyDescent="0.25">
      <c r="C1003" t="str">
        <f>IF(COUNTBLANK(E1003:K1003) = 7,"",IF(AND(NOT(ISBLANK(E1003)),COUNTBLANK(E1003:K1003) = 6),"3 Delete",IF(ISBLANK(E1003),"2 Add",IF(SHA1Range(E1003:K1003) = "be5b1905d4d5e36e508b33f6c466c0f5e44d8040","0 Original","1 Modify"))))</f>
        <v>0 Original</v>
      </c>
      <c r="D1003" s="5" t="s">
        <v>3277</v>
      </c>
      <c r="E1003" s="3">
        <v>2328</v>
      </c>
      <c r="F1003" t="s">
        <v>1266</v>
      </c>
      <c r="G1003" t="s">
        <v>891</v>
      </c>
      <c r="H1003" s="9">
        <v>8.99</v>
      </c>
      <c r="I1003" s="3">
        <v>1</v>
      </c>
      <c r="J1003" s="5" t="s">
        <v>68</v>
      </c>
      <c r="K1003" s="15">
        <v>41823.283912037034</v>
      </c>
      <c r="L1003" s="20">
        <f t="shared" si="45"/>
        <v>41823</v>
      </c>
      <c r="M1003" t="str">
        <f t="shared" si="46"/>
        <v>07-2014</v>
      </c>
      <c r="N1003">
        <f t="shared" si="47"/>
        <v>8.99</v>
      </c>
    </row>
    <row r="1004" spans="3:14" x14ac:dyDescent="0.25">
      <c r="C1004" t="str">
        <f>IF(COUNTBLANK(E1004:K1004) = 7,"",IF(AND(NOT(ISBLANK(E1004)),COUNTBLANK(E1004:K1004) = 6),"3 Delete",IF(ISBLANK(E1004),"2 Add",IF(SHA1Range(E1004:K1004) = "8e5804522e3f94233069478bfd7dccdfe99a0ae6","0 Original","1 Modify"))))</f>
        <v>0 Original</v>
      </c>
      <c r="D1004" s="5" t="s">
        <v>3278</v>
      </c>
      <c r="E1004" s="3">
        <v>2329</v>
      </c>
      <c r="F1004" t="s">
        <v>1266</v>
      </c>
      <c r="G1004" t="s">
        <v>657</v>
      </c>
      <c r="H1004" s="9">
        <v>9.99</v>
      </c>
      <c r="I1004" s="3">
        <v>1</v>
      </c>
      <c r="J1004" s="5" t="s">
        <v>68</v>
      </c>
      <c r="K1004" s="15">
        <v>41823.283912037034</v>
      </c>
      <c r="L1004" s="20">
        <f t="shared" si="45"/>
        <v>41823</v>
      </c>
      <c r="M1004" t="str">
        <f t="shared" si="46"/>
        <v>07-2014</v>
      </c>
      <c r="N1004">
        <f t="shared" si="47"/>
        <v>9.99</v>
      </c>
    </row>
    <row r="1005" spans="3:14" x14ac:dyDescent="0.25">
      <c r="C1005" t="str">
        <f>IF(COUNTBLANK(E1005:K1005) = 7,"",IF(AND(NOT(ISBLANK(E1005)),COUNTBLANK(E1005:K1005) = 6),"3 Delete",IF(ISBLANK(E1005),"2 Add",IF(SHA1Range(E1005:K1005) = "ffccbe0cc8e4704ec5fa1faa89a59de08df48880","0 Original","1 Modify"))))</f>
        <v>0 Original</v>
      </c>
      <c r="D1005" s="5" t="s">
        <v>3279</v>
      </c>
      <c r="E1005" s="3">
        <v>3132</v>
      </c>
      <c r="F1005" t="s">
        <v>1267</v>
      </c>
      <c r="G1005" t="s">
        <v>707</v>
      </c>
      <c r="H1005" s="9">
        <v>7.99</v>
      </c>
      <c r="I1005" s="3">
        <v>1</v>
      </c>
      <c r="J1005" s="5" t="s">
        <v>68</v>
      </c>
      <c r="K1005" s="15">
        <v>41823.639930555553</v>
      </c>
      <c r="L1005" s="20">
        <f t="shared" si="45"/>
        <v>41823</v>
      </c>
      <c r="M1005" t="str">
        <f t="shared" si="46"/>
        <v>07-2014</v>
      </c>
      <c r="N1005">
        <f t="shared" si="47"/>
        <v>7.99</v>
      </c>
    </row>
    <row r="1006" spans="3:14" x14ac:dyDescent="0.25">
      <c r="C1006" t="str">
        <f>IF(COUNTBLANK(E1006:K1006) = 7,"",IF(AND(NOT(ISBLANK(E1006)),COUNTBLANK(E1006:K1006) = 6),"3 Delete",IF(ISBLANK(E1006),"2 Add",IF(SHA1Range(E1006:K1006) = "030969cdfb84bac4dfa8b2c266bc64823508430f","0 Original","1 Modify"))))</f>
        <v>0 Original</v>
      </c>
      <c r="D1006" s="5" t="s">
        <v>3280</v>
      </c>
      <c r="E1006" s="3">
        <v>3133</v>
      </c>
      <c r="F1006" t="s">
        <v>1267</v>
      </c>
      <c r="G1006" t="s">
        <v>707</v>
      </c>
      <c r="H1006" s="9">
        <v>7.99</v>
      </c>
      <c r="I1006" s="3">
        <v>1</v>
      </c>
      <c r="J1006" s="5" t="s">
        <v>68</v>
      </c>
      <c r="K1006" s="15">
        <v>41823.639930555553</v>
      </c>
      <c r="L1006" s="20">
        <f t="shared" si="45"/>
        <v>41823</v>
      </c>
      <c r="M1006" t="str">
        <f t="shared" si="46"/>
        <v>07-2014</v>
      </c>
      <c r="N1006">
        <f t="shared" si="47"/>
        <v>7.99</v>
      </c>
    </row>
    <row r="1007" spans="3:14" x14ac:dyDescent="0.25">
      <c r="C1007" t="str">
        <f>IF(COUNTBLANK(E1007:K1007) = 7,"",IF(AND(NOT(ISBLANK(E1007)),COUNTBLANK(E1007:K1007) = 6),"3 Delete",IF(ISBLANK(E1007),"2 Add",IF(SHA1Range(E1007:K1007) = "efc558511ebcace757a516d1f48d39663a022eec","0 Original","1 Modify"))))</f>
        <v>0 Original</v>
      </c>
      <c r="D1007" s="5" t="s">
        <v>3281</v>
      </c>
      <c r="E1007" s="3">
        <v>3612</v>
      </c>
      <c r="F1007" t="s">
        <v>1268</v>
      </c>
      <c r="G1007" t="s">
        <v>749</v>
      </c>
      <c r="H1007" s="9">
        <v>5.99</v>
      </c>
      <c r="I1007" s="3">
        <v>2</v>
      </c>
      <c r="J1007" s="5" t="s">
        <v>68</v>
      </c>
      <c r="K1007" s="15">
        <v>41823.917337962965</v>
      </c>
      <c r="L1007" s="20">
        <f t="shared" si="45"/>
        <v>41823</v>
      </c>
      <c r="M1007" t="str">
        <f t="shared" si="46"/>
        <v>07-2014</v>
      </c>
      <c r="N1007">
        <f t="shared" si="47"/>
        <v>11.98</v>
      </c>
    </row>
    <row r="1008" spans="3:14" x14ac:dyDescent="0.25">
      <c r="C1008" t="str">
        <f>IF(COUNTBLANK(E1008:K1008) = 7,"",IF(AND(NOT(ISBLANK(E1008)),COUNTBLANK(E1008:K1008) = 6),"3 Delete",IF(ISBLANK(E1008),"2 Add",IF(SHA1Range(E1008:K1008) = "5cad5dd9cd0b10246b9a7ac57693a09994ddf9b6","0 Original","1 Modify"))))</f>
        <v>0 Original</v>
      </c>
      <c r="D1008" s="5" t="s">
        <v>3282</v>
      </c>
      <c r="E1008" s="3">
        <v>3613</v>
      </c>
      <c r="F1008" t="s">
        <v>1268</v>
      </c>
      <c r="G1008" t="s">
        <v>400</v>
      </c>
      <c r="H1008" s="9">
        <v>4.99</v>
      </c>
      <c r="I1008" s="3">
        <v>1</v>
      </c>
      <c r="J1008" s="5" t="s">
        <v>68</v>
      </c>
      <c r="K1008" s="15">
        <v>41823.917337962965</v>
      </c>
      <c r="L1008" s="20">
        <f t="shared" si="45"/>
        <v>41823</v>
      </c>
      <c r="M1008" t="str">
        <f t="shared" si="46"/>
        <v>07-2014</v>
      </c>
      <c r="N1008">
        <f t="shared" si="47"/>
        <v>4.99</v>
      </c>
    </row>
    <row r="1009" spans="3:14" x14ac:dyDescent="0.25">
      <c r="C1009" t="str">
        <f>IF(COUNTBLANK(E1009:K1009) = 7,"",IF(AND(NOT(ISBLANK(E1009)),COUNTBLANK(E1009:K1009) = 6),"3 Delete",IF(ISBLANK(E1009),"2 Add",IF(SHA1Range(E1009:K1009) = "ac7ad02e834eb54774a04ef1c3dee8547a2bdd13","0 Original","1 Modify"))))</f>
        <v>0 Original</v>
      </c>
      <c r="D1009" s="5" t="s">
        <v>3283</v>
      </c>
      <c r="E1009" s="3">
        <v>3614</v>
      </c>
      <c r="F1009" t="s">
        <v>1268</v>
      </c>
      <c r="G1009" t="s">
        <v>514</v>
      </c>
      <c r="H1009" s="9">
        <v>6.99</v>
      </c>
      <c r="I1009" s="3">
        <v>1</v>
      </c>
      <c r="J1009" s="5" t="s">
        <v>68</v>
      </c>
      <c r="K1009" s="15">
        <v>41823.917337962965</v>
      </c>
      <c r="L1009" s="20">
        <f t="shared" si="45"/>
        <v>41823</v>
      </c>
      <c r="M1009" t="str">
        <f t="shared" si="46"/>
        <v>07-2014</v>
      </c>
      <c r="N1009">
        <f t="shared" si="47"/>
        <v>6.99</v>
      </c>
    </row>
    <row r="1010" spans="3:14" x14ac:dyDescent="0.25">
      <c r="C1010" t="str">
        <f>IF(COUNTBLANK(E1010:K1010) = 7,"",IF(AND(NOT(ISBLANK(E1010)),COUNTBLANK(E1010:K1010) = 6),"3 Delete",IF(ISBLANK(E1010),"2 Add",IF(SHA1Range(E1010:K1010) = "9880fa62b804f2158d932056801ccbeff283f48e","0 Original","1 Modify"))))</f>
        <v>0 Original</v>
      </c>
      <c r="D1010" s="5" t="s">
        <v>3284</v>
      </c>
      <c r="E1010" s="3">
        <v>993</v>
      </c>
      <c r="F1010" t="s">
        <v>1269</v>
      </c>
      <c r="G1010" t="s">
        <v>749</v>
      </c>
      <c r="H1010" s="9">
        <v>5.99</v>
      </c>
      <c r="I1010" s="3">
        <v>2</v>
      </c>
      <c r="J1010" s="5" t="s">
        <v>68</v>
      </c>
      <c r="K1010" s="15">
        <v>41825.88853009259</v>
      </c>
      <c r="L1010" s="20">
        <f t="shared" si="45"/>
        <v>41825</v>
      </c>
      <c r="M1010" t="str">
        <f t="shared" si="46"/>
        <v>07-2014</v>
      </c>
      <c r="N1010">
        <f t="shared" si="47"/>
        <v>11.98</v>
      </c>
    </row>
    <row r="1011" spans="3:14" x14ac:dyDescent="0.25">
      <c r="C1011" t="str">
        <f>IF(COUNTBLANK(E1011:K1011) = 7,"",IF(AND(NOT(ISBLANK(E1011)),COUNTBLANK(E1011:K1011) = 6),"3 Delete",IF(ISBLANK(E1011),"2 Add",IF(SHA1Range(E1011:K1011) = "c38e185f45a17d5e2d1cce25b2c4d0d9accbcfb6","0 Original","1 Modify"))))</f>
        <v>0 Original</v>
      </c>
      <c r="D1011" s="5" t="s">
        <v>3285</v>
      </c>
      <c r="E1011" s="3">
        <v>994</v>
      </c>
      <c r="F1011" t="s">
        <v>1269</v>
      </c>
      <c r="G1011" t="s">
        <v>781</v>
      </c>
      <c r="H1011" s="9">
        <v>5.99</v>
      </c>
      <c r="I1011" s="3">
        <v>1</v>
      </c>
      <c r="J1011" s="5" t="s">
        <v>68</v>
      </c>
      <c r="K1011" s="15">
        <v>41825.88853009259</v>
      </c>
      <c r="L1011" s="20">
        <f t="shared" si="45"/>
        <v>41825</v>
      </c>
      <c r="M1011" t="str">
        <f t="shared" si="46"/>
        <v>07-2014</v>
      </c>
      <c r="N1011">
        <f t="shared" si="47"/>
        <v>5.99</v>
      </c>
    </row>
    <row r="1012" spans="3:14" x14ac:dyDescent="0.25">
      <c r="C1012" t="str">
        <f>IF(COUNTBLANK(E1012:K1012) = 7,"",IF(AND(NOT(ISBLANK(E1012)),COUNTBLANK(E1012:K1012) = 6),"3 Delete",IF(ISBLANK(E1012),"2 Add",IF(SHA1Range(E1012:K1012) = "68ac457eb21f137e25e794c660c520cb12562a7a","0 Original","1 Modify"))))</f>
        <v>0 Original</v>
      </c>
      <c r="D1012" s="5" t="s">
        <v>3286</v>
      </c>
      <c r="E1012" s="3">
        <v>995</v>
      </c>
      <c r="F1012" t="s">
        <v>1269</v>
      </c>
      <c r="G1012" t="s">
        <v>687</v>
      </c>
      <c r="H1012" s="9">
        <v>9.99</v>
      </c>
      <c r="I1012" s="3">
        <v>1</v>
      </c>
      <c r="J1012" s="5" t="s">
        <v>68</v>
      </c>
      <c r="K1012" s="15">
        <v>41825.88853009259</v>
      </c>
      <c r="L1012" s="20">
        <f t="shared" si="45"/>
        <v>41825</v>
      </c>
      <c r="M1012" t="str">
        <f t="shared" si="46"/>
        <v>07-2014</v>
      </c>
      <c r="N1012">
        <f t="shared" si="47"/>
        <v>9.99</v>
      </c>
    </row>
    <row r="1013" spans="3:14" x14ac:dyDescent="0.25">
      <c r="C1013" t="str">
        <f>IF(COUNTBLANK(E1013:K1013) = 7,"",IF(AND(NOT(ISBLANK(E1013)),COUNTBLANK(E1013:K1013) = 6),"3 Delete",IF(ISBLANK(E1013),"2 Add",IF(SHA1Range(E1013:K1013) = "7243457c5c6da5f53b3372f91506b5a07e1b301c","0 Original","1 Modify"))))</f>
        <v>0 Original</v>
      </c>
      <c r="D1013" s="5" t="s">
        <v>4157</v>
      </c>
      <c r="E1013" s="3">
        <v>996</v>
      </c>
      <c r="F1013" t="s">
        <v>1269</v>
      </c>
      <c r="G1013" t="s">
        <v>854</v>
      </c>
      <c r="H1013" s="9">
        <v>8.99</v>
      </c>
      <c r="I1013" s="3">
        <v>2</v>
      </c>
      <c r="J1013" s="5" t="s">
        <v>68</v>
      </c>
      <c r="K1013" s="15">
        <v>41825.88853009259</v>
      </c>
      <c r="L1013" s="20">
        <f t="shared" si="45"/>
        <v>41825</v>
      </c>
      <c r="M1013" t="str">
        <f t="shared" si="46"/>
        <v>07-2014</v>
      </c>
      <c r="N1013">
        <f t="shared" si="47"/>
        <v>17.98</v>
      </c>
    </row>
    <row r="1014" spans="3:14" x14ac:dyDescent="0.25">
      <c r="C1014" t="str">
        <f>IF(COUNTBLANK(E1014:K1014) = 7,"",IF(AND(NOT(ISBLANK(E1014)),COUNTBLANK(E1014:K1014) = 6),"3 Delete",IF(ISBLANK(E1014),"2 Add",IF(SHA1Range(E1014:K1014) = "be3c59a9730500735c7e9f89e7a33084ceaa580a","0 Original","1 Modify"))))</f>
        <v>0 Original</v>
      </c>
      <c r="D1014" s="5" t="s">
        <v>3287</v>
      </c>
      <c r="E1014" s="3">
        <v>2193</v>
      </c>
      <c r="F1014" t="s">
        <v>1270</v>
      </c>
      <c r="G1014" t="s">
        <v>684</v>
      </c>
      <c r="H1014" s="9">
        <v>8.99</v>
      </c>
      <c r="I1014" s="3">
        <v>1</v>
      </c>
      <c r="J1014" s="5" t="s">
        <v>68</v>
      </c>
      <c r="K1014" s="15">
        <v>41828.223460648151</v>
      </c>
      <c r="L1014" s="20">
        <f t="shared" si="45"/>
        <v>41828</v>
      </c>
      <c r="M1014" t="str">
        <f t="shared" si="46"/>
        <v>07-2014</v>
      </c>
      <c r="N1014">
        <f t="shared" si="47"/>
        <v>8.99</v>
      </c>
    </row>
    <row r="1015" spans="3:14" x14ac:dyDescent="0.25">
      <c r="C1015" t="str">
        <f>IF(COUNTBLANK(E1015:K1015) = 7,"",IF(AND(NOT(ISBLANK(E1015)),COUNTBLANK(E1015:K1015) = 6),"3 Delete",IF(ISBLANK(E1015),"2 Add",IF(SHA1Range(E1015:K1015) = "770bab986a96e0b041599b7b14a472a86d03e143","0 Original","1 Modify"))))</f>
        <v>0 Original</v>
      </c>
      <c r="D1015" s="5" t="s">
        <v>3288</v>
      </c>
      <c r="E1015" s="3">
        <v>2194</v>
      </c>
      <c r="F1015" t="s">
        <v>1270</v>
      </c>
      <c r="G1015" t="s">
        <v>761</v>
      </c>
      <c r="H1015" s="9">
        <v>8.99</v>
      </c>
      <c r="I1015" s="3">
        <v>2</v>
      </c>
      <c r="J1015" s="5" t="s">
        <v>68</v>
      </c>
      <c r="K1015" s="15">
        <v>41828.223460648151</v>
      </c>
      <c r="L1015" s="20">
        <f t="shared" si="45"/>
        <v>41828</v>
      </c>
      <c r="M1015" t="str">
        <f t="shared" si="46"/>
        <v>07-2014</v>
      </c>
      <c r="N1015">
        <f t="shared" si="47"/>
        <v>17.98</v>
      </c>
    </row>
    <row r="1016" spans="3:14" x14ac:dyDescent="0.25">
      <c r="C1016" t="str">
        <f>IF(COUNTBLANK(E1016:K1016) = 7,"",IF(AND(NOT(ISBLANK(E1016)),COUNTBLANK(E1016:K1016) = 6),"3 Delete",IF(ISBLANK(E1016),"2 Add",IF(SHA1Range(E1016:K1016) = "4f9e8521d08d63dce2f3ef439267a27b59d05792","0 Original","1 Modify"))))</f>
        <v>0 Original</v>
      </c>
      <c r="D1016" s="5" t="s">
        <v>3289</v>
      </c>
      <c r="E1016" s="3">
        <v>2195</v>
      </c>
      <c r="F1016" t="s">
        <v>1270</v>
      </c>
      <c r="G1016" t="s">
        <v>935</v>
      </c>
      <c r="H1016" s="9">
        <v>6.99</v>
      </c>
      <c r="I1016" s="3">
        <v>1</v>
      </c>
      <c r="J1016" s="5" t="s">
        <v>68</v>
      </c>
      <c r="K1016" s="15">
        <v>41828.223460648151</v>
      </c>
      <c r="L1016" s="20">
        <f t="shared" si="45"/>
        <v>41828</v>
      </c>
      <c r="M1016" t="str">
        <f t="shared" si="46"/>
        <v>07-2014</v>
      </c>
      <c r="N1016">
        <f t="shared" si="47"/>
        <v>6.99</v>
      </c>
    </row>
    <row r="1017" spans="3:14" x14ac:dyDescent="0.25">
      <c r="C1017" t="str">
        <f>IF(COUNTBLANK(E1017:K1017) = 7,"",IF(AND(NOT(ISBLANK(E1017)),COUNTBLANK(E1017:K1017) = 6),"3 Delete",IF(ISBLANK(E1017),"2 Add",IF(SHA1Range(E1017:K1017) = "67ce2f1fbea855e72edf8bffc443a76b8e551907","0 Original","1 Modify"))))</f>
        <v>0 Original</v>
      </c>
      <c r="D1017" s="5" t="s">
        <v>3290</v>
      </c>
      <c r="E1017" s="3">
        <v>2196</v>
      </c>
      <c r="F1017" t="s">
        <v>1270</v>
      </c>
      <c r="G1017" t="s">
        <v>585</v>
      </c>
      <c r="H1017" s="9">
        <v>9.99</v>
      </c>
      <c r="I1017" s="3">
        <v>2</v>
      </c>
      <c r="J1017" s="5" t="s">
        <v>68</v>
      </c>
      <c r="K1017" s="15">
        <v>41828.223460648151</v>
      </c>
      <c r="L1017" s="20">
        <f t="shared" si="45"/>
        <v>41828</v>
      </c>
      <c r="M1017" t="str">
        <f t="shared" si="46"/>
        <v>07-2014</v>
      </c>
      <c r="N1017">
        <f t="shared" si="47"/>
        <v>19.98</v>
      </c>
    </row>
    <row r="1018" spans="3:14" x14ac:dyDescent="0.25">
      <c r="C1018" t="str">
        <f>IF(COUNTBLANK(E1018:K1018) = 7,"",IF(AND(NOT(ISBLANK(E1018)),COUNTBLANK(E1018:K1018) = 6),"3 Delete",IF(ISBLANK(E1018),"2 Add",IF(SHA1Range(E1018:K1018) = "f0092b9eeface185ae510ec240ccae560d829095","0 Original","1 Modify"))))</f>
        <v>0 Original</v>
      </c>
      <c r="D1018" s="5" t="s">
        <v>3291</v>
      </c>
      <c r="E1018" s="3">
        <v>2197</v>
      </c>
      <c r="F1018" t="s">
        <v>1270</v>
      </c>
      <c r="G1018" t="s">
        <v>735</v>
      </c>
      <c r="H1018" s="9">
        <v>4.99</v>
      </c>
      <c r="I1018" s="3">
        <v>2</v>
      </c>
      <c r="J1018" s="5" t="s">
        <v>68</v>
      </c>
      <c r="K1018" s="15">
        <v>41828.223460648151</v>
      </c>
      <c r="L1018" s="20">
        <f t="shared" si="45"/>
        <v>41828</v>
      </c>
      <c r="M1018" t="str">
        <f t="shared" si="46"/>
        <v>07-2014</v>
      </c>
      <c r="N1018">
        <f t="shared" si="47"/>
        <v>9.98</v>
      </c>
    </row>
    <row r="1019" spans="3:14" x14ac:dyDescent="0.25">
      <c r="C1019" t="str">
        <f>IF(COUNTBLANK(E1019:K1019) = 7,"",IF(AND(NOT(ISBLANK(E1019)),COUNTBLANK(E1019:K1019) = 6),"3 Delete",IF(ISBLANK(E1019),"2 Add",IF(SHA1Range(E1019:K1019) = "fd259dfdfae3993c6c32d3b0fcfddcd580c9dcbf","0 Original","1 Modify"))))</f>
        <v>0 Original</v>
      </c>
      <c r="D1019" s="5" t="s">
        <v>3292</v>
      </c>
      <c r="E1019" s="3">
        <v>2198</v>
      </c>
      <c r="F1019" t="s">
        <v>1270</v>
      </c>
      <c r="G1019" t="s">
        <v>585</v>
      </c>
      <c r="H1019" s="9">
        <v>9.99</v>
      </c>
      <c r="I1019" s="3">
        <v>1</v>
      </c>
      <c r="J1019" s="5" t="s">
        <v>68</v>
      </c>
      <c r="K1019" s="15">
        <v>41828.223460648151</v>
      </c>
      <c r="L1019" s="20">
        <f t="shared" si="45"/>
        <v>41828</v>
      </c>
      <c r="M1019" t="str">
        <f t="shared" si="46"/>
        <v>07-2014</v>
      </c>
      <c r="N1019">
        <f t="shared" si="47"/>
        <v>9.99</v>
      </c>
    </row>
    <row r="1020" spans="3:14" x14ac:dyDescent="0.25">
      <c r="C1020" t="str">
        <f>IF(COUNTBLANK(E1020:K1020) = 7,"",IF(AND(NOT(ISBLANK(E1020)),COUNTBLANK(E1020:K1020) = 6),"3 Delete",IF(ISBLANK(E1020),"2 Add",IF(SHA1Range(E1020:K1020) = "26c8ec8c551d422916db8511a79d119e5b8e6793","0 Original","1 Modify"))))</f>
        <v>0 Original</v>
      </c>
      <c r="D1020" s="5" t="s">
        <v>3293</v>
      </c>
      <c r="E1020" s="3">
        <v>2199</v>
      </c>
      <c r="F1020" t="s">
        <v>1270</v>
      </c>
      <c r="G1020" t="s">
        <v>854</v>
      </c>
      <c r="H1020" s="9">
        <v>8.99</v>
      </c>
      <c r="I1020" s="3">
        <v>1</v>
      </c>
      <c r="J1020" s="5" t="s">
        <v>68</v>
      </c>
      <c r="K1020" s="15">
        <v>41828.223460648151</v>
      </c>
      <c r="L1020" s="20">
        <f t="shared" si="45"/>
        <v>41828</v>
      </c>
      <c r="M1020" t="str">
        <f t="shared" si="46"/>
        <v>07-2014</v>
      </c>
      <c r="N1020">
        <f t="shared" si="47"/>
        <v>8.99</v>
      </c>
    </row>
    <row r="1021" spans="3:14" x14ac:dyDescent="0.25">
      <c r="C1021" t="str">
        <f>IF(COUNTBLANK(E1021:K1021) = 7,"",IF(AND(NOT(ISBLANK(E1021)),COUNTBLANK(E1021:K1021) = 6),"3 Delete",IF(ISBLANK(E1021),"2 Add",IF(SHA1Range(E1021:K1021) = "9f2326aec9c03916f6d4550eeb6e5521405b0e26","0 Original","1 Modify"))))</f>
        <v>0 Original</v>
      </c>
      <c r="D1021" s="5" t="s">
        <v>3294</v>
      </c>
      <c r="E1021" s="3">
        <v>2200</v>
      </c>
      <c r="F1021" t="s">
        <v>1270</v>
      </c>
      <c r="G1021" t="s">
        <v>657</v>
      </c>
      <c r="H1021" s="9">
        <v>9.99</v>
      </c>
      <c r="I1021" s="3">
        <v>1</v>
      </c>
      <c r="J1021" s="5" t="s">
        <v>68</v>
      </c>
      <c r="K1021" s="15">
        <v>41828.223460648151</v>
      </c>
      <c r="L1021" s="20">
        <f t="shared" si="45"/>
        <v>41828</v>
      </c>
      <c r="M1021" t="str">
        <f t="shared" si="46"/>
        <v>07-2014</v>
      </c>
      <c r="N1021">
        <f t="shared" si="47"/>
        <v>9.99</v>
      </c>
    </row>
    <row r="1022" spans="3:14" x14ac:dyDescent="0.25">
      <c r="C1022" t="str">
        <f>IF(COUNTBLANK(E1022:K1022) = 7,"",IF(AND(NOT(ISBLANK(E1022)),COUNTBLANK(E1022:K1022) = 6),"3 Delete",IF(ISBLANK(E1022),"2 Add",IF(SHA1Range(E1022:K1022) = "b967aa8dafd8e32473453528befbcc0bffbc20e1","0 Original","1 Modify"))))</f>
        <v>0 Original</v>
      </c>
      <c r="D1022" s="5" t="s">
        <v>3295</v>
      </c>
      <c r="E1022" s="3">
        <v>2945</v>
      </c>
      <c r="F1022" t="s">
        <v>1271</v>
      </c>
      <c r="G1022" t="s">
        <v>687</v>
      </c>
      <c r="H1022" s="9">
        <v>9.99</v>
      </c>
      <c r="I1022" s="3">
        <v>2</v>
      </c>
      <c r="J1022" s="5" t="s">
        <v>68</v>
      </c>
      <c r="K1022" s="15">
        <v>41828.302025462966</v>
      </c>
      <c r="L1022" s="20">
        <f t="shared" si="45"/>
        <v>41828</v>
      </c>
      <c r="M1022" t="str">
        <f t="shared" si="46"/>
        <v>07-2014</v>
      </c>
      <c r="N1022">
        <f t="shared" si="47"/>
        <v>19.98</v>
      </c>
    </row>
    <row r="1023" spans="3:14" x14ac:dyDescent="0.25">
      <c r="C1023" t="str">
        <f>IF(COUNTBLANK(E1023:K1023) = 7,"",IF(AND(NOT(ISBLANK(E1023)),COUNTBLANK(E1023:K1023) = 6),"3 Delete",IF(ISBLANK(E1023),"2 Add",IF(SHA1Range(E1023:K1023) = "2d922cc9760776bf32857f04556e535bd9578030","0 Original","1 Modify"))))</f>
        <v>0 Original</v>
      </c>
      <c r="D1023" s="5" t="s">
        <v>3296</v>
      </c>
      <c r="E1023" s="3">
        <v>2946</v>
      </c>
      <c r="F1023" t="s">
        <v>1271</v>
      </c>
      <c r="G1023" t="s">
        <v>373</v>
      </c>
      <c r="H1023" s="9">
        <v>7.99</v>
      </c>
      <c r="I1023" s="3">
        <v>2</v>
      </c>
      <c r="J1023" s="5" t="s">
        <v>68</v>
      </c>
      <c r="K1023" s="15">
        <v>41828.302025462966</v>
      </c>
      <c r="L1023" s="20">
        <f t="shared" si="45"/>
        <v>41828</v>
      </c>
      <c r="M1023" t="str">
        <f t="shared" si="46"/>
        <v>07-2014</v>
      </c>
      <c r="N1023">
        <f t="shared" si="47"/>
        <v>15.98</v>
      </c>
    </row>
    <row r="1024" spans="3:14" x14ac:dyDescent="0.25">
      <c r="C1024" t="str">
        <f>IF(COUNTBLANK(E1024:K1024) = 7,"",IF(AND(NOT(ISBLANK(E1024)),COUNTBLANK(E1024:K1024) = 6),"3 Delete",IF(ISBLANK(E1024),"2 Add",IF(SHA1Range(E1024:K1024) = "9622f12da6cd4cb6d096a1a986dda2ec1d34f133","0 Original","1 Modify"))))</f>
        <v>0 Original</v>
      </c>
      <c r="D1024" s="5" t="s">
        <v>3297</v>
      </c>
      <c r="E1024" s="3">
        <v>2947</v>
      </c>
      <c r="F1024" t="s">
        <v>1271</v>
      </c>
      <c r="G1024" t="s">
        <v>642</v>
      </c>
      <c r="H1024" s="9">
        <v>9.99</v>
      </c>
      <c r="I1024" s="3">
        <v>2</v>
      </c>
      <c r="J1024" s="5" t="s">
        <v>68</v>
      </c>
      <c r="K1024" s="15">
        <v>41828.302025462966</v>
      </c>
      <c r="L1024" s="20">
        <f t="shared" si="45"/>
        <v>41828</v>
      </c>
      <c r="M1024" t="str">
        <f t="shared" si="46"/>
        <v>07-2014</v>
      </c>
      <c r="N1024">
        <f t="shared" si="47"/>
        <v>19.98</v>
      </c>
    </row>
    <row r="1025" spans="3:14" x14ac:dyDescent="0.25">
      <c r="C1025" t="str">
        <f>IF(COUNTBLANK(E1025:K1025) = 7,"",IF(AND(NOT(ISBLANK(E1025)),COUNTBLANK(E1025:K1025) = 6),"3 Delete",IF(ISBLANK(E1025),"2 Add",IF(SHA1Range(E1025:K1025) = "da656be41ad9b5a3d7108bda7ff2087e152f3293","0 Original","1 Modify"))))</f>
        <v>0 Original</v>
      </c>
      <c r="D1025" s="5" t="s">
        <v>3298</v>
      </c>
      <c r="E1025" s="3">
        <v>542</v>
      </c>
      <c r="F1025" t="s">
        <v>1272</v>
      </c>
      <c r="G1025" t="s">
        <v>654</v>
      </c>
      <c r="H1025" s="9">
        <v>5.99</v>
      </c>
      <c r="I1025" s="3">
        <v>1</v>
      </c>
      <c r="J1025" s="5" t="s">
        <v>68</v>
      </c>
      <c r="K1025" s="15">
        <v>41828.581226851849</v>
      </c>
      <c r="L1025" s="20">
        <f t="shared" si="45"/>
        <v>41828</v>
      </c>
      <c r="M1025" t="str">
        <f t="shared" si="46"/>
        <v>07-2014</v>
      </c>
      <c r="N1025">
        <f t="shared" si="47"/>
        <v>5.99</v>
      </c>
    </row>
    <row r="1026" spans="3:14" x14ac:dyDescent="0.25">
      <c r="C1026" t="str">
        <f>IF(COUNTBLANK(E1026:K1026) = 7,"",IF(AND(NOT(ISBLANK(E1026)),COUNTBLANK(E1026:K1026) = 6),"3 Delete",IF(ISBLANK(E1026),"2 Add",IF(SHA1Range(E1026:K1026) = "fc5d283909eb98eff24cde3dab792099f6f1ac68","0 Original","1 Modify"))))</f>
        <v>0 Original</v>
      </c>
      <c r="D1026" s="5" t="s">
        <v>3299</v>
      </c>
      <c r="E1026" s="3">
        <v>543</v>
      </c>
      <c r="F1026" t="s">
        <v>1272</v>
      </c>
      <c r="G1026" t="s">
        <v>903</v>
      </c>
      <c r="H1026" s="9">
        <v>8.99</v>
      </c>
      <c r="I1026" s="3">
        <v>1</v>
      </c>
      <c r="J1026" s="5" t="s">
        <v>68</v>
      </c>
      <c r="K1026" s="15">
        <v>41828.581226851849</v>
      </c>
      <c r="L1026" s="20">
        <f t="shared" si="45"/>
        <v>41828</v>
      </c>
      <c r="M1026" t="str">
        <f t="shared" si="46"/>
        <v>07-2014</v>
      </c>
      <c r="N1026">
        <f t="shared" si="47"/>
        <v>8.99</v>
      </c>
    </row>
    <row r="1027" spans="3:14" x14ac:dyDescent="0.25">
      <c r="C1027" t="str">
        <f>IF(COUNTBLANK(E1027:K1027) = 7,"",IF(AND(NOT(ISBLANK(E1027)),COUNTBLANK(E1027:K1027) = 6),"3 Delete",IF(ISBLANK(E1027),"2 Add",IF(SHA1Range(E1027:K1027) = "1482f8c0d417ca087c1c63868603831e28b859f9","0 Original","1 Modify"))))</f>
        <v>0 Original</v>
      </c>
      <c r="D1027" s="5" t="s">
        <v>3300</v>
      </c>
      <c r="E1027" s="3">
        <v>544</v>
      </c>
      <c r="F1027" t="s">
        <v>1272</v>
      </c>
      <c r="G1027" t="s">
        <v>900</v>
      </c>
      <c r="H1027" s="9">
        <v>4.99</v>
      </c>
      <c r="I1027" s="3">
        <v>1</v>
      </c>
      <c r="J1027" s="5" t="s">
        <v>68</v>
      </c>
      <c r="K1027" s="15">
        <v>41828.581226851849</v>
      </c>
      <c r="L1027" s="20">
        <f t="shared" ref="L1027:L1090" si="48">DATEVALUE(LEFT(F1027,10))</f>
        <v>41828</v>
      </c>
      <c r="M1027" t="str">
        <f t="shared" ref="M1027:M1090" si="49">TEXT(L1027,"mm-yyyy")</f>
        <v>07-2014</v>
      </c>
      <c r="N1027">
        <f t="shared" ref="N1027:N1090" si="50">H1027*I1027</f>
        <v>4.99</v>
      </c>
    </row>
    <row r="1028" spans="3:14" x14ac:dyDescent="0.25">
      <c r="C1028" t="str">
        <f>IF(COUNTBLANK(E1028:K1028) = 7,"",IF(AND(NOT(ISBLANK(E1028)),COUNTBLANK(E1028:K1028) = 6),"3 Delete",IF(ISBLANK(E1028),"2 Add",IF(SHA1Range(E1028:K1028) = "a9b89be8d9dd3b05fdba38184971380d82426844","0 Original","1 Modify"))))</f>
        <v>0 Original</v>
      </c>
      <c r="D1028" s="5" t="s">
        <v>4158</v>
      </c>
      <c r="E1028" s="3">
        <v>178</v>
      </c>
      <c r="F1028" t="s">
        <v>1273</v>
      </c>
      <c r="G1028" t="s">
        <v>426</v>
      </c>
      <c r="H1028" s="9">
        <v>8.99</v>
      </c>
      <c r="I1028" s="3">
        <v>1</v>
      </c>
      <c r="J1028" s="5" t="s">
        <v>68</v>
      </c>
      <c r="K1028" s="15">
        <v>41828.677141203705</v>
      </c>
      <c r="L1028" s="20">
        <f t="shared" si="48"/>
        <v>41828</v>
      </c>
      <c r="M1028" t="str">
        <f t="shared" si="49"/>
        <v>07-2014</v>
      </c>
      <c r="N1028">
        <f t="shared" si="50"/>
        <v>8.99</v>
      </c>
    </row>
    <row r="1029" spans="3:14" x14ac:dyDescent="0.25">
      <c r="C1029" t="str">
        <f>IF(COUNTBLANK(E1029:K1029) = 7,"",IF(AND(NOT(ISBLANK(E1029)),COUNTBLANK(E1029:K1029) = 6),"3 Delete",IF(ISBLANK(E1029),"2 Add",IF(SHA1Range(E1029:K1029) = "fc97558b70666a0a8a54386a828f66b98629a3b6","0 Original","1 Modify"))))</f>
        <v>0 Original</v>
      </c>
      <c r="D1029" s="5" t="s">
        <v>4159</v>
      </c>
      <c r="E1029" s="3">
        <v>179</v>
      </c>
      <c r="F1029" t="s">
        <v>1273</v>
      </c>
      <c r="G1029" t="s">
        <v>684</v>
      </c>
      <c r="H1029" s="9">
        <v>8.99</v>
      </c>
      <c r="I1029" s="3">
        <v>1</v>
      </c>
      <c r="J1029" s="5" t="s">
        <v>68</v>
      </c>
      <c r="K1029" s="15">
        <v>41828.677141203705</v>
      </c>
      <c r="L1029" s="20">
        <f t="shared" si="48"/>
        <v>41828</v>
      </c>
      <c r="M1029" t="str">
        <f t="shared" si="49"/>
        <v>07-2014</v>
      </c>
      <c r="N1029">
        <f t="shared" si="50"/>
        <v>8.99</v>
      </c>
    </row>
    <row r="1030" spans="3:14" x14ac:dyDescent="0.25">
      <c r="C1030" t="str">
        <f>IF(COUNTBLANK(E1030:K1030) = 7,"",IF(AND(NOT(ISBLANK(E1030)),COUNTBLANK(E1030:K1030) = 6),"3 Delete",IF(ISBLANK(E1030),"2 Add",IF(SHA1Range(E1030:K1030) = "ab638cb1c71fad11af2bfa5ee3ebef624ef64668","0 Original","1 Modify"))))</f>
        <v>0 Original</v>
      </c>
      <c r="D1030" s="5" t="s">
        <v>3301</v>
      </c>
      <c r="E1030" s="3">
        <v>1803</v>
      </c>
      <c r="F1030" t="s">
        <v>1274</v>
      </c>
      <c r="G1030" t="s">
        <v>373</v>
      </c>
      <c r="H1030" s="9">
        <v>7.99</v>
      </c>
      <c r="I1030" s="3">
        <v>2</v>
      </c>
      <c r="J1030" s="5" t="s">
        <v>68</v>
      </c>
      <c r="K1030" s="15">
        <v>41829.73064814815</v>
      </c>
      <c r="L1030" s="20">
        <f t="shared" si="48"/>
        <v>41829</v>
      </c>
      <c r="M1030" t="str">
        <f t="shared" si="49"/>
        <v>07-2014</v>
      </c>
      <c r="N1030">
        <f t="shared" si="50"/>
        <v>15.98</v>
      </c>
    </row>
    <row r="1031" spans="3:14" x14ac:dyDescent="0.25">
      <c r="C1031" t="str">
        <f>IF(COUNTBLANK(E1031:K1031) = 7,"",IF(AND(NOT(ISBLANK(E1031)),COUNTBLANK(E1031:K1031) = 6),"3 Delete",IF(ISBLANK(E1031),"2 Add",IF(SHA1Range(E1031:K1031) = "a982ba8dd93b5deb1ae30372fbca59f7bbf6f2b0","0 Original","1 Modify"))))</f>
        <v>0 Original</v>
      </c>
      <c r="D1031" s="5" t="s">
        <v>3302</v>
      </c>
      <c r="E1031" s="3">
        <v>1804</v>
      </c>
      <c r="F1031" t="s">
        <v>1274</v>
      </c>
      <c r="G1031" t="s">
        <v>771</v>
      </c>
      <c r="H1031" s="9">
        <v>9.99</v>
      </c>
      <c r="I1031" s="3">
        <v>1</v>
      </c>
      <c r="J1031" s="5" t="s">
        <v>68</v>
      </c>
      <c r="K1031" s="15">
        <v>41829.73064814815</v>
      </c>
      <c r="L1031" s="20">
        <f t="shared" si="48"/>
        <v>41829</v>
      </c>
      <c r="M1031" t="str">
        <f t="shared" si="49"/>
        <v>07-2014</v>
      </c>
      <c r="N1031">
        <f t="shared" si="50"/>
        <v>9.99</v>
      </c>
    </row>
    <row r="1032" spans="3:14" x14ac:dyDescent="0.25">
      <c r="C1032" t="str">
        <f>IF(COUNTBLANK(E1032:K1032) = 7,"",IF(AND(NOT(ISBLANK(E1032)),COUNTBLANK(E1032:K1032) = 6),"3 Delete",IF(ISBLANK(E1032),"2 Add",IF(SHA1Range(E1032:K1032) = "bc0e4937297351cffff46103cfbf0f76422adc87","0 Original","1 Modify"))))</f>
        <v>0 Original</v>
      </c>
      <c r="D1032" s="5" t="s">
        <v>3303</v>
      </c>
      <c r="E1032" s="3">
        <v>1805</v>
      </c>
      <c r="F1032" t="s">
        <v>1274</v>
      </c>
      <c r="G1032" t="s">
        <v>680</v>
      </c>
      <c r="H1032" s="9">
        <v>8.99</v>
      </c>
      <c r="I1032" s="3">
        <v>1</v>
      </c>
      <c r="J1032" s="5" t="s">
        <v>68</v>
      </c>
      <c r="K1032" s="15">
        <v>41829.73064814815</v>
      </c>
      <c r="L1032" s="20">
        <f t="shared" si="48"/>
        <v>41829</v>
      </c>
      <c r="M1032" t="str">
        <f t="shared" si="49"/>
        <v>07-2014</v>
      </c>
      <c r="N1032">
        <f t="shared" si="50"/>
        <v>8.99</v>
      </c>
    </row>
    <row r="1033" spans="3:14" x14ac:dyDescent="0.25">
      <c r="C1033" t="str">
        <f>IF(COUNTBLANK(E1033:K1033) = 7,"",IF(AND(NOT(ISBLANK(E1033)),COUNTBLANK(E1033:K1033) = 6),"3 Delete",IF(ISBLANK(E1033),"2 Add",IF(SHA1Range(E1033:K1033) = "bb0a813a0c104151de50991e02b199cd61e1d1f2","0 Original","1 Modify"))))</f>
        <v>0 Original</v>
      </c>
      <c r="D1033" s="5" t="s">
        <v>4160</v>
      </c>
      <c r="E1033" s="3">
        <v>484</v>
      </c>
      <c r="F1033" t="s">
        <v>1275</v>
      </c>
      <c r="G1033" t="s">
        <v>492</v>
      </c>
      <c r="H1033" s="9">
        <v>7.99</v>
      </c>
      <c r="I1033" s="3">
        <v>1</v>
      </c>
      <c r="J1033" s="5" t="s">
        <v>68</v>
      </c>
      <c r="K1033" s="15">
        <v>41829.992928240739</v>
      </c>
      <c r="L1033" s="20">
        <f t="shared" si="48"/>
        <v>41829</v>
      </c>
      <c r="M1033" t="str">
        <f t="shared" si="49"/>
        <v>07-2014</v>
      </c>
      <c r="N1033">
        <f t="shared" si="50"/>
        <v>7.99</v>
      </c>
    </row>
    <row r="1034" spans="3:14" x14ac:dyDescent="0.25">
      <c r="C1034" t="str">
        <f>IF(COUNTBLANK(E1034:K1034) = 7,"",IF(AND(NOT(ISBLANK(E1034)),COUNTBLANK(E1034:K1034) = 6),"3 Delete",IF(ISBLANK(E1034),"2 Add",IF(SHA1Range(E1034:K1034) = "1a4da2f74a93a34ef2ddc9b9c45690cb7179914b","0 Original","1 Modify"))))</f>
        <v>0 Original</v>
      </c>
      <c r="D1034" s="5" t="s">
        <v>4161</v>
      </c>
      <c r="E1034" s="3">
        <v>485</v>
      </c>
      <c r="F1034" t="s">
        <v>1275</v>
      </c>
      <c r="G1034" t="s">
        <v>832</v>
      </c>
      <c r="H1034" s="9">
        <v>5.99</v>
      </c>
      <c r="I1034" s="3">
        <v>1</v>
      </c>
      <c r="J1034" s="5" t="s">
        <v>68</v>
      </c>
      <c r="K1034" s="15">
        <v>41829.992928240739</v>
      </c>
      <c r="L1034" s="20">
        <f t="shared" si="48"/>
        <v>41829</v>
      </c>
      <c r="M1034" t="str">
        <f t="shared" si="49"/>
        <v>07-2014</v>
      </c>
      <c r="N1034">
        <f t="shared" si="50"/>
        <v>5.99</v>
      </c>
    </row>
    <row r="1035" spans="3:14" x14ac:dyDescent="0.25">
      <c r="C1035" t="str">
        <f>IF(COUNTBLANK(E1035:K1035) = 7,"",IF(AND(NOT(ISBLANK(E1035)),COUNTBLANK(E1035:K1035) = 6),"3 Delete",IF(ISBLANK(E1035),"2 Add",IF(SHA1Range(E1035:K1035) = "44484159c516683ed1f0f1db811075332c093c7a","0 Original","1 Modify"))))</f>
        <v>0 Original</v>
      </c>
      <c r="D1035" s="5" t="s">
        <v>4162</v>
      </c>
      <c r="E1035" s="3">
        <v>486</v>
      </c>
      <c r="F1035" t="s">
        <v>1275</v>
      </c>
      <c r="G1035" t="s">
        <v>909</v>
      </c>
      <c r="H1035" s="9">
        <v>5.99</v>
      </c>
      <c r="I1035" s="3">
        <v>2</v>
      </c>
      <c r="J1035" s="5" t="s">
        <v>68</v>
      </c>
      <c r="K1035" s="15">
        <v>41829.992928240739</v>
      </c>
      <c r="L1035" s="20">
        <f t="shared" si="48"/>
        <v>41829</v>
      </c>
      <c r="M1035" t="str">
        <f t="shared" si="49"/>
        <v>07-2014</v>
      </c>
      <c r="N1035">
        <f t="shared" si="50"/>
        <v>11.98</v>
      </c>
    </row>
    <row r="1036" spans="3:14" x14ac:dyDescent="0.25">
      <c r="C1036" t="str">
        <f>IF(COUNTBLANK(E1036:K1036) = 7,"",IF(AND(NOT(ISBLANK(E1036)),COUNTBLANK(E1036:K1036) = 6),"3 Delete",IF(ISBLANK(E1036),"2 Add",IF(SHA1Range(E1036:K1036) = "65ea441e6cc25eea107f480dc5202acaf6e00ebe","0 Original","1 Modify"))))</f>
        <v>0 Original</v>
      </c>
      <c r="D1036" s="5" t="s">
        <v>4163</v>
      </c>
      <c r="E1036" s="3">
        <v>487</v>
      </c>
      <c r="F1036" t="s">
        <v>1275</v>
      </c>
      <c r="G1036" t="s">
        <v>588</v>
      </c>
      <c r="H1036" s="9">
        <v>4.99</v>
      </c>
      <c r="I1036" s="3">
        <v>1</v>
      </c>
      <c r="J1036" s="5" t="s">
        <v>68</v>
      </c>
      <c r="K1036" s="15">
        <v>41829.992928240739</v>
      </c>
      <c r="L1036" s="20">
        <f t="shared" si="48"/>
        <v>41829</v>
      </c>
      <c r="M1036" t="str">
        <f t="shared" si="49"/>
        <v>07-2014</v>
      </c>
      <c r="N1036">
        <f t="shared" si="50"/>
        <v>4.99</v>
      </c>
    </row>
    <row r="1037" spans="3:14" x14ac:dyDescent="0.25">
      <c r="C1037" t="str">
        <f>IF(COUNTBLANK(E1037:K1037) = 7,"",IF(AND(NOT(ISBLANK(E1037)),COUNTBLANK(E1037:K1037) = 6),"3 Delete",IF(ISBLANK(E1037),"2 Add",IF(SHA1Range(E1037:K1037) = "b50a30e35368a39c805571b5dd2a0c636b81f653","0 Original","1 Modify"))))</f>
        <v>0 Original</v>
      </c>
      <c r="D1037" s="5" t="s">
        <v>4164</v>
      </c>
      <c r="E1037" s="3">
        <v>488</v>
      </c>
      <c r="F1037" t="s">
        <v>1275</v>
      </c>
      <c r="G1037" t="s">
        <v>732</v>
      </c>
      <c r="H1037" s="9">
        <v>9.99</v>
      </c>
      <c r="I1037" s="3">
        <v>2</v>
      </c>
      <c r="J1037" s="5" t="s">
        <v>68</v>
      </c>
      <c r="K1037" s="15">
        <v>41829.992928240739</v>
      </c>
      <c r="L1037" s="20">
        <f t="shared" si="48"/>
        <v>41829</v>
      </c>
      <c r="M1037" t="str">
        <f t="shared" si="49"/>
        <v>07-2014</v>
      </c>
      <c r="N1037">
        <f t="shared" si="50"/>
        <v>19.98</v>
      </c>
    </row>
    <row r="1038" spans="3:14" x14ac:dyDescent="0.25">
      <c r="C1038" t="str">
        <f>IF(COUNTBLANK(E1038:K1038) = 7,"",IF(AND(NOT(ISBLANK(E1038)),COUNTBLANK(E1038:K1038) = 6),"3 Delete",IF(ISBLANK(E1038),"2 Add",IF(SHA1Range(E1038:K1038) = "119e22d219682dfcccf73ae3c49245b67645d2f5","0 Original","1 Modify"))))</f>
        <v>0 Original</v>
      </c>
      <c r="D1038" s="5" t="s">
        <v>3304</v>
      </c>
      <c r="E1038" s="3">
        <v>1279</v>
      </c>
      <c r="F1038" t="s">
        <v>1276</v>
      </c>
      <c r="G1038" t="s">
        <v>514</v>
      </c>
      <c r="H1038" s="9">
        <v>6.99</v>
      </c>
      <c r="I1038" s="3">
        <v>1</v>
      </c>
      <c r="J1038" s="5" t="s">
        <v>68</v>
      </c>
      <c r="K1038" s="15">
        <v>41830.326006944444</v>
      </c>
      <c r="L1038" s="20">
        <f t="shared" si="48"/>
        <v>41830</v>
      </c>
      <c r="M1038" t="str">
        <f t="shared" si="49"/>
        <v>07-2014</v>
      </c>
      <c r="N1038">
        <f t="shared" si="50"/>
        <v>6.99</v>
      </c>
    </row>
    <row r="1039" spans="3:14" x14ac:dyDescent="0.25">
      <c r="C1039" t="str">
        <f>IF(COUNTBLANK(E1039:K1039) = 7,"",IF(AND(NOT(ISBLANK(E1039)),COUNTBLANK(E1039:K1039) = 6),"3 Delete",IF(ISBLANK(E1039),"2 Add",IF(SHA1Range(E1039:K1039) = "f500e2a1a0b6de6831d84c91643f795d8f8aedc0","0 Original","1 Modify"))))</f>
        <v>0 Original</v>
      </c>
      <c r="D1039" s="5" t="s">
        <v>3305</v>
      </c>
      <c r="E1039" s="3">
        <v>1280</v>
      </c>
      <c r="F1039" t="s">
        <v>1276</v>
      </c>
      <c r="G1039" t="s">
        <v>935</v>
      </c>
      <c r="H1039" s="9">
        <v>6.99</v>
      </c>
      <c r="I1039" s="3">
        <v>2</v>
      </c>
      <c r="J1039" s="5" t="s">
        <v>68</v>
      </c>
      <c r="K1039" s="15">
        <v>41830.326006944444</v>
      </c>
      <c r="L1039" s="20">
        <f t="shared" si="48"/>
        <v>41830</v>
      </c>
      <c r="M1039" t="str">
        <f t="shared" si="49"/>
        <v>07-2014</v>
      </c>
      <c r="N1039">
        <f t="shared" si="50"/>
        <v>13.98</v>
      </c>
    </row>
    <row r="1040" spans="3:14" x14ac:dyDescent="0.25">
      <c r="C1040" t="str">
        <f>IF(COUNTBLANK(E1040:K1040) = 7,"",IF(AND(NOT(ISBLANK(E1040)),COUNTBLANK(E1040:K1040) = 6),"3 Delete",IF(ISBLANK(E1040),"2 Add",IF(SHA1Range(E1040:K1040) = "db1a82a840297179035bab0f40705e07788af14a","0 Original","1 Modify"))))</f>
        <v>0 Original</v>
      </c>
      <c r="D1040" s="5" t="s">
        <v>3306</v>
      </c>
      <c r="E1040" s="3">
        <v>1281</v>
      </c>
      <c r="F1040" t="s">
        <v>1276</v>
      </c>
      <c r="G1040" t="s">
        <v>732</v>
      </c>
      <c r="H1040" s="9">
        <v>9.99</v>
      </c>
      <c r="I1040" s="3">
        <v>1</v>
      </c>
      <c r="J1040" s="5" t="s">
        <v>68</v>
      </c>
      <c r="K1040" s="15">
        <v>41830.326006944444</v>
      </c>
      <c r="L1040" s="20">
        <f t="shared" si="48"/>
        <v>41830</v>
      </c>
      <c r="M1040" t="str">
        <f t="shared" si="49"/>
        <v>07-2014</v>
      </c>
      <c r="N1040">
        <f t="shared" si="50"/>
        <v>9.99</v>
      </c>
    </row>
    <row r="1041" spans="3:14" x14ac:dyDescent="0.25">
      <c r="C1041" t="str">
        <f>IF(COUNTBLANK(E1041:K1041) = 7,"",IF(AND(NOT(ISBLANK(E1041)),COUNTBLANK(E1041:K1041) = 6),"3 Delete",IF(ISBLANK(E1041),"2 Add",IF(SHA1Range(E1041:K1041) = "d56d53314b844d2459a1320a769a5e4f800d5cfd","0 Original","1 Modify"))))</f>
        <v>0 Original</v>
      </c>
      <c r="D1041" s="5" t="s">
        <v>3307</v>
      </c>
      <c r="E1041" s="3">
        <v>3270</v>
      </c>
      <c r="F1041" t="s">
        <v>1277</v>
      </c>
      <c r="G1041" t="s">
        <v>948</v>
      </c>
      <c r="H1041" s="9">
        <v>4.99</v>
      </c>
      <c r="I1041" s="3">
        <v>1</v>
      </c>
      <c r="J1041" s="5" t="s">
        <v>68</v>
      </c>
      <c r="K1041" s="15">
        <v>41830.334479166668</v>
      </c>
      <c r="L1041" s="20">
        <f t="shared" si="48"/>
        <v>41830</v>
      </c>
      <c r="M1041" t="str">
        <f t="shared" si="49"/>
        <v>07-2014</v>
      </c>
      <c r="N1041">
        <f t="shared" si="50"/>
        <v>4.99</v>
      </c>
    </row>
    <row r="1042" spans="3:14" x14ac:dyDescent="0.25">
      <c r="C1042" t="str">
        <f>IF(COUNTBLANK(E1042:K1042) = 7,"",IF(AND(NOT(ISBLANK(E1042)),COUNTBLANK(E1042:K1042) = 6),"3 Delete",IF(ISBLANK(E1042),"2 Add",IF(SHA1Range(E1042:K1042) = "c0f786968a268d1ec05c7774e703b0a102ec0a57","0 Original","1 Modify"))))</f>
        <v>0 Original</v>
      </c>
      <c r="D1042" s="5" t="s">
        <v>3308</v>
      </c>
      <c r="E1042" s="3">
        <v>1995</v>
      </c>
      <c r="F1042" t="s">
        <v>1278</v>
      </c>
      <c r="G1042" t="s">
        <v>654</v>
      </c>
      <c r="H1042" s="9">
        <v>5.99</v>
      </c>
      <c r="I1042" s="3">
        <v>2</v>
      </c>
      <c r="J1042" s="5" t="s">
        <v>68</v>
      </c>
      <c r="K1042" s="15">
        <v>41831.336122685185</v>
      </c>
      <c r="L1042" s="20">
        <f t="shared" si="48"/>
        <v>41831</v>
      </c>
      <c r="M1042" t="str">
        <f t="shared" si="49"/>
        <v>07-2014</v>
      </c>
      <c r="N1042">
        <f t="shared" si="50"/>
        <v>11.98</v>
      </c>
    </row>
    <row r="1043" spans="3:14" x14ac:dyDescent="0.25">
      <c r="C1043" t="str">
        <f>IF(COUNTBLANK(E1043:K1043) = 7,"",IF(AND(NOT(ISBLANK(E1043)),COUNTBLANK(E1043:K1043) = 6),"3 Delete",IF(ISBLANK(E1043),"2 Add",IF(SHA1Range(E1043:K1043) = "c7d761028bb032719537d78d88260d08abecd023","0 Original","1 Modify"))))</f>
        <v>0 Original</v>
      </c>
      <c r="D1043" s="5" t="s">
        <v>3309</v>
      </c>
      <c r="E1043" s="3">
        <v>1996</v>
      </c>
      <c r="F1043" t="s">
        <v>1278</v>
      </c>
      <c r="G1043" t="s">
        <v>684</v>
      </c>
      <c r="H1043" s="9">
        <v>8.99</v>
      </c>
      <c r="I1043" s="3">
        <v>1</v>
      </c>
      <c r="J1043" s="5" t="s">
        <v>68</v>
      </c>
      <c r="K1043" s="15">
        <v>41831.336122685185</v>
      </c>
      <c r="L1043" s="20">
        <f t="shared" si="48"/>
        <v>41831</v>
      </c>
      <c r="M1043" t="str">
        <f t="shared" si="49"/>
        <v>07-2014</v>
      </c>
      <c r="N1043">
        <f t="shared" si="50"/>
        <v>8.99</v>
      </c>
    </row>
    <row r="1044" spans="3:14" x14ac:dyDescent="0.25">
      <c r="C1044" t="str">
        <f>IF(COUNTBLANK(E1044:K1044) = 7,"",IF(AND(NOT(ISBLANK(E1044)),COUNTBLANK(E1044:K1044) = 6),"3 Delete",IF(ISBLANK(E1044),"2 Add",IF(SHA1Range(E1044:K1044) = "466fe5021d7bee059d6e127b155a2bea5f276057","0 Original","1 Modify"))))</f>
        <v>0 Original</v>
      </c>
      <c r="D1044" s="5" t="s">
        <v>3310</v>
      </c>
      <c r="E1044" s="3">
        <v>1997</v>
      </c>
      <c r="F1044" t="s">
        <v>1278</v>
      </c>
      <c r="G1044" t="s">
        <v>697</v>
      </c>
      <c r="H1044" s="9">
        <v>5.99</v>
      </c>
      <c r="I1044" s="3">
        <v>2</v>
      </c>
      <c r="J1044" s="5" t="s">
        <v>68</v>
      </c>
      <c r="K1044" s="15">
        <v>41831.336122685185</v>
      </c>
      <c r="L1044" s="20">
        <f t="shared" si="48"/>
        <v>41831</v>
      </c>
      <c r="M1044" t="str">
        <f t="shared" si="49"/>
        <v>07-2014</v>
      </c>
      <c r="N1044">
        <f t="shared" si="50"/>
        <v>11.98</v>
      </c>
    </row>
    <row r="1045" spans="3:14" x14ac:dyDescent="0.25">
      <c r="C1045" t="str">
        <f>IF(COUNTBLANK(E1045:K1045) = 7,"",IF(AND(NOT(ISBLANK(E1045)),COUNTBLANK(E1045:K1045) = 6),"3 Delete",IF(ISBLANK(E1045),"2 Add",IF(SHA1Range(E1045:K1045) = "70d54b2896c36e7467629aeee5a596e3e4d64d58","0 Original","1 Modify"))))</f>
        <v>0 Original</v>
      </c>
      <c r="D1045" s="5" t="s">
        <v>3311</v>
      </c>
      <c r="E1045" s="3">
        <v>3452</v>
      </c>
      <c r="F1045" t="s">
        <v>1279</v>
      </c>
      <c r="G1045" t="s">
        <v>948</v>
      </c>
      <c r="H1045" s="9">
        <v>4.99</v>
      </c>
      <c r="I1045" s="3">
        <v>1</v>
      </c>
      <c r="J1045" s="5" t="s">
        <v>68</v>
      </c>
      <c r="K1045" s="15">
        <v>41831.411226851851</v>
      </c>
      <c r="L1045" s="20">
        <f t="shared" si="48"/>
        <v>41831</v>
      </c>
      <c r="M1045" t="str">
        <f t="shared" si="49"/>
        <v>07-2014</v>
      </c>
      <c r="N1045">
        <f t="shared" si="50"/>
        <v>4.99</v>
      </c>
    </row>
    <row r="1046" spans="3:14" x14ac:dyDescent="0.25">
      <c r="C1046" t="str">
        <f>IF(COUNTBLANK(E1046:K1046) = 7,"",IF(AND(NOT(ISBLANK(E1046)),COUNTBLANK(E1046:K1046) = 6),"3 Delete",IF(ISBLANK(E1046),"2 Add",IF(SHA1Range(E1046:K1046) = "6a94e8797fcf40bd9ec4ada5effba7cfe7584fc8","0 Original","1 Modify"))))</f>
        <v>0 Original</v>
      </c>
      <c r="D1046" s="5" t="s">
        <v>3312</v>
      </c>
      <c r="E1046" s="3">
        <v>3453</v>
      </c>
      <c r="F1046" t="s">
        <v>1279</v>
      </c>
      <c r="G1046" t="s">
        <v>749</v>
      </c>
      <c r="H1046" s="9">
        <v>5.99</v>
      </c>
      <c r="I1046" s="3">
        <v>1</v>
      </c>
      <c r="J1046" s="5" t="s">
        <v>68</v>
      </c>
      <c r="K1046" s="15">
        <v>41831.411226851851</v>
      </c>
      <c r="L1046" s="20">
        <f t="shared" si="48"/>
        <v>41831</v>
      </c>
      <c r="M1046" t="str">
        <f t="shared" si="49"/>
        <v>07-2014</v>
      </c>
      <c r="N1046">
        <f t="shared" si="50"/>
        <v>5.99</v>
      </c>
    </row>
    <row r="1047" spans="3:14" x14ac:dyDescent="0.25">
      <c r="C1047" t="str">
        <f>IF(COUNTBLANK(E1047:K1047) = 7,"",IF(AND(NOT(ISBLANK(E1047)),COUNTBLANK(E1047:K1047) = 6),"3 Delete",IF(ISBLANK(E1047),"2 Add",IF(SHA1Range(E1047:K1047) = "77234417801bfbf2d931010898785919ddc634f7","0 Original","1 Modify"))))</f>
        <v>0 Original</v>
      </c>
      <c r="D1047" s="5" t="s">
        <v>3313</v>
      </c>
      <c r="E1047" s="3">
        <v>2373</v>
      </c>
      <c r="F1047" t="s">
        <v>1280</v>
      </c>
      <c r="G1047" t="s">
        <v>400</v>
      </c>
      <c r="H1047" s="9">
        <v>4.99</v>
      </c>
      <c r="I1047" s="3">
        <v>1</v>
      </c>
      <c r="J1047" s="5" t="s">
        <v>68</v>
      </c>
      <c r="K1047" s="15">
        <v>41832.012106481481</v>
      </c>
      <c r="L1047" s="20">
        <f t="shared" si="48"/>
        <v>41832</v>
      </c>
      <c r="M1047" t="str">
        <f t="shared" si="49"/>
        <v>07-2014</v>
      </c>
      <c r="N1047">
        <f t="shared" si="50"/>
        <v>4.99</v>
      </c>
    </row>
    <row r="1048" spans="3:14" x14ac:dyDescent="0.25">
      <c r="C1048" t="str">
        <f>IF(COUNTBLANK(E1048:K1048) = 7,"",IF(AND(NOT(ISBLANK(E1048)),COUNTBLANK(E1048:K1048) = 6),"3 Delete",IF(ISBLANK(E1048),"2 Add",IF(SHA1Range(E1048:K1048) = "f5822c0d7d3ab70f53c322bda7eae35235bd98f5","0 Original","1 Modify"))))</f>
        <v>0 Original</v>
      </c>
      <c r="D1048" s="5" t="s">
        <v>3314</v>
      </c>
      <c r="E1048" s="3">
        <v>1953</v>
      </c>
      <c r="F1048" t="s">
        <v>1281</v>
      </c>
      <c r="G1048" t="s">
        <v>585</v>
      </c>
      <c r="H1048" s="9">
        <v>9.99</v>
      </c>
      <c r="I1048" s="3">
        <v>1</v>
      </c>
      <c r="J1048" s="5" t="s">
        <v>68</v>
      </c>
      <c r="K1048" s="15">
        <v>41832.221087962964</v>
      </c>
      <c r="L1048" s="20">
        <f t="shared" si="48"/>
        <v>41832</v>
      </c>
      <c r="M1048" t="str">
        <f t="shared" si="49"/>
        <v>07-2014</v>
      </c>
      <c r="N1048">
        <f t="shared" si="50"/>
        <v>9.99</v>
      </c>
    </row>
    <row r="1049" spans="3:14" x14ac:dyDescent="0.25">
      <c r="C1049" t="str">
        <f>IF(COUNTBLANK(E1049:K1049) = 7,"",IF(AND(NOT(ISBLANK(E1049)),COUNTBLANK(E1049:K1049) = 6),"3 Delete",IF(ISBLANK(E1049),"2 Add",IF(SHA1Range(E1049:K1049) = "b65be514da17994788ed54b1eabdadfe1bf7f21d","0 Original","1 Modify"))))</f>
        <v>0 Original</v>
      </c>
      <c r="D1049" s="5" t="s">
        <v>3315</v>
      </c>
      <c r="E1049" s="3">
        <v>1954</v>
      </c>
      <c r="F1049" t="s">
        <v>1281</v>
      </c>
      <c r="G1049" t="s">
        <v>396</v>
      </c>
      <c r="H1049" s="9">
        <v>8.99</v>
      </c>
      <c r="I1049" s="3">
        <v>1</v>
      </c>
      <c r="J1049" s="5" t="s">
        <v>68</v>
      </c>
      <c r="K1049" s="15">
        <v>41832.221087962964</v>
      </c>
      <c r="L1049" s="20">
        <f t="shared" si="48"/>
        <v>41832</v>
      </c>
      <c r="M1049" t="str">
        <f t="shared" si="49"/>
        <v>07-2014</v>
      </c>
      <c r="N1049">
        <f t="shared" si="50"/>
        <v>8.99</v>
      </c>
    </row>
    <row r="1050" spans="3:14" x14ac:dyDescent="0.25">
      <c r="C1050" t="str">
        <f>IF(COUNTBLANK(E1050:K1050) = 7,"",IF(AND(NOT(ISBLANK(E1050)),COUNTBLANK(E1050:K1050) = 6),"3 Delete",IF(ISBLANK(E1050),"2 Add",IF(SHA1Range(E1050:K1050) = "5fcdb018df00834ff7a45241bbb203b12bdb86d9","0 Original","1 Modify"))))</f>
        <v>0 Original</v>
      </c>
      <c r="D1050" s="5" t="s">
        <v>3316</v>
      </c>
      <c r="E1050" s="3">
        <v>1374</v>
      </c>
      <c r="F1050" t="s">
        <v>1282</v>
      </c>
      <c r="G1050" t="s">
        <v>935</v>
      </c>
      <c r="H1050" s="9">
        <v>6.99</v>
      </c>
      <c r="I1050" s="3">
        <v>1</v>
      </c>
      <c r="J1050" s="5" t="s">
        <v>68</v>
      </c>
      <c r="K1050" s="15">
        <v>41832.880219907405</v>
      </c>
      <c r="L1050" s="20">
        <f t="shared" si="48"/>
        <v>41832</v>
      </c>
      <c r="M1050" t="str">
        <f t="shared" si="49"/>
        <v>07-2014</v>
      </c>
      <c r="N1050">
        <f t="shared" si="50"/>
        <v>6.99</v>
      </c>
    </row>
    <row r="1051" spans="3:14" x14ac:dyDescent="0.25">
      <c r="C1051" t="str">
        <f>IF(COUNTBLANK(E1051:K1051) = 7,"",IF(AND(NOT(ISBLANK(E1051)),COUNTBLANK(E1051:K1051) = 6),"3 Delete",IF(ISBLANK(E1051),"2 Add",IF(SHA1Range(E1051:K1051) = "3e3ce7a97528b771a461fc82f11d4b771dc8ba17","0 Original","1 Modify"))))</f>
        <v>0 Original</v>
      </c>
      <c r="D1051" s="5" t="s">
        <v>3317</v>
      </c>
      <c r="E1051" s="3">
        <v>1375</v>
      </c>
      <c r="F1051" t="s">
        <v>1282</v>
      </c>
      <c r="G1051" t="s">
        <v>926</v>
      </c>
      <c r="H1051" s="9">
        <v>9.99</v>
      </c>
      <c r="I1051" s="3">
        <v>2</v>
      </c>
      <c r="J1051" s="5" t="s">
        <v>68</v>
      </c>
      <c r="K1051" s="15">
        <v>41832.880219907405</v>
      </c>
      <c r="L1051" s="20">
        <f t="shared" si="48"/>
        <v>41832</v>
      </c>
      <c r="M1051" t="str">
        <f t="shared" si="49"/>
        <v>07-2014</v>
      </c>
      <c r="N1051">
        <f t="shared" si="50"/>
        <v>19.98</v>
      </c>
    </row>
    <row r="1052" spans="3:14" x14ac:dyDescent="0.25">
      <c r="C1052" t="str">
        <f>IF(COUNTBLANK(E1052:K1052) = 7,"",IF(AND(NOT(ISBLANK(E1052)),COUNTBLANK(E1052:K1052) = 6),"3 Delete",IF(ISBLANK(E1052),"2 Add",IF(SHA1Range(E1052:K1052) = "84dcfc1fde35181e48907d96c1ffa2d563551f6c","0 Original","1 Modify"))))</f>
        <v>0 Original</v>
      </c>
      <c r="D1052" s="5" t="s">
        <v>3318</v>
      </c>
      <c r="E1052" s="3">
        <v>1376</v>
      </c>
      <c r="F1052" t="s">
        <v>1282</v>
      </c>
      <c r="G1052" t="s">
        <v>792</v>
      </c>
      <c r="H1052" s="9">
        <v>9.99</v>
      </c>
      <c r="I1052" s="3">
        <v>1</v>
      </c>
      <c r="J1052" s="5" t="s">
        <v>68</v>
      </c>
      <c r="K1052" s="15">
        <v>41832.880219907405</v>
      </c>
      <c r="L1052" s="20">
        <f t="shared" si="48"/>
        <v>41832</v>
      </c>
      <c r="M1052" t="str">
        <f t="shared" si="49"/>
        <v>07-2014</v>
      </c>
      <c r="N1052">
        <f t="shared" si="50"/>
        <v>9.99</v>
      </c>
    </row>
    <row r="1053" spans="3:14" x14ac:dyDescent="0.25">
      <c r="C1053" t="str">
        <f>IF(COUNTBLANK(E1053:K1053) = 7,"",IF(AND(NOT(ISBLANK(E1053)),COUNTBLANK(E1053:K1053) = 6),"3 Delete",IF(ISBLANK(E1053),"2 Add",IF(SHA1Range(E1053:K1053) = "0c56eb120287849e9ad95f136231c61912c20fca","0 Original","1 Modify"))))</f>
        <v>0 Original</v>
      </c>
      <c r="D1053" s="5" t="s">
        <v>3319</v>
      </c>
      <c r="E1053" s="3">
        <v>1377</v>
      </c>
      <c r="F1053" t="s">
        <v>1282</v>
      </c>
      <c r="G1053" t="s">
        <v>671</v>
      </c>
      <c r="H1053" s="9">
        <v>6.99</v>
      </c>
      <c r="I1053" s="3">
        <v>1</v>
      </c>
      <c r="J1053" s="5" t="s">
        <v>68</v>
      </c>
      <c r="K1053" s="15">
        <v>41832.880219907405</v>
      </c>
      <c r="L1053" s="20">
        <f t="shared" si="48"/>
        <v>41832</v>
      </c>
      <c r="M1053" t="str">
        <f t="shared" si="49"/>
        <v>07-2014</v>
      </c>
      <c r="N1053">
        <f t="shared" si="50"/>
        <v>6.99</v>
      </c>
    </row>
    <row r="1054" spans="3:14" x14ac:dyDescent="0.25">
      <c r="C1054" t="str">
        <f>IF(COUNTBLANK(E1054:K1054) = 7,"",IF(AND(NOT(ISBLANK(E1054)),COUNTBLANK(E1054:K1054) = 6),"3 Delete",IF(ISBLANK(E1054),"2 Add",IF(SHA1Range(E1054:K1054) = "aafea5d681c04ebd1c6ebe3877a325c81f4b1c08","0 Original","1 Modify"))))</f>
        <v>0 Original</v>
      </c>
      <c r="D1054" s="5" t="s">
        <v>3320</v>
      </c>
      <c r="E1054" s="3">
        <v>1936</v>
      </c>
      <c r="F1054" t="s">
        <v>1283</v>
      </c>
      <c r="G1054" t="s">
        <v>445</v>
      </c>
      <c r="H1054" s="9">
        <v>7.99</v>
      </c>
      <c r="I1054" s="3">
        <v>1</v>
      </c>
      <c r="J1054" s="5" t="s">
        <v>68</v>
      </c>
      <c r="K1054" s="15">
        <v>41833.695405092592</v>
      </c>
      <c r="L1054" s="20">
        <f t="shared" si="48"/>
        <v>41833</v>
      </c>
      <c r="M1054" t="str">
        <f t="shared" si="49"/>
        <v>07-2014</v>
      </c>
      <c r="N1054">
        <f t="shared" si="50"/>
        <v>7.99</v>
      </c>
    </row>
    <row r="1055" spans="3:14" x14ac:dyDescent="0.25">
      <c r="C1055" t="str">
        <f>IF(COUNTBLANK(E1055:K1055) = 7,"",IF(AND(NOT(ISBLANK(E1055)),COUNTBLANK(E1055:K1055) = 6),"3 Delete",IF(ISBLANK(E1055),"2 Add",IF(SHA1Range(E1055:K1055) = "e4c5e164f601e388ac8fff7cb07883cb07f6ea68","0 Original","1 Modify"))))</f>
        <v>0 Original</v>
      </c>
      <c r="D1055" s="5" t="s">
        <v>3321</v>
      </c>
      <c r="E1055" s="3">
        <v>1937</v>
      </c>
      <c r="F1055" t="s">
        <v>1283</v>
      </c>
      <c r="G1055" t="s">
        <v>912</v>
      </c>
      <c r="H1055" s="9">
        <v>6.99</v>
      </c>
      <c r="I1055" s="3">
        <v>2</v>
      </c>
      <c r="J1055" s="5" t="s">
        <v>68</v>
      </c>
      <c r="K1055" s="15">
        <v>41833.695405092592</v>
      </c>
      <c r="L1055" s="20">
        <f t="shared" si="48"/>
        <v>41833</v>
      </c>
      <c r="M1055" t="str">
        <f t="shared" si="49"/>
        <v>07-2014</v>
      </c>
      <c r="N1055">
        <f t="shared" si="50"/>
        <v>13.98</v>
      </c>
    </row>
    <row r="1056" spans="3:14" x14ac:dyDescent="0.25">
      <c r="C1056" t="str">
        <f>IF(COUNTBLANK(E1056:K1056) = 7,"",IF(AND(NOT(ISBLANK(E1056)),COUNTBLANK(E1056:K1056) = 6),"3 Delete",IF(ISBLANK(E1056),"2 Add",IF(SHA1Range(E1056:K1056) = "4794c91c33b9b1a7324a2518a619d946a015a3a4","0 Original","1 Modify"))))</f>
        <v>0 Original</v>
      </c>
      <c r="D1056" s="5" t="s">
        <v>3322</v>
      </c>
      <c r="E1056" s="3">
        <v>1938</v>
      </c>
      <c r="F1056" t="s">
        <v>1283</v>
      </c>
      <c r="G1056" t="s">
        <v>684</v>
      </c>
      <c r="H1056" s="9">
        <v>8.99</v>
      </c>
      <c r="I1056" s="3">
        <v>1</v>
      </c>
      <c r="J1056" s="5" t="s">
        <v>68</v>
      </c>
      <c r="K1056" s="15">
        <v>41833.695405092592</v>
      </c>
      <c r="L1056" s="20">
        <f t="shared" si="48"/>
        <v>41833</v>
      </c>
      <c r="M1056" t="str">
        <f t="shared" si="49"/>
        <v>07-2014</v>
      </c>
      <c r="N1056">
        <f t="shared" si="50"/>
        <v>8.99</v>
      </c>
    </row>
    <row r="1057" spans="3:14" x14ac:dyDescent="0.25">
      <c r="C1057" t="str">
        <f>IF(COUNTBLANK(E1057:K1057) = 7,"",IF(AND(NOT(ISBLANK(E1057)),COUNTBLANK(E1057:K1057) = 6),"3 Delete",IF(ISBLANK(E1057),"2 Add",IF(SHA1Range(E1057:K1057) = "9cc38cc6ca820be7cbd7527c66f4d8a15d5359f2","0 Original","1 Modify"))))</f>
        <v>0 Original</v>
      </c>
      <c r="D1057" s="5" t="s">
        <v>3323</v>
      </c>
      <c r="E1057" s="3">
        <v>1939</v>
      </c>
      <c r="F1057" t="s">
        <v>1283</v>
      </c>
      <c r="G1057" t="s">
        <v>687</v>
      </c>
      <c r="H1057" s="9">
        <v>9.99</v>
      </c>
      <c r="I1057" s="3">
        <v>1</v>
      </c>
      <c r="J1057" s="5" t="s">
        <v>68</v>
      </c>
      <c r="K1057" s="15">
        <v>41833.695405092592</v>
      </c>
      <c r="L1057" s="20">
        <f t="shared" si="48"/>
        <v>41833</v>
      </c>
      <c r="M1057" t="str">
        <f t="shared" si="49"/>
        <v>07-2014</v>
      </c>
      <c r="N1057">
        <f t="shared" si="50"/>
        <v>9.99</v>
      </c>
    </row>
    <row r="1058" spans="3:14" x14ac:dyDescent="0.25">
      <c r="C1058" t="str">
        <f>IF(COUNTBLANK(E1058:K1058) = 7,"",IF(AND(NOT(ISBLANK(E1058)),COUNTBLANK(E1058:K1058) = 6),"3 Delete",IF(ISBLANK(E1058),"2 Add",IF(SHA1Range(E1058:K1058) = "5fcd10ad0c3e1220e98cb3fb3839723c1610e33e","0 Original","1 Modify"))))</f>
        <v>0 Original</v>
      </c>
      <c r="D1058" s="5" t="s">
        <v>3324</v>
      </c>
      <c r="E1058" s="3">
        <v>1940</v>
      </c>
      <c r="F1058" t="s">
        <v>1283</v>
      </c>
      <c r="G1058" t="s">
        <v>955</v>
      </c>
      <c r="H1058" s="9">
        <v>8.99</v>
      </c>
      <c r="I1058" s="3">
        <v>1</v>
      </c>
      <c r="J1058" s="5" t="s">
        <v>68</v>
      </c>
      <c r="K1058" s="15">
        <v>41833.695405092592</v>
      </c>
      <c r="L1058" s="20">
        <f t="shared" si="48"/>
        <v>41833</v>
      </c>
      <c r="M1058" t="str">
        <f t="shared" si="49"/>
        <v>07-2014</v>
      </c>
      <c r="N1058">
        <f t="shared" si="50"/>
        <v>8.99</v>
      </c>
    </row>
    <row r="1059" spans="3:14" x14ac:dyDescent="0.25">
      <c r="C1059" t="str">
        <f>IF(COUNTBLANK(E1059:K1059) = 7,"",IF(AND(NOT(ISBLANK(E1059)),COUNTBLANK(E1059:K1059) = 6),"3 Delete",IF(ISBLANK(E1059),"2 Add",IF(SHA1Range(E1059:K1059) = "f6baa0cbfacc7d348768621e85b0f883cb8625ce","0 Original","1 Modify"))))</f>
        <v>0 Original</v>
      </c>
      <c r="D1059" s="5" t="s">
        <v>3325</v>
      </c>
      <c r="E1059" s="3">
        <v>1740</v>
      </c>
      <c r="F1059" t="s">
        <v>1284</v>
      </c>
      <c r="G1059" t="s">
        <v>657</v>
      </c>
      <c r="H1059" s="9">
        <v>9.99</v>
      </c>
      <c r="I1059" s="3">
        <v>1</v>
      </c>
      <c r="J1059" s="5" t="s">
        <v>68</v>
      </c>
      <c r="K1059" s="15">
        <v>41834.418067129627</v>
      </c>
      <c r="L1059" s="20">
        <f t="shared" si="48"/>
        <v>41834</v>
      </c>
      <c r="M1059" t="str">
        <f t="shared" si="49"/>
        <v>07-2014</v>
      </c>
      <c r="N1059">
        <f t="shared" si="50"/>
        <v>9.99</v>
      </c>
    </row>
    <row r="1060" spans="3:14" x14ac:dyDescent="0.25">
      <c r="C1060" t="str">
        <f>IF(COUNTBLANK(E1060:K1060) = 7,"",IF(AND(NOT(ISBLANK(E1060)),COUNTBLANK(E1060:K1060) = 6),"3 Delete",IF(ISBLANK(E1060),"2 Add",IF(SHA1Range(E1060:K1060) = "cc2a7a1dfdbad8e8631faa232f3e170d6c9dbcd3","0 Original","1 Modify"))))</f>
        <v>0 Original</v>
      </c>
      <c r="D1060" s="5" t="s">
        <v>3326</v>
      </c>
      <c r="E1060" s="3">
        <v>1741</v>
      </c>
      <c r="F1060" t="s">
        <v>1284</v>
      </c>
      <c r="G1060" t="s">
        <v>514</v>
      </c>
      <c r="H1060" s="9">
        <v>6.99</v>
      </c>
      <c r="I1060" s="3">
        <v>1</v>
      </c>
      <c r="J1060" s="5" t="s">
        <v>68</v>
      </c>
      <c r="K1060" s="15">
        <v>41834.418067129627</v>
      </c>
      <c r="L1060" s="20">
        <f t="shared" si="48"/>
        <v>41834</v>
      </c>
      <c r="M1060" t="str">
        <f t="shared" si="49"/>
        <v>07-2014</v>
      </c>
      <c r="N1060">
        <f t="shared" si="50"/>
        <v>6.99</v>
      </c>
    </row>
    <row r="1061" spans="3:14" x14ac:dyDescent="0.25">
      <c r="C1061" t="str">
        <f>IF(COUNTBLANK(E1061:K1061) = 7,"",IF(AND(NOT(ISBLANK(E1061)),COUNTBLANK(E1061:K1061) = 6),"3 Delete",IF(ISBLANK(E1061),"2 Add",IF(SHA1Range(E1061:K1061) = "84b46b03c0825c9e1a1c9b29cc6f9efa98b1f28d","0 Original","1 Modify"))))</f>
        <v>0 Original</v>
      </c>
      <c r="D1061" s="5" t="s">
        <v>3327</v>
      </c>
      <c r="E1061" s="3">
        <v>3470</v>
      </c>
      <c r="F1061" t="s">
        <v>1285</v>
      </c>
      <c r="G1061" t="s">
        <v>579</v>
      </c>
      <c r="H1061" s="9">
        <v>9.99</v>
      </c>
      <c r="I1061" s="3">
        <v>1</v>
      </c>
      <c r="J1061" s="5" t="s">
        <v>68</v>
      </c>
      <c r="K1061" s="15">
        <v>41834.607106481482</v>
      </c>
      <c r="L1061" s="20">
        <f t="shared" si="48"/>
        <v>41834</v>
      </c>
      <c r="M1061" t="str">
        <f t="shared" si="49"/>
        <v>07-2014</v>
      </c>
      <c r="N1061">
        <f t="shared" si="50"/>
        <v>9.99</v>
      </c>
    </row>
    <row r="1062" spans="3:14" x14ac:dyDescent="0.25">
      <c r="C1062" t="str">
        <f>IF(COUNTBLANK(E1062:K1062) = 7,"",IF(AND(NOT(ISBLANK(E1062)),COUNTBLANK(E1062:K1062) = 6),"3 Delete",IF(ISBLANK(E1062),"2 Add",IF(SHA1Range(E1062:K1062) = "d223465f57f4bcdd791ea758b7d57cce8e70114c","0 Original","1 Modify"))))</f>
        <v>0 Original</v>
      </c>
      <c r="D1062" s="5" t="s">
        <v>3328</v>
      </c>
      <c r="E1062" s="3">
        <v>3471</v>
      </c>
      <c r="F1062" t="s">
        <v>1285</v>
      </c>
      <c r="G1062" t="s">
        <v>400</v>
      </c>
      <c r="H1062" s="9">
        <v>4.99</v>
      </c>
      <c r="I1062" s="3">
        <v>1</v>
      </c>
      <c r="J1062" s="5" t="s">
        <v>68</v>
      </c>
      <c r="K1062" s="15">
        <v>41834.607106481482</v>
      </c>
      <c r="L1062" s="20">
        <f t="shared" si="48"/>
        <v>41834</v>
      </c>
      <c r="M1062" t="str">
        <f t="shared" si="49"/>
        <v>07-2014</v>
      </c>
      <c r="N1062">
        <f t="shared" si="50"/>
        <v>4.99</v>
      </c>
    </row>
    <row r="1063" spans="3:14" x14ac:dyDescent="0.25">
      <c r="C1063" t="str">
        <f>IF(COUNTBLANK(E1063:K1063) = 7,"",IF(AND(NOT(ISBLANK(E1063)),COUNTBLANK(E1063:K1063) = 6),"3 Delete",IF(ISBLANK(E1063),"2 Add",IF(SHA1Range(E1063:K1063) = "0cb21d9a3a4f484ff9c8643dda61eec2548af427","0 Original","1 Modify"))))</f>
        <v>0 Original</v>
      </c>
      <c r="D1063" s="5" t="s">
        <v>3329</v>
      </c>
      <c r="E1063" s="3">
        <v>2281</v>
      </c>
      <c r="F1063" t="s">
        <v>1286</v>
      </c>
      <c r="G1063" t="s">
        <v>792</v>
      </c>
      <c r="H1063" s="9">
        <v>9.99</v>
      </c>
      <c r="I1063" s="3">
        <v>1</v>
      </c>
      <c r="J1063" s="5" t="s">
        <v>68</v>
      </c>
      <c r="K1063" s="15">
        <v>41834.630520833336</v>
      </c>
      <c r="L1063" s="20">
        <f t="shared" si="48"/>
        <v>41834</v>
      </c>
      <c r="M1063" t="str">
        <f t="shared" si="49"/>
        <v>07-2014</v>
      </c>
      <c r="N1063">
        <f t="shared" si="50"/>
        <v>9.99</v>
      </c>
    </row>
    <row r="1064" spans="3:14" x14ac:dyDescent="0.25">
      <c r="C1064" t="str">
        <f>IF(COUNTBLANK(E1064:K1064) = 7,"",IF(AND(NOT(ISBLANK(E1064)),COUNTBLANK(E1064:K1064) = 6),"3 Delete",IF(ISBLANK(E1064),"2 Add",IF(SHA1Range(E1064:K1064) = "886aaa9f0f7a8ad9070739ccb4d7f847d341e570","0 Original","1 Modify"))))</f>
        <v>0 Original</v>
      </c>
      <c r="D1064" s="5" t="s">
        <v>3330</v>
      </c>
      <c r="E1064" s="3">
        <v>2282</v>
      </c>
      <c r="F1064" t="s">
        <v>1286</v>
      </c>
      <c r="G1064" t="s">
        <v>935</v>
      </c>
      <c r="H1064" s="9">
        <v>6.99</v>
      </c>
      <c r="I1064" s="3">
        <v>1</v>
      </c>
      <c r="J1064" s="5" t="s">
        <v>68</v>
      </c>
      <c r="K1064" s="15">
        <v>41834.630520833336</v>
      </c>
      <c r="L1064" s="20">
        <f t="shared" si="48"/>
        <v>41834</v>
      </c>
      <c r="M1064" t="str">
        <f t="shared" si="49"/>
        <v>07-2014</v>
      </c>
      <c r="N1064">
        <f t="shared" si="50"/>
        <v>6.99</v>
      </c>
    </row>
    <row r="1065" spans="3:14" x14ac:dyDescent="0.25">
      <c r="C1065" t="str">
        <f>IF(COUNTBLANK(E1065:K1065) = 7,"",IF(AND(NOT(ISBLANK(E1065)),COUNTBLANK(E1065:K1065) = 6),"3 Delete",IF(ISBLANK(E1065),"2 Add",IF(SHA1Range(E1065:K1065) = "e7d5ab100863ccdfcd1758eace2195e81a16e427","0 Original","1 Modify"))))</f>
        <v>0 Original</v>
      </c>
      <c r="D1065" s="5" t="s">
        <v>3331</v>
      </c>
      <c r="E1065" s="3">
        <v>2283</v>
      </c>
      <c r="F1065" t="s">
        <v>1286</v>
      </c>
      <c r="G1065" t="s">
        <v>854</v>
      </c>
      <c r="H1065" s="9">
        <v>8.99</v>
      </c>
      <c r="I1065" s="3">
        <v>2</v>
      </c>
      <c r="J1065" s="5" t="s">
        <v>68</v>
      </c>
      <c r="K1065" s="15">
        <v>41834.630520833336</v>
      </c>
      <c r="L1065" s="20">
        <f t="shared" si="48"/>
        <v>41834</v>
      </c>
      <c r="M1065" t="str">
        <f t="shared" si="49"/>
        <v>07-2014</v>
      </c>
      <c r="N1065">
        <f t="shared" si="50"/>
        <v>17.98</v>
      </c>
    </row>
    <row r="1066" spans="3:14" x14ac:dyDescent="0.25">
      <c r="C1066" t="str">
        <f>IF(COUNTBLANK(E1066:K1066) = 7,"",IF(AND(NOT(ISBLANK(E1066)),COUNTBLANK(E1066:K1066) = 6),"3 Delete",IF(ISBLANK(E1066),"2 Add",IF(SHA1Range(E1066:K1066) = "f7b9e777f3439581cd674ba8fc68a44a7446877e","0 Original","1 Modify"))))</f>
        <v>0 Original</v>
      </c>
      <c r="D1066" s="5" t="s">
        <v>3332</v>
      </c>
      <c r="E1066" s="3">
        <v>2284</v>
      </c>
      <c r="F1066" t="s">
        <v>1286</v>
      </c>
      <c r="G1066" t="s">
        <v>749</v>
      </c>
      <c r="H1066" s="9">
        <v>5.99</v>
      </c>
      <c r="I1066" s="3">
        <v>1</v>
      </c>
      <c r="J1066" s="5" t="s">
        <v>68</v>
      </c>
      <c r="K1066" s="15">
        <v>41834.630520833336</v>
      </c>
      <c r="L1066" s="20">
        <f t="shared" si="48"/>
        <v>41834</v>
      </c>
      <c r="M1066" t="str">
        <f t="shared" si="49"/>
        <v>07-2014</v>
      </c>
      <c r="N1066">
        <f t="shared" si="50"/>
        <v>5.99</v>
      </c>
    </row>
    <row r="1067" spans="3:14" x14ac:dyDescent="0.25">
      <c r="C1067" t="str">
        <f>IF(COUNTBLANK(E1067:K1067) = 7,"",IF(AND(NOT(ISBLANK(E1067)),COUNTBLANK(E1067:K1067) = 6),"3 Delete",IF(ISBLANK(E1067),"2 Add",IF(SHA1Range(E1067:K1067) = "313e71b7dcb84aa27daca94e1984084c959a168c","0 Original","1 Modify"))))</f>
        <v>0 Original</v>
      </c>
      <c r="D1067" s="5" t="s">
        <v>4165</v>
      </c>
      <c r="E1067" s="3">
        <v>954</v>
      </c>
      <c r="F1067" t="s">
        <v>1287</v>
      </c>
      <c r="G1067" t="s">
        <v>842</v>
      </c>
      <c r="H1067" s="9">
        <v>4.99</v>
      </c>
      <c r="I1067" s="3">
        <v>1</v>
      </c>
      <c r="J1067" s="5" t="s">
        <v>68</v>
      </c>
      <c r="K1067" s="15">
        <v>41834.890173611115</v>
      </c>
      <c r="L1067" s="20">
        <f t="shared" si="48"/>
        <v>41834</v>
      </c>
      <c r="M1067" t="str">
        <f t="shared" si="49"/>
        <v>07-2014</v>
      </c>
      <c r="N1067">
        <f t="shared" si="50"/>
        <v>4.99</v>
      </c>
    </row>
    <row r="1068" spans="3:14" x14ac:dyDescent="0.25">
      <c r="C1068" t="str">
        <f>IF(COUNTBLANK(E1068:K1068) = 7,"",IF(AND(NOT(ISBLANK(E1068)),COUNTBLANK(E1068:K1068) = 6),"3 Delete",IF(ISBLANK(E1068),"2 Add",IF(SHA1Range(E1068:K1068) = "23aaf42cec593194aae4ad4c8a0f1d610be09062","0 Original","1 Modify"))))</f>
        <v>0 Original</v>
      </c>
      <c r="D1068" s="5" t="s">
        <v>3333</v>
      </c>
      <c r="E1068" s="3">
        <v>955</v>
      </c>
      <c r="F1068" t="s">
        <v>1287</v>
      </c>
      <c r="G1068" t="s">
        <v>585</v>
      </c>
      <c r="H1068" s="9">
        <v>9.99</v>
      </c>
      <c r="I1068" s="3">
        <v>1</v>
      </c>
      <c r="J1068" s="5" t="s">
        <v>68</v>
      </c>
      <c r="K1068" s="15">
        <v>41834.890173611115</v>
      </c>
      <c r="L1068" s="20">
        <f t="shared" si="48"/>
        <v>41834</v>
      </c>
      <c r="M1068" t="str">
        <f t="shared" si="49"/>
        <v>07-2014</v>
      </c>
      <c r="N1068">
        <f t="shared" si="50"/>
        <v>9.99</v>
      </c>
    </row>
    <row r="1069" spans="3:14" x14ac:dyDescent="0.25">
      <c r="C1069" t="str">
        <f>IF(COUNTBLANK(E1069:K1069) = 7,"",IF(AND(NOT(ISBLANK(E1069)),COUNTBLANK(E1069:K1069) = 6),"3 Delete",IF(ISBLANK(E1069),"2 Add",IF(SHA1Range(E1069:K1069) = "0858c232ae1c3d8eade1f7278b1d994bb3201310","0 Original","1 Modify"))))</f>
        <v>0 Original</v>
      </c>
      <c r="D1069" s="5" t="s">
        <v>3334</v>
      </c>
      <c r="E1069" s="3">
        <v>2607</v>
      </c>
      <c r="F1069" t="s">
        <v>1288</v>
      </c>
      <c r="G1069" t="s">
        <v>642</v>
      </c>
      <c r="H1069" s="9">
        <v>9.99</v>
      </c>
      <c r="I1069" s="3">
        <v>1</v>
      </c>
      <c r="J1069" s="5" t="s">
        <v>68</v>
      </c>
      <c r="K1069" s="15">
        <v>41834.898240740738</v>
      </c>
      <c r="L1069" s="20">
        <f t="shared" si="48"/>
        <v>41834</v>
      </c>
      <c r="M1069" t="str">
        <f t="shared" si="49"/>
        <v>07-2014</v>
      </c>
      <c r="N1069">
        <f t="shared" si="50"/>
        <v>9.99</v>
      </c>
    </row>
    <row r="1070" spans="3:14" x14ac:dyDescent="0.25">
      <c r="C1070" t="str">
        <f>IF(COUNTBLANK(E1070:K1070) = 7,"",IF(AND(NOT(ISBLANK(E1070)),COUNTBLANK(E1070:K1070) = 6),"3 Delete",IF(ISBLANK(E1070),"2 Add",IF(SHA1Range(E1070:K1070) = "ee212d68d9f2336e96e0d3a9f9fdd4b6b83812fb","0 Original","1 Modify"))))</f>
        <v>0 Original</v>
      </c>
      <c r="D1070" s="5" t="s">
        <v>3335</v>
      </c>
      <c r="E1070" s="3">
        <v>2608</v>
      </c>
      <c r="F1070" t="s">
        <v>1288</v>
      </c>
      <c r="G1070" t="s">
        <v>948</v>
      </c>
      <c r="H1070" s="9">
        <v>4.99</v>
      </c>
      <c r="I1070" s="3">
        <v>2</v>
      </c>
      <c r="J1070" s="5" t="s">
        <v>68</v>
      </c>
      <c r="K1070" s="15">
        <v>41834.898240740738</v>
      </c>
      <c r="L1070" s="20">
        <f t="shared" si="48"/>
        <v>41834</v>
      </c>
      <c r="M1070" t="str">
        <f t="shared" si="49"/>
        <v>07-2014</v>
      </c>
      <c r="N1070">
        <f t="shared" si="50"/>
        <v>9.98</v>
      </c>
    </row>
    <row r="1071" spans="3:14" x14ac:dyDescent="0.25">
      <c r="C1071" t="str">
        <f>IF(COUNTBLANK(E1071:K1071) = 7,"",IF(AND(NOT(ISBLANK(E1071)),COUNTBLANK(E1071:K1071) = 6),"3 Delete",IF(ISBLANK(E1071),"2 Add",IF(SHA1Range(E1071:K1071) = "f8badf1fe0dbe0823dd825ae9dfecf229fab1ec8","0 Original","1 Modify"))))</f>
        <v>0 Original</v>
      </c>
      <c r="D1071" s="5" t="s">
        <v>3336</v>
      </c>
      <c r="E1071" s="3">
        <v>2609</v>
      </c>
      <c r="F1071" t="s">
        <v>1288</v>
      </c>
      <c r="G1071" t="s">
        <v>948</v>
      </c>
      <c r="H1071" s="9">
        <v>4.99</v>
      </c>
      <c r="I1071" s="3">
        <v>2</v>
      </c>
      <c r="J1071" s="5" t="s">
        <v>68</v>
      </c>
      <c r="K1071" s="15">
        <v>41834.898240740738</v>
      </c>
      <c r="L1071" s="20">
        <f t="shared" si="48"/>
        <v>41834</v>
      </c>
      <c r="M1071" t="str">
        <f t="shared" si="49"/>
        <v>07-2014</v>
      </c>
      <c r="N1071">
        <f t="shared" si="50"/>
        <v>9.98</v>
      </c>
    </row>
    <row r="1072" spans="3:14" x14ac:dyDescent="0.25">
      <c r="C1072" t="str">
        <f>IF(COUNTBLANK(E1072:K1072) = 7,"",IF(AND(NOT(ISBLANK(E1072)),COUNTBLANK(E1072:K1072) = 6),"3 Delete",IF(ISBLANK(E1072),"2 Add",IF(SHA1Range(E1072:K1072) = "9e4efba37f2ebb67b4814cb080c606c004485a18","0 Original","1 Modify"))))</f>
        <v>0 Original</v>
      </c>
      <c r="D1072" s="5" t="s">
        <v>4166</v>
      </c>
      <c r="E1072" s="3">
        <v>110</v>
      </c>
      <c r="F1072" t="s">
        <v>1289</v>
      </c>
      <c r="G1072" t="s">
        <v>543</v>
      </c>
      <c r="H1072" s="9">
        <v>4.99</v>
      </c>
      <c r="I1072" s="3">
        <v>1</v>
      </c>
      <c r="J1072" s="5" t="s">
        <v>68</v>
      </c>
      <c r="K1072" s="15">
        <v>41834.951099537036</v>
      </c>
      <c r="L1072" s="20">
        <f t="shared" si="48"/>
        <v>41834</v>
      </c>
      <c r="M1072" t="str">
        <f t="shared" si="49"/>
        <v>07-2014</v>
      </c>
      <c r="N1072">
        <f t="shared" si="50"/>
        <v>4.99</v>
      </c>
    </row>
    <row r="1073" spans="3:14" x14ac:dyDescent="0.25">
      <c r="C1073" t="str">
        <f>IF(COUNTBLANK(E1073:K1073) = 7,"",IF(AND(NOT(ISBLANK(E1073)),COUNTBLANK(E1073:K1073) = 6),"3 Delete",IF(ISBLANK(E1073),"2 Add",IF(SHA1Range(E1073:K1073) = "9ad8656da2cb685e4869e2f7d8ba9f86ff9d9e34","0 Original","1 Modify"))))</f>
        <v>0 Original</v>
      </c>
      <c r="D1073" s="5" t="s">
        <v>4167</v>
      </c>
      <c r="E1073" s="3">
        <v>111</v>
      </c>
      <c r="F1073" t="s">
        <v>1289</v>
      </c>
      <c r="G1073" t="s">
        <v>932</v>
      </c>
      <c r="H1073" s="9">
        <v>9.99</v>
      </c>
      <c r="I1073" s="3">
        <v>1</v>
      </c>
      <c r="J1073" s="5" t="s">
        <v>68</v>
      </c>
      <c r="K1073" s="15">
        <v>41834.951099537036</v>
      </c>
      <c r="L1073" s="20">
        <f t="shared" si="48"/>
        <v>41834</v>
      </c>
      <c r="M1073" t="str">
        <f t="shared" si="49"/>
        <v>07-2014</v>
      </c>
      <c r="N1073">
        <f t="shared" si="50"/>
        <v>9.99</v>
      </c>
    </row>
    <row r="1074" spans="3:14" x14ac:dyDescent="0.25">
      <c r="C1074" t="str">
        <f>IF(COUNTBLANK(E1074:K1074) = 7,"",IF(AND(NOT(ISBLANK(E1074)),COUNTBLANK(E1074:K1074) = 6),"3 Delete",IF(ISBLANK(E1074),"2 Add",IF(SHA1Range(E1074:K1074) = "fdb23ada824157acbe97f61a00b123640014f191","0 Original","1 Modify"))))</f>
        <v>0 Original</v>
      </c>
      <c r="D1074" s="5" t="s">
        <v>4168</v>
      </c>
      <c r="E1074" s="3">
        <v>112</v>
      </c>
      <c r="F1074" t="s">
        <v>1289</v>
      </c>
      <c r="G1074" t="s">
        <v>448</v>
      </c>
      <c r="H1074" s="9">
        <v>8.99</v>
      </c>
      <c r="I1074" s="3">
        <v>1</v>
      </c>
      <c r="J1074" s="5" t="s">
        <v>68</v>
      </c>
      <c r="K1074" s="15">
        <v>41834.951099537036</v>
      </c>
      <c r="L1074" s="20">
        <f t="shared" si="48"/>
        <v>41834</v>
      </c>
      <c r="M1074" t="str">
        <f t="shared" si="49"/>
        <v>07-2014</v>
      </c>
      <c r="N1074">
        <f t="shared" si="50"/>
        <v>8.99</v>
      </c>
    </row>
    <row r="1075" spans="3:14" x14ac:dyDescent="0.25">
      <c r="C1075" t="str">
        <f>IF(COUNTBLANK(E1075:K1075) = 7,"",IF(AND(NOT(ISBLANK(E1075)),COUNTBLANK(E1075:K1075) = 6),"3 Delete",IF(ISBLANK(E1075),"2 Add",IF(SHA1Range(E1075:K1075) = "bdc00f78ca770003323a0ba97fbd9817b6f9e29f","0 Original","1 Modify"))))</f>
        <v>0 Original</v>
      </c>
      <c r="D1075" s="5" t="s">
        <v>4169</v>
      </c>
      <c r="E1075" s="3">
        <v>113</v>
      </c>
      <c r="F1075" t="s">
        <v>1289</v>
      </c>
      <c r="G1075" t="s">
        <v>869</v>
      </c>
      <c r="H1075" s="9">
        <v>4.99</v>
      </c>
      <c r="I1075" s="3">
        <v>1</v>
      </c>
      <c r="J1075" s="5" t="s">
        <v>68</v>
      </c>
      <c r="K1075" s="15">
        <v>41834.951099537036</v>
      </c>
      <c r="L1075" s="20">
        <f t="shared" si="48"/>
        <v>41834</v>
      </c>
      <c r="M1075" t="str">
        <f t="shared" si="49"/>
        <v>07-2014</v>
      </c>
      <c r="N1075">
        <f t="shared" si="50"/>
        <v>4.99</v>
      </c>
    </row>
    <row r="1076" spans="3:14" x14ac:dyDescent="0.25">
      <c r="C1076" t="str">
        <f>IF(COUNTBLANK(E1076:K1076) = 7,"",IF(AND(NOT(ISBLANK(E1076)),COUNTBLANK(E1076:K1076) = 6),"3 Delete",IF(ISBLANK(E1076),"2 Add",IF(SHA1Range(E1076:K1076) = "a765b641549652197ccd5c43282f925d528bea21","0 Original","1 Modify"))))</f>
        <v>0 Original</v>
      </c>
      <c r="D1076" s="5" t="s">
        <v>3337</v>
      </c>
      <c r="E1076" s="3">
        <v>1565</v>
      </c>
      <c r="F1076" t="s">
        <v>1290</v>
      </c>
      <c r="G1076" t="s">
        <v>507</v>
      </c>
      <c r="H1076" s="9">
        <v>6.99</v>
      </c>
      <c r="I1076" s="3">
        <v>2</v>
      </c>
      <c r="J1076" s="5" t="s">
        <v>68</v>
      </c>
      <c r="K1076" s="15">
        <v>41835.741550925923</v>
      </c>
      <c r="L1076" s="20">
        <f t="shared" si="48"/>
        <v>41835</v>
      </c>
      <c r="M1076" t="str">
        <f t="shared" si="49"/>
        <v>07-2014</v>
      </c>
      <c r="N1076">
        <f t="shared" si="50"/>
        <v>13.98</v>
      </c>
    </row>
    <row r="1077" spans="3:14" x14ac:dyDescent="0.25">
      <c r="C1077" t="str">
        <f>IF(COUNTBLANK(E1077:K1077) = 7,"",IF(AND(NOT(ISBLANK(E1077)),COUNTBLANK(E1077:K1077) = 6),"3 Delete",IF(ISBLANK(E1077),"2 Add",IF(SHA1Range(E1077:K1077) = "6546ae845fb6af5dbfc6d7bcbc199c6ee7d4c91c","0 Original","1 Modify"))))</f>
        <v>0 Original</v>
      </c>
      <c r="D1077" s="5" t="s">
        <v>3338</v>
      </c>
      <c r="E1077" s="3">
        <v>1566</v>
      </c>
      <c r="F1077" t="s">
        <v>1290</v>
      </c>
      <c r="G1077" t="s">
        <v>697</v>
      </c>
      <c r="H1077" s="9">
        <v>5.99</v>
      </c>
      <c r="I1077" s="3">
        <v>1</v>
      </c>
      <c r="J1077" s="5" t="s">
        <v>68</v>
      </c>
      <c r="K1077" s="15">
        <v>41835.741550925923</v>
      </c>
      <c r="L1077" s="20">
        <f t="shared" si="48"/>
        <v>41835</v>
      </c>
      <c r="M1077" t="str">
        <f t="shared" si="49"/>
        <v>07-2014</v>
      </c>
      <c r="N1077">
        <f t="shared" si="50"/>
        <v>5.99</v>
      </c>
    </row>
    <row r="1078" spans="3:14" x14ac:dyDescent="0.25">
      <c r="C1078" t="str">
        <f>IF(COUNTBLANK(E1078:K1078) = 7,"",IF(AND(NOT(ISBLANK(E1078)),COUNTBLANK(E1078:K1078) = 6),"3 Delete",IF(ISBLANK(E1078),"2 Add",IF(SHA1Range(E1078:K1078) = "9a45bce51af8147ef83be1a990876e19b9555dbc","0 Original","1 Modify"))))</f>
        <v>0 Original</v>
      </c>
      <c r="D1078" s="5" t="s">
        <v>3339</v>
      </c>
      <c r="E1078" s="3">
        <v>1245</v>
      </c>
      <c r="F1078" t="s">
        <v>1291</v>
      </c>
      <c r="G1078" t="s">
        <v>842</v>
      </c>
      <c r="H1078" s="9">
        <v>4.99</v>
      </c>
      <c r="I1078" s="3">
        <v>2</v>
      </c>
      <c r="J1078" s="5" t="s">
        <v>68</v>
      </c>
      <c r="K1078" s="15">
        <v>41836.038182870368</v>
      </c>
      <c r="L1078" s="20">
        <f t="shared" si="48"/>
        <v>41836</v>
      </c>
      <c r="M1078" t="str">
        <f t="shared" si="49"/>
        <v>07-2014</v>
      </c>
      <c r="N1078">
        <f t="shared" si="50"/>
        <v>9.98</v>
      </c>
    </row>
    <row r="1079" spans="3:14" x14ac:dyDescent="0.25">
      <c r="C1079" t="str">
        <f>IF(COUNTBLANK(E1079:K1079) = 7,"",IF(AND(NOT(ISBLANK(E1079)),COUNTBLANK(E1079:K1079) = 6),"3 Delete",IF(ISBLANK(E1079),"2 Add",IF(SHA1Range(E1079:K1079) = "7c2d0865852e845981662d736fc84abb880ad2ca","0 Original","1 Modify"))))</f>
        <v>0 Original</v>
      </c>
      <c r="D1079" s="5" t="s">
        <v>3340</v>
      </c>
      <c r="E1079" s="3">
        <v>1246</v>
      </c>
      <c r="F1079" t="s">
        <v>1291</v>
      </c>
      <c r="G1079" t="s">
        <v>585</v>
      </c>
      <c r="H1079" s="9">
        <v>9.99</v>
      </c>
      <c r="I1079" s="3">
        <v>2</v>
      </c>
      <c r="J1079" s="5" t="s">
        <v>68</v>
      </c>
      <c r="K1079" s="15">
        <v>41836.038182870368</v>
      </c>
      <c r="L1079" s="20">
        <f t="shared" si="48"/>
        <v>41836</v>
      </c>
      <c r="M1079" t="str">
        <f t="shared" si="49"/>
        <v>07-2014</v>
      </c>
      <c r="N1079">
        <f t="shared" si="50"/>
        <v>19.98</v>
      </c>
    </row>
    <row r="1080" spans="3:14" x14ac:dyDescent="0.25">
      <c r="C1080" t="str">
        <f>IF(COUNTBLANK(E1080:K1080) = 7,"",IF(AND(NOT(ISBLANK(E1080)),COUNTBLANK(E1080:K1080) = 6),"3 Delete",IF(ISBLANK(E1080),"2 Add",IF(SHA1Range(E1080:K1080) = "88a968edd46c25d9993312a5944b284281d6fa30","0 Original","1 Modify"))))</f>
        <v>0 Original</v>
      </c>
      <c r="D1080" s="5" t="s">
        <v>3341</v>
      </c>
      <c r="E1080" s="3">
        <v>1247</v>
      </c>
      <c r="F1080" t="s">
        <v>1291</v>
      </c>
      <c r="G1080" t="s">
        <v>749</v>
      </c>
      <c r="H1080" s="9">
        <v>5.99</v>
      </c>
      <c r="I1080" s="3">
        <v>2</v>
      </c>
      <c r="J1080" s="5" t="s">
        <v>68</v>
      </c>
      <c r="K1080" s="15">
        <v>41836.038182870368</v>
      </c>
      <c r="L1080" s="20">
        <f t="shared" si="48"/>
        <v>41836</v>
      </c>
      <c r="M1080" t="str">
        <f t="shared" si="49"/>
        <v>07-2014</v>
      </c>
      <c r="N1080">
        <f t="shared" si="50"/>
        <v>11.98</v>
      </c>
    </row>
    <row r="1081" spans="3:14" x14ac:dyDescent="0.25">
      <c r="C1081" t="str">
        <f>IF(COUNTBLANK(E1081:K1081) = 7,"",IF(AND(NOT(ISBLANK(E1081)),COUNTBLANK(E1081:K1081) = 6),"3 Delete",IF(ISBLANK(E1081),"2 Add",IF(SHA1Range(E1081:K1081) = "2bc419724bdbccbca7401e13e38f9cd06d754998","0 Original","1 Modify"))))</f>
        <v>0 Original</v>
      </c>
      <c r="D1081" s="5" t="s">
        <v>3342</v>
      </c>
      <c r="E1081" s="3">
        <v>1248</v>
      </c>
      <c r="F1081" t="s">
        <v>1291</v>
      </c>
      <c r="G1081" t="s">
        <v>657</v>
      </c>
      <c r="H1081" s="9">
        <v>9.99</v>
      </c>
      <c r="I1081" s="3">
        <v>2</v>
      </c>
      <c r="J1081" s="5" t="s">
        <v>68</v>
      </c>
      <c r="K1081" s="15">
        <v>41836.038182870368</v>
      </c>
      <c r="L1081" s="20">
        <f t="shared" si="48"/>
        <v>41836</v>
      </c>
      <c r="M1081" t="str">
        <f t="shared" si="49"/>
        <v>07-2014</v>
      </c>
      <c r="N1081">
        <f t="shared" si="50"/>
        <v>19.98</v>
      </c>
    </row>
    <row r="1082" spans="3:14" x14ac:dyDescent="0.25">
      <c r="C1082" t="str">
        <f>IF(COUNTBLANK(E1082:K1082) = 7,"",IF(AND(NOT(ISBLANK(E1082)),COUNTBLANK(E1082:K1082) = 6),"3 Delete",IF(ISBLANK(E1082),"2 Add",IF(SHA1Range(E1082:K1082) = "8634500bf868ab52530fce8ac4903ea6b1ee9239","0 Original","1 Modify"))))</f>
        <v>0 Original</v>
      </c>
      <c r="D1082" s="5" t="s">
        <v>3343</v>
      </c>
      <c r="E1082" s="3">
        <v>1249</v>
      </c>
      <c r="F1082" t="s">
        <v>1291</v>
      </c>
      <c r="G1082" t="s">
        <v>845</v>
      </c>
      <c r="H1082" s="9">
        <v>7.99</v>
      </c>
      <c r="I1082" s="3">
        <v>2</v>
      </c>
      <c r="J1082" s="5" t="s">
        <v>68</v>
      </c>
      <c r="K1082" s="15">
        <v>41836.038182870368</v>
      </c>
      <c r="L1082" s="20">
        <f t="shared" si="48"/>
        <v>41836</v>
      </c>
      <c r="M1082" t="str">
        <f t="shared" si="49"/>
        <v>07-2014</v>
      </c>
      <c r="N1082">
        <f t="shared" si="50"/>
        <v>15.98</v>
      </c>
    </row>
    <row r="1083" spans="3:14" x14ac:dyDescent="0.25">
      <c r="C1083" t="str">
        <f>IF(COUNTBLANK(E1083:K1083) = 7,"",IF(AND(NOT(ISBLANK(E1083)),COUNTBLANK(E1083:K1083) = 6),"3 Delete",IF(ISBLANK(E1083),"2 Add",IF(SHA1Range(E1083:K1083) = "5c49a6d0ebce7a9ee9d1062806cca2ebaf5b7682","0 Original","1 Modify"))))</f>
        <v>0 Original</v>
      </c>
      <c r="D1083" s="5" t="s">
        <v>3344</v>
      </c>
      <c r="E1083" s="3">
        <v>1250</v>
      </c>
      <c r="F1083" t="s">
        <v>1291</v>
      </c>
      <c r="G1083" t="s">
        <v>792</v>
      </c>
      <c r="H1083" s="9">
        <v>9.99</v>
      </c>
      <c r="I1083" s="3">
        <v>2</v>
      </c>
      <c r="J1083" s="5" t="s">
        <v>68</v>
      </c>
      <c r="K1083" s="15">
        <v>41836.038182870368</v>
      </c>
      <c r="L1083" s="20">
        <f t="shared" si="48"/>
        <v>41836</v>
      </c>
      <c r="M1083" t="str">
        <f t="shared" si="49"/>
        <v>07-2014</v>
      </c>
      <c r="N1083">
        <f t="shared" si="50"/>
        <v>19.98</v>
      </c>
    </row>
    <row r="1084" spans="3:14" x14ac:dyDescent="0.25">
      <c r="C1084" t="str">
        <f>IF(COUNTBLANK(E1084:K1084) = 7,"",IF(AND(NOT(ISBLANK(E1084)),COUNTBLANK(E1084:K1084) = 6),"3 Delete",IF(ISBLANK(E1084),"2 Add",IF(SHA1Range(E1084:K1084) = "3782f33a26221a8a0874d339456776c718ec81e5","0 Original","1 Modify"))))</f>
        <v>0 Original</v>
      </c>
      <c r="D1084" s="5" t="s">
        <v>3345</v>
      </c>
      <c r="E1084" s="3">
        <v>1360</v>
      </c>
      <c r="F1084" t="s">
        <v>1292</v>
      </c>
      <c r="G1084" t="s">
        <v>684</v>
      </c>
      <c r="H1084" s="9">
        <v>8.99</v>
      </c>
      <c r="I1084" s="3">
        <v>1</v>
      </c>
      <c r="J1084" s="5" t="s">
        <v>68</v>
      </c>
      <c r="K1084" s="15">
        <v>41836.214999999997</v>
      </c>
      <c r="L1084" s="20">
        <f t="shared" si="48"/>
        <v>41836</v>
      </c>
      <c r="M1084" t="str">
        <f t="shared" si="49"/>
        <v>07-2014</v>
      </c>
      <c r="N1084">
        <f t="shared" si="50"/>
        <v>8.99</v>
      </c>
    </row>
    <row r="1085" spans="3:14" x14ac:dyDescent="0.25">
      <c r="C1085" t="str">
        <f>IF(COUNTBLANK(E1085:K1085) = 7,"",IF(AND(NOT(ISBLANK(E1085)),COUNTBLANK(E1085:K1085) = 6),"3 Delete",IF(ISBLANK(E1085),"2 Add",IF(SHA1Range(E1085:K1085) = "33a50873aceeca9a388863932b529786bc5cfc42","0 Original","1 Modify"))))</f>
        <v>0 Original</v>
      </c>
      <c r="D1085" s="5" t="s">
        <v>3346</v>
      </c>
      <c r="E1085" s="3">
        <v>3655</v>
      </c>
      <c r="F1085" t="s">
        <v>1293</v>
      </c>
      <c r="G1085" t="s">
        <v>373</v>
      </c>
      <c r="H1085" s="9">
        <v>7.99</v>
      </c>
      <c r="I1085" s="3">
        <v>2</v>
      </c>
      <c r="J1085" s="5" t="s">
        <v>68</v>
      </c>
      <c r="K1085" s="15">
        <v>41836.501111111109</v>
      </c>
      <c r="L1085" s="20">
        <f t="shared" si="48"/>
        <v>41836</v>
      </c>
      <c r="M1085" t="str">
        <f t="shared" si="49"/>
        <v>07-2014</v>
      </c>
      <c r="N1085">
        <f t="shared" si="50"/>
        <v>15.98</v>
      </c>
    </row>
    <row r="1086" spans="3:14" x14ac:dyDescent="0.25">
      <c r="C1086" t="str">
        <f>IF(COUNTBLANK(E1086:K1086) = 7,"",IF(AND(NOT(ISBLANK(E1086)),COUNTBLANK(E1086:K1086) = 6),"3 Delete",IF(ISBLANK(E1086),"2 Add",IF(SHA1Range(E1086:K1086) = "2aa42a1061f39df36406b4da6cef0d9f1fae44e1","0 Original","1 Modify"))))</f>
        <v>0 Original</v>
      </c>
      <c r="D1086" s="5" t="s">
        <v>3347</v>
      </c>
      <c r="E1086" s="3">
        <v>3656</v>
      </c>
      <c r="F1086" t="s">
        <v>1293</v>
      </c>
      <c r="G1086" t="s">
        <v>948</v>
      </c>
      <c r="H1086" s="9">
        <v>4.99</v>
      </c>
      <c r="I1086" s="3">
        <v>2</v>
      </c>
      <c r="J1086" s="5" t="s">
        <v>68</v>
      </c>
      <c r="K1086" s="15">
        <v>41836.501111111109</v>
      </c>
      <c r="L1086" s="20">
        <f t="shared" si="48"/>
        <v>41836</v>
      </c>
      <c r="M1086" t="str">
        <f t="shared" si="49"/>
        <v>07-2014</v>
      </c>
      <c r="N1086">
        <f t="shared" si="50"/>
        <v>9.98</v>
      </c>
    </row>
    <row r="1087" spans="3:14" x14ac:dyDescent="0.25">
      <c r="C1087" t="str">
        <f>IF(COUNTBLANK(E1087:K1087) = 7,"",IF(AND(NOT(ISBLANK(E1087)),COUNTBLANK(E1087:K1087) = 6),"3 Delete",IF(ISBLANK(E1087),"2 Add",IF(SHA1Range(E1087:K1087) = "34990989c8f29ff808f9f09ca3f6b3ae35a84b39","0 Original","1 Modify"))))</f>
        <v>0 Original</v>
      </c>
      <c r="D1087" s="5" t="s">
        <v>3348</v>
      </c>
      <c r="E1087" s="3">
        <v>3904</v>
      </c>
      <c r="F1087" t="s">
        <v>1294</v>
      </c>
      <c r="G1087" t="s">
        <v>552</v>
      </c>
      <c r="H1087" s="9">
        <v>6.99</v>
      </c>
      <c r="I1087" s="3">
        <v>2</v>
      </c>
      <c r="J1087" s="5" t="s">
        <v>68</v>
      </c>
      <c r="K1087" s="15">
        <v>41838.045787037037</v>
      </c>
      <c r="L1087" s="20">
        <f t="shared" si="48"/>
        <v>41838</v>
      </c>
      <c r="M1087" t="str">
        <f t="shared" si="49"/>
        <v>07-2014</v>
      </c>
      <c r="N1087">
        <f t="shared" si="50"/>
        <v>13.98</v>
      </c>
    </row>
    <row r="1088" spans="3:14" x14ac:dyDescent="0.25">
      <c r="C1088" t="str">
        <f>IF(COUNTBLANK(E1088:K1088) = 7,"",IF(AND(NOT(ISBLANK(E1088)),COUNTBLANK(E1088:K1088) = 6),"3 Delete",IF(ISBLANK(E1088),"2 Add",IF(SHA1Range(E1088:K1088) = "6c245ecbf528548b71419a5b7ee4b6c9d1c56317","0 Original","1 Modify"))))</f>
        <v>0 Original</v>
      </c>
      <c r="D1088" s="5" t="s">
        <v>3349</v>
      </c>
      <c r="E1088" s="3">
        <v>3905</v>
      </c>
      <c r="F1088" t="s">
        <v>1294</v>
      </c>
      <c r="G1088" t="s">
        <v>948</v>
      </c>
      <c r="H1088" s="9">
        <v>4.99</v>
      </c>
      <c r="I1088" s="3">
        <v>1</v>
      </c>
      <c r="J1088" s="5" t="s">
        <v>68</v>
      </c>
      <c r="K1088" s="15">
        <v>41838.045787037037</v>
      </c>
      <c r="L1088" s="20">
        <f t="shared" si="48"/>
        <v>41838</v>
      </c>
      <c r="M1088" t="str">
        <f t="shared" si="49"/>
        <v>07-2014</v>
      </c>
      <c r="N1088">
        <f t="shared" si="50"/>
        <v>4.99</v>
      </c>
    </row>
    <row r="1089" spans="3:14" x14ac:dyDescent="0.25">
      <c r="C1089" t="str">
        <f>IF(COUNTBLANK(E1089:K1089) = 7,"",IF(AND(NOT(ISBLANK(E1089)),COUNTBLANK(E1089:K1089) = 6),"3 Delete",IF(ISBLANK(E1089),"2 Add",IF(SHA1Range(E1089:K1089) = "f9aa27c80bdcdda3e84f9ea4c4ff3de077cf5fa8","0 Original","1 Modify"))))</f>
        <v>0 Original</v>
      </c>
      <c r="D1089" s="5" t="s">
        <v>3350</v>
      </c>
      <c r="E1089" s="3">
        <v>3906</v>
      </c>
      <c r="F1089" t="s">
        <v>1294</v>
      </c>
      <c r="G1089" t="s">
        <v>579</v>
      </c>
      <c r="H1089" s="9">
        <v>9.99</v>
      </c>
      <c r="I1089" s="3">
        <v>2</v>
      </c>
      <c r="J1089" s="5" t="s">
        <v>68</v>
      </c>
      <c r="K1089" s="15">
        <v>41838.045787037037</v>
      </c>
      <c r="L1089" s="20">
        <f t="shared" si="48"/>
        <v>41838</v>
      </c>
      <c r="M1089" t="str">
        <f t="shared" si="49"/>
        <v>07-2014</v>
      </c>
      <c r="N1089">
        <f t="shared" si="50"/>
        <v>19.98</v>
      </c>
    </row>
    <row r="1090" spans="3:14" x14ac:dyDescent="0.25">
      <c r="C1090" t="str">
        <f>IF(COUNTBLANK(E1090:K1090) = 7,"",IF(AND(NOT(ISBLANK(E1090)),COUNTBLANK(E1090:K1090) = 6),"3 Delete",IF(ISBLANK(E1090),"2 Add",IF(SHA1Range(E1090:K1090) = "ebc118963b040385a94e20b29e4466bba6aa2f5e","0 Original","1 Modify"))))</f>
        <v>0 Original</v>
      </c>
      <c r="D1090" s="5" t="s">
        <v>3351</v>
      </c>
      <c r="E1090" s="3">
        <v>2300</v>
      </c>
      <c r="F1090" t="s">
        <v>1295</v>
      </c>
      <c r="G1090" t="s">
        <v>514</v>
      </c>
      <c r="H1090" s="9">
        <v>6.99</v>
      </c>
      <c r="I1090" s="3">
        <v>1</v>
      </c>
      <c r="J1090" s="5" t="s">
        <v>68</v>
      </c>
      <c r="K1090" s="15">
        <v>41838.076597222222</v>
      </c>
      <c r="L1090" s="20">
        <f t="shared" si="48"/>
        <v>41838</v>
      </c>
      <c r="M1090" t="str">
        <f t="shared" si="49"/>
        <v>07-2014</v>
      </c>
      <c r="N1090">
        <f t="shared" si="50"/>
        <v>6.99</v>
      </c>
    </row>
    <row r="1091" spans="3:14" x14ac:dyDescent="0.25">
      <c r="C1091" t="str">
        <f>IF(COUNTBLANK(E1091:K1091) = 7,"",IF(AND(NOT(ISBLANK(E1091)),COUNTBLANK(E1091:K1091) = 6),"3 Delete",IF(ISBLANK(E1091),"2 Add",IF(SHA1Range(E1091:K1091) = "85c81b96f3b047eef14b6cba73dcd85edc336f7b","0 Original","1 Modify"))))</f>
        <v>0 Original</v>
      </c>
      <c r="D1091" s="5" t="s">
        <v>3352</v>
      </c>
      <c r="E1091" s="3">
        <v>3766</v>
      </c>
      <c r="F1091" t="s">
        <v>1296</v>
      </c>
      <c r="G1091" t="s">
        <v>400</v>
      </c>
      <c r="H1091" s="9">
        <v>4.99</v>
      </c>
      <c r="I1091" s="3">
        <v>1</v>
      </c>
      <c r="J1091" s="5" t="s">
        <v>68</v>
      </c>
      <c r="K1091" s="15">
        <v>41838.17459490741</v>
      </c>
      <c r="L1091" s="20">
        <f t="shared" ref="L1091:L1154" si="51">DATEVALUE(LEFT(F1091,10))</f>
        <v>41838</v>
      </c>
      <c r="M1091" t="str">
        <f t="shared" ref="M1091:M1154" si="52">TEXT(L1091,"mm-yyyy")</f>
        <v>07-2014</v>
      </c>
      <c r="N1091">
        <f t="shared" ref="N1091:N1154" si="53">H1091*I1091</f>
        <v>4.99</v>
      </c>
    </row>
    <row r="1092" spans="3:14" x14ac:dyDescent="0.25">
      <c r="C1092" t="str">
        <f>IF(COUNTBLANK(E1092:K1092) = 7,"",IF(AND(NOT(ISBLANK(E1092)),COUNTBLANK(E1092:K1092) = 6),"3 Delete",IF(ISBLANK(E1092),"2 Add",IF(SHA1Range(E1092:K1092) = "3ef0b66cd6ae69360e888569e5a3b73bc9cb3f18","0 Original","1 Modify"))))</f>
        <v>0 Original</v>
      </c>
      <c r="D1092" s="5" t="s">
        <v>3353</v>
      </c>
      <c r="E1092" s="3">
        <v>3767</v>
      </c>
      <c r="F1092" t="s">
        <v>1296</v>
      </c>
      <c r="G1092" t="s">
        <v>642</v>
      </c>
      <c r="H1092" s="9">
        <v>9.99</v>
      </c>
      <c r="I1092" s="3">
        <v>1</v>
      </c>
      <c r="J1092" s="5" t="s">
        <v>68</v>
      </c>
      <c r="K1092" s="15">
        <v>41838.17459490741</v>
      </c>
      <c r="L1092" s="20">
        <f t="shared" si="51"/>
        <v>41838</v>
      </c>
      <c r="M1092" t="str">
        <f t="shared" si="52"/>
        <v>07-2014</v>
      </c>
      <c r="N1092">
        <f t="shared" si="53"/>
        <v>9.99</v>
      </c>
    </row>
    <row r="1093" spans="3:14" x14ac:dyDescent="0.25">
      <c r="C1093" t="str">
        <f>IF(COUNTBLANK(E1093:K1093) = 7,"",IF(AND(NOT(ISBLANK(E1093)),COUNTBLANK(E1093:K1093) = 6),"3 Delete",IF(ISBLANK(E1093),"2 Add",IF(SHA1Range(E1093:K1093) = "a6d34ce720631327fd01968658045adeb4f5e666","0 Original","1 Modify"))))</f>
        <v>0 Original</v>
      </c>
      <c r="D1093" s="5" t="s">
        <v>3354</v>
      </c>
      <c r="E1093" s="3">
        <v>3324</v>
      </c>
      <c r="F1093" t="s">
        <v>1297</v>
      </c>
      <c r="G1093" t="s">
        <v>642</v>
      </c>
      <c r="H1093" s="9">
        <v>9.99</v>
      </c>
      <c r="I1093" s="3">
        <v>1</v>
      </c>
      <c r="J1093" s="5" t="s">
        <v>68</v>
      </c>
      <c r="K1093" s="15">
        <v>41838.585081018522</v>
      </c>
      <c r="L1093" s="20">
        <f t="shared" si="51"/>
        <v>41838</v>
      </c>
      <c r="M1093" t="str">
        <f t="shared" si="52"/>
        <v>07-2014</v>
      </c>
      <c r="N1093">
        <f t="shared" si="53"/>
        <v>9.99</v>
      </c>
    </row>
    <row r="1094" spans="3:14" x14ac:dyDescent="0.25">
      <c r="C1094" t="str">
        <f>IF(COUNTBLANK(E1094:K1094) = 7,"",IF(AND(NOT(ISBLANK(E1094)),COUNTBLANK(E1094:K1094) = 6),"3 Delete",IF(ISBLANK(E1094),"2 Add",IF(SHA1Range(E1094:K1094) = "b486a6d184861021eb5cc69a044987e3422101c0","0 Original","1 Modify"))))</f>
        <v>0 Original</v>
      </c>
      <c r="D1094" s="5" t="s">
        <v>3355</v>
      </c>
      <c r="E1094" s="3">
        <v>3325</v>
      </c>
      <c r="F1094" t="s">
        <v>1297</v>
      </c>
      <c r="G1094" t="s">
        <v>400</v>
      </c>
      <c r="H1094" s="9">
        <v>4.99</v>
      </c>
      <c r="I1094" s="3">
        <v>1</v>
      </c>
      <c r="J1094" s="5" t="s">
        <v>68</v>
      </c>
      <c r="K1094" s="15">
        <v>41838.585081018522</v>
      </c>
      <c r="L1094" s="20">
        <f t="shared" si="51"/>
        <v>41838</v>
      </c>
      <c r="M1094" t="str">
        <f t="shared" si="52"/>
        <v>07-2014</v>
      </c>
      <c r="N1094">
        <f t="shared" si="53"/>
        <v>4.99</v>
      </c>
    </row>
    <row r="1095" spans="3:14" x14ac:dyDescent="0.25">
      <c r="C1095" t="str">
        <f>IF(COUNTBLANK(E1095:K1095) = 7,"",IF(AND(NOT(ISBLANK(E1095)),COUNTBLANK(E1095:K1095) = 6),"3 Delete",IF(ISBLANK(E1095),"2 Add",IF(SHA1Range(E1095:K1095) = "e6319b5e8d9783febdafc4340521065edef903dd","0 Original","1 Modify"))))</f>
        <v>0 Original</v>
      </c>
      <c r="D1095" s="5" t="s">
        <v>3356</v>
      </c>
      <c r="E1095" s="3">
        <v>3326</v>
      </c>
      <c r="F1095" t="s">
        <v>1297</v>
      </c>
      <c r="G1095" t="s">
        <v>749</v>
      </c>
      <c r="H1095" s="9">
        <v>5.99</v>
      </c>
      <c r="I1095" s="3">
        <v>1</v>
      </c>
      <c r="J1095" s="5" t="s">
        <v>68</v>
      </c>
      <c r="K1095" s="15">
        <v>41838.585081018522</v>
      </c>
      <c r="L1095" s="20">
        <f t="shared" si="51"/>
        <v>41838</v>
      </c>
      <c r="M1095" t="str">
        <f t="shared" si="52"/>
        <v>07-2014</v>
      </c>
      <c r="N1095">
        <f t="shared" si="53"/>
        <v>5.99</v>
      </c>
    </row>
    <row r="1096" spans="3:14" x14ac:dyDescent="0.25">
      <c r="C1096" t="str">
        <f>IF(COUNTBLANK(E1096:K1096) = 7,"",IF(AND(NOT(ISBLANK(E1096)),COUNTBLANK(E1096:K1096) = 6),"3 Delete",IF(ISBLANK(E1096),"2 Add",IF(SHA1Range(E1096:K1096) = "3d79dc5f2ac891656ea5dcff5b1924854bb606c5","0 Original","1 Modify"))))</f>
        <v>0 Original</v>
      </c>
      <c r="D1096" s="5" t="s">
        <v>3357</v>
      </c>
      <c r="E1096" s="3">
        <v>3327</v>
      </c>
      <c r="F1096" t="s">
        <v>1297</v>
      </c>
      <c r="G1096" t="s">
        <v>579</v>
      </c>
      <c r="H1096" s="9">
        <v>9.99</v>
      </c>
      <c r="I1096" s="3">
        <v>2</v>
      </c>
      <c r="J1096" s="5" t="s">
        <v>68</v>
      </c>
      <c r="K1096" s="15">
        <v>41838.585081018522</v>
      </c>
      <c r="L1096" s="20">
        <f t="shared" si="51"/>
        <v>41838</v>
      </c>
      <c r="M1096" t="str">
        <f t="shared" si="52"/>
        <v>07-2014</v>
      </c>
      <c r="N1096">
        <f t="shared" si="53"/>
        <v>19.98</v>
      </c>
    </row>
    <row r="1097" spans="3:14" x14ac:dyDescent="0.25">
      <c r="C1097" t="str">
        <f>IF(COUNTBLANK(E1097:K1097) = 7,"",IF(AND(NOT(ISBLANK(E1097)),COUNTBLANK(E1097:K1097) = 6),"3 Delete",IF(ISBLANK(E1097),"2 Add",IF(SHA1Range(E1097:K1097) = "325dfe23aa36484450594c2690d48c938350a72f","0 Original","1 Modify"))))</f>
        <v>0 Original</v>
      </c>
      <c r="D1097" s="5" t="s">
        <v>3358</v>
      </c>
      <c r="E1097" s="3">
        <v>3328</v>
      </c>
      <c r="F1097" t="s">
        <v>1297</v>
      </c>
      <c r="G1097" t="s">
        <v>707</v>
      </c>
      <c r="H1097" s="9">
        <v>7.99</v>
      </c>
      <c r="I1097" s="3">
        <v>1</v>
      </c>
      <c r="J1097" s="5" t="s">
        <v>68</v>
      </c>
      <c r="K1097" s="15">
        <v>41838.585081018522</v>
      </c>
      <c r="L1097" s="20">
        <f t="shared" si="51"/>
        <v>41838</v>
      </c>
      <c r="M1097" t="str">
        <f t="shared" si="52"/>
        <v>07-2014</v>
      </c>
      <c r="N1097">
        <f t="shared" si="53"/>
        <v>7.99</v>
      </c>
    </row>
    <row r="1098" spans="3:14" x14ac:dyDescent="0.25">
      <c r="C1098" t="str">
        <f>IF(COUNTBLANK(E1098:K1098) = 7,"",IF(AND(NOT(ISBLANK(E1098)),COUNTBLANK(E1098:K1098) = 6),"3 Delete",IF(ISBLANK(E1098),"2 Add",IF(SHA1Range(E1098:K1098) = "b091e8c78b1c846db9b4099692ac3a53eb9c738b","0 Original","1 Modify"))))</f>
        <v>0 Original</v>
      </c>
      <c r="D1098" s="5" t="s">
        <v>3359</v>
      </c>
      <c r="E1098" s="3">
        <v>3398</v>
      </c>
      <c r="F1098" t="s">
        <v>1298</v>
      </c>
      <c r="G1098" t="s">
        <v>749</v>
      </c>
      <c r="H1098" s="9">
        <v>5.99</v>
      </c>
      <c r="I1098" s="3">
        <v>2</v>
      </c>
      <c r="J1098" s="5" t="s">
        <v>68</v>
      </c>
      <c r="K1098" s="15">
        <v>41839.036782407406</v>
      </c>
      <c r="L1098" s="20">
        <f t="shared" si="51"/>
        <v>41839</v>
      </c>
      <c r="M1098" t="str">
        <f t="shared" si="52"/>
        <v>07-2014</v>
      </c>
      <c r="N1098">
        <f t="shared" si="53"/>
        <v>11.98</v>
      </c>
    </row>
    <row r="1099" spans="3:14" x14ac:dyDescent="0.25">
      <c r="C1099" t="str">
        <f>IF(COUNTBLANK(E1099:K1099) = 7,"",IF(AND(NOT(ISBLANK(E1099)),COUNTBLANK(E1099:K1099) = 6),"3 Delete",IF(ISBLANK(E1099),"2 Add",IF(SHA1Range(E1099:K1099) = "089639dabf15b736dca44062edffe1b50715e642","0 Original","1 Modify"))))</f>
        <v>0 Original</v>
      </c>
      <c r="D1099" s="5" t="s">
        <v>3360</v>
      </c>
      <c r="E1099" s="3">
        <v>3399</v>
      </c>
      <c r="F1099" t="s">
        <v>1298</v>
      </c>
      <c r="G1099" t="s">
        <v>400</v>
      </c>
      <c r="H1099" s="9">
        <v>4.99</v>
      </c>
      <c r="I1099" s="3">
        <v>1</v>
      </c>
      <c r="J1099" s="5" t="s">
        <v>68</v>
      </c>
      <c r="K1099" s="15">
        <v>41839.036782407406</v>
      </c>
      <c r="L1099" s="20">
        <f t="shared" si="51"/>
        <v>41839</v>
      </c>
      <c r="M1099" t="str">
        <f t="shared" si="52"/>
        <v>07-2014</v>
      </c>
      <c r="N1099">
        <f t="shared" si="53"/>
        <v>4.99</v>
      </c>
    </row>
    <row r="1100" spans="3:14" x14ac:dyDescent="0.25">
      <c r="C1100" t="str">
        <f>IF(COUNTBLANK(E1100:K1100) = 7,"",IF(AND(NOT(ISBLANK(E1100)),COUNTBLANK(E1100:K1100) = 6),"3 Delete",IF(ISBLANK(E1100),"2 Add",IF(SHA1Range(E1100:K1100) = "0d00baa170cd8d0a4526563d002217cab959368e","0 Original","1 Modify"))))</f>
        <v>0 Original</v>
      </c>
      <c r="D1100" s="5" t="s">
        <v>3361</v>
      </c>
      <c r="E1100" s="3">
        <v>3400</v>
      </c>
      <c r="F1100" t="s">
        <v>1298</v>
      </c>
      <c r="G1100" t="s">
        <v>579</v>
      </c>
      <c r="H1100" s="9">
        <v>9.99</v>
      </c>
      <c r="I1100" s="3">
        <v>2</v>
      </c>
      <c r="J1100" s="5" t="s">
        <v>68</v>
      </c>
      <c r="K1100" s="15">
        <v>41839.036782407406</v>
      </c>
      <c r="L1100" s="20">
        <f t="shared" si="51"/>
        <v>41839</v>
      </c>
      <c r="M1100" t="str">
        <f t="shared" si="52"/>
        <v>07-2014</v>
      </c>
      <c r="N1100">
        <f t="shared" si="53"/>
        <v>19.98</v>
      </c>
    </row>
    <row r="1101" spans="3:14" x14ac:dyDescent="0.25">
      <c r="C1101" t="str">
        <f>IF(COUNTBLANK(E1101:K1101) = 7,"",IF(AND(NOT(ISBLANK(E1101)),COUNTBLANK(E1101:K1101) = 6),"3 Delete",IF(ISBLANK(E1101),"2 Add",IF(SHA1Range(E1101:K1101) = "42f444666a8a6bfb48f510dcedf25993000ed1e9","0 Original","1 Modify"))))</f>
        <v>0 Original</v>
      </c>
      <c r="D1101" s="5" t="s">
        <v>3362</v>
      </c>
      <c r="E1101" s="3">
        <v>3401</v>
      </c>
      <c r="F1101" t="s">
        <v>1298</v>
      </c>
      <c r="G1101" t="s">
        <v>948</v>
      </c>
      <c r="H1101" s="9">
        <v>4.99</v>
      </c>
      <c r="I1101" s="3">
        <v>1</v>
      </c>
      <c r="J1101" s="5" t="s">
        <v>68</v>
      </c>
      <c r="K1101" s="15">
        <v>41839.036782407406</v>
      </c>
      <c r="L1101" s="20">
        <f t="shared" si="51"/>
        <v>41839</v>
      </c>
      <c r="M1101" t="str">
        <f t="shared" si="52"/>
        <v>07-2014</v>
      </c>
      <c r="N1101">
        <f t="shared" si="53"/>
        <v>4.99</v>
      </c>
    </row>
    <row r="1102" spans="3:14" x14ac:dyDescent="0.25">
      <c r="C1102" t="str">
        <f>IF(COUNTBLANK(E1102:K1102) = 7,"",IF(AND(NOT(ISBLANK(E1102)),COUNTBLANK(E1102:K1102) = 6),"3 Delete",IF(ISBLANK(E1102),"2 Add",IF(SHA1Range(E1102:K1102) = "cbef2ded0a4fa8c9184f16bb8032f5e49d050591","0 Original","1 Modify"))))</f>
        <v>0 Original</v>
      </c>
      <c r="D1102" s="5" t="s">
        <v>3363</v>
      </c>
      <c r="E1102" s="3">
        <v>3402</v>
      </c>
      <c r="F1102" t="s">
        <v>1298</v>
      </c>
      <c r="G1102" t="s">
        <v>948</v>
      </c>
      <c r="H1102" s="9">
        <v>4.99</v>
      </c>
      <c r="I1102" s="3">
        <v>1</v>
      </c>
      <c r="J1102" s="5" t="s">
        <v>68</v>
      </c>
      <c r="K1102" s="15">
        <v>41839.036782407406</v>
      </c>
      <c r="L1102" s="20">
        <f t="shared" si="51"/>
        <v>41839</v>
      </c>
      <c r="M1102" t="str">
        <f t="shared" si="52"/>
        <v>07-2014</v>
      </c>
      <c r="N1102">
        <f t="shared" si="53"/>
        <v>4.99</v>
      </c>
    </row>
    <row r="1103" spans="3:14" x14ac:dyDescent="0.25">
      <c r="C1103" t="str">
        <f>IF(COUNTBLANK(E1103:K1103) = 7,"",IF(AND(NOT(ISBLANK(E1103)),COUNTBLANK(E1103:K1103) = 6),"3 Delete",IF(ISBLANK(E1103),"2 Add",IF(SHA1Range(E1103:K1103) = "cd31f93304ce4d9f105645af197b07b771413e44","0 Original","1 Modify"))))</f>
        <v>0 Original</v>
      </c>
      <c r="D1103" s="5" t="s">
        <v>3364</v>
      </c>
      <c r="E1103" s="3">
        <v>3403</v>
      </c>
      <c r="F1103" t="s">
        <v>1298</v>
      </c>
      <c r="G1103" t="s">
        <v>514</v>
      </c>
      <c r="H1103" s="9">
        <v>6.99</v>
      </c>
      <c r="I1103" s="3">
        <v>1</v>
      </c>
      <c r="J1103" s="5" t="s">
        <v>68</v>
      </c>
      <c r="K1103" s="15">
        <v>41839.036782407406</v>
      </c>
      <c r="L1103" s="20">
        <f t="shared" si="51"/>
        <v>41839</v>
      </c>
      <c r="M1103" t="str">
        <f t="shared" si="52"/>
        <v>07-2014</v>
      </c>
      <c r="N1103">
        <f t="shared" si="53"/>
        <v>6.99</v>
      </c>
    </row>
    <row r="1104" spans="3:14" x14ac:dyDescent="0.25">
      <c r="C1104" t="str">
        <f>IF(COUNTBLANK(E1104:K1104) = 7,"",IF(AND(NOT(ISBLANK(E1104)),COUNTBLANK(E1104:K1104) = 6),"3 Delete",IF(ISBLANK(E1104),"2 Add",IF(SHA1Range(E1104:K1104) = "d5180b105606b02274c354163bb8e93d1be9cdf4","0 Original","1 Modify"))))</f>
        <v>0 Original</v>
      </c>
      <c r="D1104" s="5" t="s">
        <v>3365</v>
      </c>
      <c r="E1104" s="3">
        <v>2301</v>
      </c>
      <c r="F1104" t="s">
        <v>1299</v>
      </c>
      <c r="G1104" t="s">
        <v>732</v>
      </c>
      <c r="H1104" s="9">
        <v>9.99</v>
      </c>
      <c r="I1104" s="3">
        <v>1</v>
      </c>
      <c r="J1104" s="5" t="s">
        <v>68</v>
      </c>
      <c r="K1104" s="15">
        <v>41840.179409722223</v>
      </c>
      <c r="L1104" s="20">
        <f t="shared" si="51"/>
        <v>41840</v>
      </c>
      <c r="M1104" t="str">
        <f t="shared" si="52"/>
        <v>07-2014</v>
      </c>
      <c r="N1104">
        <f t="shared" si="53"/>
        <v>9.99</v>
      </c>
    </row>
    <row r="1105" spans="3:14" x14ac:dyDescent="0.25">
      <c r="C1105" t="str">
        <f>IF(COUNTBLANK(E1105:K1105) = 7,"",IF(AND(NOT(ISBLANK(E1105)),COUNTBLANK(E1105:K1105) = 6),"3 Delete",IF(ISBLANK(E1105),"2 Add",IF(SHA1Range(E1105:K1105) = "e9f65bf29671fd47ada344c42545732962eea8e7","0 Original","1 Modify"))))</f>
        <v>0 Original</v>
      </c>
      <c r="D1105" s="5" t="s">
        <v>3366</v>
      </c>
      <c r="E1105" s="3">
        <v>2302</v>
      </c>
      <c r="F1105" t="s">
        <v>1299</v>
      </c>
      <c r="G1105" t="s">
        <v>732</v>
      </c>
      <c r="H1105" s="9">
        <v>9.99</v>
      </c>
      <c r="I1105" s="3">
        <v>1</v>
      </c>
      <c r="J1105" s="5" t="s">
        <v>68</v>
      </c>
      <c r="K1105" s="15">
        <v>41840.179409722223</v>
      </c>
      <c r="L1105" s="20">
        <f t="shared" si="51"/>
        <v>41840</v>
      </c>
      <c r="M1105" t="str">
        <f t="shared" si="52"/>
        <v>07-2014</v>
      </c>
      <c r="N1105">
        <f t="shared" si="53"/>
        <v>9.99</v>
      </c>
    </row>
    <row r="1106" spans="3:14" x14ac:dyDescent="0.25">
      <c r="C1106" t="str">
        <f>IF(COUNTBLANK(E1106:K1106) = 7,"",IF(AND(NOT(ISBLANK(E1106)),COUNTBLANK(E1106:K1106) = 6),"3 Delete",IF(ISBLANK(E1106),"2 Add",IF(SHA1Range(E1106:K1106) = "12ccb255b42baa96dbcbcb668c0e2ee1e49f1310","0 Original","1 Modify"))))</f>
        <v>0 Original</v>
      </c>
      <c r="D1106" s="5" t="s">
        <v>3367</v>
      </c>
      <c r="E1106" s="3">
        <v>2303</v>
      </c>
      <c r="F1106" t="s">
        <v>1299</v>
      </c>
      <c r="G1106" t="s">
        <v>396</v>
      </c>
      <c r="H1106" s="9">
        <v>8.99</v>
      </c>
      <c r="I1106" s="3">
        <v>1</v>
      </c>
      <c r="J1106" s="5" t="s">
        <v>68</v>
      </c>
      <c r="K1106" s="15">
        <v>41840.179409722223</v>
      </c>
      <c r="L1106" s="20">
        <f t="shared" si="51"/>
        <v>41840</v>
      </c>
      <c r="M1106" t="str">
        <f t="shared" si="52"/>
        <v>07-2014</v>
      </c>
      <c r="N1106">
        <f t="shared" si="53"/>
        <v>8.99</v>
      </c>
    </row>
    <row r="1107" spans="3:14" x14ac:dyDescent="0.25">
      <c r="C1107" t="str">
        <f>IF(COUNTBLANK(E1107:K1107) = 7,"",IF(AND(NOT(ISBLANK(E1107)),COUNTBLANK(E1107:K1107) = 6),"3 Delete",IF(ISBLANK(E1107),"2 Add",IF(SHA1Range(E1107:K1107) = "f5fb51acd62a39ae6d6612be9664c056b40d08ea","0 Original","1 Modify"))))</f>
        <v>0 Original</v>
      </c>
      <c r="D1107" s="5" t="s">
        <v>3368</v>
      </c>
      <c r="E1107" s="3">
        <v>2304</v>
      </c>
      <c r="F1107" t="s">
        <v>1299</v>
      </c>
      <c r="G1107" t="s">
        <v>926</v>
      </c>
      <c r="H1107" s="9">
        <v>9.99</v>
      </c>
      <c r="I1107" s="3">
        <v>1</v>
      </c>
      <c r="J1107" s="5" t="s">
        <v>68</v>
      </c>
      <c r="K1107" s="15">
        <v>41840.179409722223</v>
      </c>
      <c r="L1107" s="20">
        <f t="shared" si="51"/>
        <v>41840</v>
      </c>
      <c r="M1107" t="str">
        <f t="shared" si="52"/>
        <v>07-2014</v>
      </c>
      <c r="N1107">
        <f t="shared" si="53"/>
        <v>9.99</v>
      </c>
    </row>
    <row r="1108" spans="3:14" x14ac:dyDescent="0.25">
      <c r="C1108" t="str">
        <f>IF(COUNTBLANK(E1108:K1108) = 7,"",IF(AND(NOT(ISBLANK(E1108)),COUNTBLANK(E1108:K1108) = 6),"3 Delete",IF(ISBLANK(E1108),"2 Add",IF(SHA1Range(E1108:K1108) = "22a8ab8227e527b8848fa3946791a2e8ea7acbc0","0 Original","1 Modify"))))</f>
        <v>0 Original</v>
      </c>
      <c r="D1108" s="5" t="s">
        <v>3369</v>
      </c>
      <c r="E1108" s="3">
        <v>833</v>
      </c>
      <c r="F1108" t="s">
        <v>1300</v>
      </c>
      <c r="G1108" t="s">
        <v>680</v>
      </c>
      <c r="H1108" s="9">
        <v>8.99</v>
      </c>
      <c r="I1108" s="3">
        <v>1</v>
      </c>
      <c r="J1108" s="5" t="s">
        <v>68</v>
      </c>
      <c r="K1108" s="15">
        <v>41840.183761574073</v>
      </c>
      <c r="L1108" s="20">
        <f t="shared" si="51"/>
        <v>41840</v>
      </c>
      <c r="M1108" t="str">
        <f t="shared" si="52"/>
        <v>07-2014</v>
      </c>
      <c r="N1108">
        <f t="shared" si="53"/>
        <v>8.99</v>
      </c>
    </row>
    <row r="1109" spans="3:14" x14ac:dyDescent="0.25">
      <c r="C1109" t="str">
        <f>IF(COUNTBLANK(E1109:K1109) = 7,"",IF(AND(NOT(ISBLANK(E1109)),COUNTBLANK(E1109:K1109) = 6),"3 Delete",IF(ISBLANK(E1109),"2 Add",IF(SHA1Range(E1109:K1109) = "777d0911e2a84407bbedc81b7155e620a892e2a5","0 Original","1 Modify"))))</f>
        <v>0 Original</v>
      </c>
      <c r="D1109" s="5" t="s">
        <v>3370</v>
      </c>
      <c r="E1109" s="3">
        <v>834</v>
      </c>
      <c r="F1109" t="s">
        <v>1300</v>
      </c>
      <c r="G1109" t="s">
        <v>771</v>
      </c>
      <c r="H1109" s="9">
        <v>9.99</v>
      </c>
      <c r="I1109" s="3">
        <v>1</v>
      </c>
      <c r="J1109" s="5" t="s">
        <v>68</v>
      </c>
      <c r="K1109" s="15">
        <v>41840.183761574073</v>
      </c>
      <c r="L1109" s="20">
        <f t="shared" si="51"/>
        <v>41840</v>
      </c>
      <c r="M1109" t="str">
        <f t="shared" si="52"/>
        <v>07-2014</v>
      </c>
      <c r="N1109">
        <f t="shared" si="53"/>
        <v>9.99</v>
      </c>
    </row>
    <row r="1110" spans="3:14" x14ac:dyDescent="0.25">
      <c r="C1110" t="str">
        <f>IF(COUNTBLANK(E1110:K1110) = 7,"",IF(AND(NOT(ISBLANK(E1110)),COUNTBLANK(E1110:K1110) = 6),"3 Delete",IF(ISBLANK(E1110),"2 Add",IF(SHA1Range(E1110:K1110) = "2552e17d077da817aba66be10235480a507d4e2c","0 Original","1 Modify"))))</f>
        <v>0 Original</v>
      </c>
      <c r="D1110" s="5" t="s">
        <v>3371</v>
      </c>
      <c r="E1110" s="3">
        <v>1577</v>
      </c>
      <c r="F1110" t="s">
        <v>1301</v>
      </c>
      <c r="G1110" t="s">
        <v>735</v>
      </c>
      <c r="H1110" s="9">
        <v>4.99</v>
      </c>
      <c r="I1110" s="3">
        <v>1</v>
      </c>
      <c r="J1110" s="5" t="s">
        <v>68</v>
      </c>
      <c r="K1110" s="15">
        <v>41840.308483796296</v>
      </c>
      <c r="L1110" s="20">
        <f t="shared" si="51"/>
        <v>41840</v>
      </c>
      <c r="M1110" t="str">
        <f t="shared" si="52"/>
        <v>07-2014</v>
      </c>
      <c r="N1110">
        <f t="shared" si="53"/>
        <v>4.99</v>
      </c>
    </row>
    <row r="1111" spans="3:14" x14ac:dyDescent="0.25">
      <c r="C1111" t="str">
        <f>IF(COUNTBLANK(E1111:K1111) = 7,"",IF(AND(NOT(ISBLANK(E1111)),COUNTBLANK(E1111:K1111) = 6),"3 Delete",IF(ISBLANK(E1111),"2 Add",IF(SHA1Range(E1111:K1111) = "dab5195a59a9c069d38d3538752afa9e4a68f6da","0 Original","1 Modify"))))</f>
        <v>0 Original</v>
      </c>
      <c r="D1111" s="5" t="s">
        <v>3372</v>
      </c>
      <c r="E1111" s="3">
        <v>1578</v>
      </c>
      <c r="F1111" t="s">
        <v>1301</v>
      </c>
      <c r="G1111" t="s">
        <v>514</v>
      </c>
      <c r="H1111" s="9">
        <v>6.99</v>
      </c>
      <c r="I1111" s="3">
        <v>2</v>
      </c>
      <c r="J1111" s="5" t="s">
        <v>68</v>
      </c>
      <c r="K1111" s="15">
        <v>41840.308483796296</v>
      </c>
      <c r="L1111" s="20">
        <f t="shared" si="51"/>
        <v>41840</v>
      </c>
      <c r="M1111" t="str">
        <f t="shared" si="52"/>
        <v>07-2014</v>
      </c>
      <c r="N1111">
        <f t="shared" si="53"/>
        <v>13.98</v>
      </c>
    </row>
    <row r="1112" spans="3:14" x14ac:dyDescent="0.25">
      <c r="C1112" t="str">
        <f>IF(COUNTBLANK(E1112:K1112) = 7,"",IF(AND(NOT(ISBLANK(E1112)),COUNTBLANK(E1112:K1112) = 6),"3 Delete",IF(ISBLANK(E1112),"2 Add",IF(SHA1Range(E1112:K1112) = "936ae0d0ec91eb13e9d72a6e3cfd2ea21a85c577","0 Original","1 Modify"))))</f>
        <v>0 Original</v>
      </c>
      <c r="D1112" s="5" t="s">
        <v>3373</v>
      </c>
      <c r="E1112" s="3">
        <v>1579</v>
      </c>
      <c r="F1112" t="s">
        <v>1301</v>
      </c>
      <c r="G1112" t="s">
        <v>514</v>
      </c>
      <c r="H1112" s="9">
        <v>6.99</v>
      </c>
      <c r="I1112" s="3">
        <v>1</v>
      </c>
      <c r="J1112" s="5" t="s">
        <v>68</v>
      </c>
      <c r="K1112" s="15">
        <v>41840.308483796296</v>
      </c>
      <c r="L1112" s="20">
        <f t="shared" si="51"/>
        <v>41840</v>
      </c>
      <c r="M1112" t="str">
        <f t="shared" si="52"/>
        <v>07-2014</v>
      </c>
      <c r="N1112">
        <f t="shared" si="53"/>
        <v>6.99</v>
      </c>
    </row>
    <row r="1113" spans="3:14" x14ac:dyDescent="0.25">
      <c r="C1113" t="str">
        <f>IF(COUNTBLANK(E1113:K1113) = 7,"",IF(AND(NOT(ISBLANK(E1113)),COUNTBLANK(E1113:K1113) = 6),"3 Delete",IF(ISBLANK(E1113),"2 Add",IF(SHA1Range(E1113:K1113) = "19464a85b780aad8ca28f156f2868773b815e1cd","0 Original","1 Modify"))))</f>
        <v>0 Original</v>
      </c>
      <c r="D1113" s="5" t="s">
        <v>3374</v>
      </c>
      <c r="E1113" s="3">
        <v>1685</v>
      </c>
      <c r="F1113" t="s">
        <v>1302</v>
      </c>
      <c r="G1113" t="s">
        <v>528</v>
      </c>
      <c r="H1113" s="9">
        <v>5.99</v>
      </c>
      <c r="I1113" s="3">
        <v>1</v>
      </c>
      <c r="J1113" s="5" t="s">
        <v>68</v>
      </c>
      <c r="K1113" s="15">
        <v>41840.729178240741</v>
      </c>
      <c r="L1113" s="20">
        <f t="shared" si="51"/>
        <v>41840</v>
      </c>
      <c r="M1113" t="str">
        <f t="shared" si="52"/>
        <v>07-2014</v>
      </c>
      <c r="N1113">
        <f t="shared" si="53"/>
        <v>5.99</v>
      </c>
    </row>
    <row r="1114" spans="3:14" x14ac:dyDescent="0.25">
      <c r="C1114" t="str">
        <f>IF(COUNTBLANK(E1114:K1114) = 7,"",IF(AND(NOT(ISBLANK(E1114)),COUNTBLANK(E1114:K1114) = 6),"3 Delete",IF(ISBLANK(E1114),"2 Add",IF(SHA1Range(E1114:K1114) = "3461c23ad2ec66d50ee6c49beb841230ce59c186","0 Original","1 Modify"))))</f>
        <v>0 Original</v>
      </c>
      <c r="D1114" s="5" t="s">
        <v>3375</v>
      </c>
      <c r="E1114" s="3">
        <v>1686</v>
      </c>
      <c r="F1114" t="s">
        <v>1302</v>
      </c>
      <c r="G1114" t="s">
        <v>570</v>
      </c>
      <c r="H1114" s="9">
        <v>6.99</v>
      </c>
      <c r="I1114" s="3">
        <v>1</v>
      </c>
      <c r="J1114" s="5" t="s">
        <v>68</v>
      </c>
      <c r="K1114" s="15">
        <v>41840.729178240741</v>
      </c>
      <c r="L1114" s="20">
        <f t="shared" si="51"/>
        <v>41840</v>
      </c>
      <c r="M1114" t="str">
        <f t="shared" si="52"/>
        <v>07-2014</v>
      </c>
      <c r="N1114">
        <f t="shared" si="53"/>
        <v>6.99</v>
      </c>
    </row>
    <row r="1115" spans="3:14" x14ac:dyDescent="0.25">
      <c r="C1115" t="str">
        <f>IF(COUNTBLANK(E1115:K1115) = 7,"",IF(AND(NOT(ISBLANK(E1115)),COUNTBLANK(E1115:K1115) = 6),"3 Delete",IF(ISBLANK(E1115),"2 Add",IF(SHA1Range(E1115:K1115) = "6daf7a229cb339a5d5426a20ec5d6207fb3fc4a3","0 Original","1 Modify"))))</f>
        <v>0 Original</v>
      </c>
      <c r="D1115" s="5" t="s">
        <v>3376</v>
      </c>
      <c r="E1115" s="3">
        <v>896</v>
      </c>
      <c r="F1115" t="s">
        <v>1303</v>
      </c>
      <c r="G1115" t="s">
        <v>563</v>
      </c>
      <c r="H1115" s="9">
        <v>6.99</v>
      </c>
      <c r="I1115" s="3">
        <v>1</v>
      </c>
      <c r="J1115" s="5" t="s">
        <v>68</v>
      </c>
      <c r="K1115" s="15">
        <v>41840.87332175926</v>
      </c>
      <c r="L1115" s="20">
        <f t="shared" si="51"/>
        <v>41840</v>
      </c>
      <c r="M1115" t="str">
        <f t="shared" si="52"/>
        <v>07-2014</v>
      </c>
      <c r="N1115">
        <f t="shared" si="53"/>
        <v>6.99</v>
      </c>
    </row>
    <row r="1116" spans="3:14" x14ac:dyDescent="0.25">
      <c r="C1116" t="str">
        <f>IF(COUNTBLANK(E1116:K1116) = 7,"",IF(AND(NOT(ISBLANK(E1116)),COUNTBLANK(E1116:K1116) = 6),"3 Delete",IF(ISBLANK(E1116),"2 Add",IF(SHA1Range(E1116:K1116) = "ebe0eb2a02f18214bca47834c169e8ea5b44726b","0 Original","1 Modify"))))</f>
        <v>0 Original</v>
      </c>
      <c r="D1116" s="5" t="s">
        <v>4170</v>
      </c>
      <c r="E1116" s="3">
        <v>897</v>
      </c>
      <c r="F1116" t="s">
        <v>1303</v>
      </c>
      <c r="G1116" t="s">
        <v>749</v>
      </c>
      <c r="H1116" s="9">
        <v>5.99</v>
      </c>
      <c r="I1116" s="3">
        <v>1</v>
      </c>
      <c r="J1116" s="5" t="s">
        <v>68</v>
      </c>
      <c r="K1116" s="15">
        <v>41840.87332175926</v>
      </c>
      <c r="L1116" s="20">
        <f t="shared" si="51"/>
        <v>41840</v>
      </c>
      <c r="M1116" t="str">
        <f t="shared" si="52"/>
        <v>07-2014</v>
      </c>
      <c r="N1116">
        <f t="shared" si="53"/>
        <v>5.99</v>
      </c>
    </row>
    <row r="1117" spans="3:14" x14ac:dyDescent="0.25">
      <c r="C1117" t="str">
        <f>IF(COUNTBLANK(E1117:K1117) = 7,"",IF(AND(NOT(ISBLANK(E1117)),COUNTBLANK(E1117:K1117) = 6),"3 Delete",IF(ISBLANK(E1117),"2 Add",IF(SHA1Range(E1117:K1117) = "077dc343d581629b05d54562f6f48399b0ba336d","0 Original","1 Modify"))))</f>
        <v>0 Original</v>
      </c>
      <c r="D1117" s="5" t="s">
        <v>3377</v>
      </c>
      <c r="E1117" s="3">
        <v>898</v>
      </c>
      <c r="F1117" t="s">
        <v>1303</v>
      </c>
      <c r="G1117" t="s">
        <v>642</v>
      </c>
      <c r="H1117" s="9">
        <v>9.99</v>
      </c>
      <c r="I1117" s="3">
        <v>2</v>
      </c>
      <c r="J1117" s="5" t="s">
        <v>68</v>
      </c>
      <c r="K1117" s="15">
        <v>41840.87332175926</v>
      </c>
      <c r="L1117" s="20">
        <f t="shared" si="51"/>
        <v>41840</v>
      </c>
      <c r="M1117" t="str">
        <f t="shared" si="52"/>
        <v>07-2014</v>
      </c>
      <c r="N1117">
        <f t="shared" si="53"/>
        <v>19.98</v>
      </c>
    </row>
    <row r="1118" spans="3:14" x14ac:dyDescent="0.25">
      <c r="C1118" t="str">
        <f>IF(COUNTBLANK(E1118:K1118) = 7,"",IF(AND(NOT(ISBLANK(E1118)),COUNTBLANK(E1118:K1118) = 6),"3 Delete",IF(ISBLANK(E1118),"2 Add",IF(SHA1Range(E1118:K1118) = "384c1c13098a9531b04cdda635ac5fec758a56af","0 Original","1 Modify"))))</f>
        <v>0 Original</v>
      </c>
      <c r="D1118" s="5" t="s">
        <v>4171</v>
      </c>
      <c r="E1118" s="3">
        <v>899</v>
      </c>
      <c r="F1118" t="s">
        <v>1303</v>
      </c>
      <c r="G1118" t="s">
        <v>588</v>
      </c>
      <c r="H1118" s="9">
        <v>4.99</v>
      </c>
      <c r="I1118" s="3">
        <v>1</v>
      </c>
      <c r="J1118" s="5" t="s">
        <v>68</v>
      </c>
      <c r="K1118" s="15">
        <v>41840.87332175926</v>
      </c>
      <c r="L1118" s="20">
        <f t="shared" si="51"/>
        <v>41840</v>
      </c>
      <c r="M1118" t="str">
        <f t="shared" si="52"/>
        <v>07-2014</v>
      </c>
      <c r="N1118">
        <f t="shared" si="53"/>
        <v>4.99</v>
      </c>
    </row>
    <row r="1119" spans="3:14" x14ac:dyDescent="0.25">
      <c r="C1119" t="str">
        <f>IF(COUNTBLANK(E1119:K1119) = 7,"",IF(AND(NOT(ISBLANK(E1119)),COUNTBLANK(E1119:K1119) = 6),"3 Delete",IF(ISBLANK(E1119),"2 Add",IF(SHA1Range(E1119:K1119) = "d044e162bd1d9c5498152996fda75e89146224e0","0 Original","1 Modify"))))</f>
        <v>0 Original</v>
      </c>
      <c r="D1119" s="5" t="s">
        <v>3378</v>
      </c>
      <c r="E1119" s="3">
        <v>3211</v>
      </c>
      <c r="F1119" t="s">
        <v>1304</v>
      </c>
      <c r="G1119" t="s">
        <v>552</v>
      </c>
      <c r="H1119" s="9">
        <v>6.99</v>
      </c>
      <c r="I1119" s="3">
        <v>1</v>
      </c>
      <c r="J1119" s="5" t="s">
        <v>68</v>
      </c>
      <c r="K1119" s="15">
        <v>41842.526064814818</v>
      </c>
      <c r="L1119" s="20">
        <f t="shared" si="51"/>
        <v>41842</v>
      </c>
      <c r="M1119" t="str">
        <f t="shared" si="52"/>
        <v>07-2014</v>
      </c>
      <c r="N1119">
        <f t="shared" si="53"/>
        <v>6.99</v>
      </c>
    </row>
    <row r="1120" spans="3:14" x14ac:dyDescent="0.25">
      <c r="C1120" t="str">
        <f>IF(COUNTBLANK(E1120:K1120) = 7,"",IF(AND(NOT(ISBLANK(E1120)),COUNTBLANK(E1120:K1120) = 6),"3 Delete",IF(ISBLANK(E1120),"2 Add",IF(SHA1Range(E1120:K1120) = "c8b57b99545de994c9b921b518bcdc5b5d635a80","0 Original","1 Modify"))))</f>
        <v>0 Original</v>
      </c>
      <c r="D1120" s="5" t="s">
        <v>3379</v>
      </c>
      <c r="E1120" s="3">
        <v>344</v>
      </c>
      <c r="F1120" t="s">
        <v>1305</v>
      </c>
      <c r="G1120" t="s">
        <v>514</v>
      </c>
      <c r="H1120" s="9">
        <v>6.99</v>
      </c>
      <c r="I1120" s="3">
        <v>1</v>
      </c>
      <c r="J1120" s="5" t="s">
        <v>68</v>
      </c>
      <c r="K1120" s="15">
        <v>41842.637870370374</v>
      </c>
      <c r="L1120" s="20">
        <f t="shared" si="51"/>
        <v>41842</v>
      </c>
      <c r="M1120" t="str">
        <f t="shared" si="52"/>
        <v>07-2014</v>
      </c>
      <c r="N1120">
        <f t="shared" si="53"/>
        <v>6.99</v>
      </c>
    </row>
    <row r="1121" spans="3:14" x14ac:dyDescent="0.25">
      <c r="C1121" t="str">
        <f>IF(COUNTBLANK(E1121:K1121) = 7,"",IF(AND(NOT(ISBLANK(E1121)),COUNTBLANK(E1121:K1121) = 6),"3 Delete",IF(ISBLANK(E1121),"2 Add",IF(SHA1Range(E1121:K1121) = "dea1d5b9a2b8c58ad7e1d6ea75f3980119589aa6","0 Original","1 Modify"))))</f>
        <v>0 Original</v>
      </c>
      <c r="D1121" s="5" t="s">
        <v>4172</v>
      </c>
      <c r="E1121" s="3">
        <v>345</v>
      </c>
      <c r="F1121" t="s">
        <v>1305</v>
      </c>
      <c r="G1121" t="s">
        <v>420</v>
      </c>
      <c r="H1121" s="9">
        <v>5.99</v>
      </c>
      <c r="I1121" s="3">
        <v>1</v>
      </c>
      <c r="J1121" s="5" t="s">
        <v>68</v>
      </c>
      <c r="K1121" s="15">
        <v>41842.637870370374</v>
      </c>
      <c r="L1121" s="20">
        <f t="shared" si="51"/>
        <v>41842</v>
      </c>
      <c r="M1121" t="str">
        <f t="shared" si="52"/>
        <v>07-2014</v>
      </c>
      <c r="N1121">
        <f t="shared" si="53"/>
        <v>5.99</v>
      </c>
    </row>
    <row r="1122" spans="3:14" x14ac:dyDescent="0.25">
      <c r="C1122" t="str">
        <f>IF(COUNTBLANK(E1122:K1122) = 7,"",IF(AND(NOT(ISBLANK(E1122)),COUNTBLANK(E1122:K1122) = 6),"3 Delete",IF(ISBLANK(E1122),"2 Add",IF(SHA1Range(E1122:K1122) = "0745e3f735349b420ddeffe49aaf0f3118bda421","0 Original","1 Modify"))))</f>
        <v>0 Original</v>
      </c>
      <c r="D1122" s="5" t="s">
        <v>4173</v>
      </c>
      <c r="E1122" s="3">
        <v>346</v>
      </c>
      <c r="F1122" t="s">
        <v>1305</v>
      </c>
      <c r="G1122" t="s">
        <v>932</v>
      </c>
      <c r="H1122" s="9">
        <v>9.99</v>
      </c>
      <c r="I1122" s="3">
        <v>1</v>
      </c>
      <c r="J1122" s="5" t="s">
        <v>68</v>
      </c>
      <c r="K1122" s="15">
        <v>41842.637870370374</v>
      </c>
      <c r="L1122" s="20">
        <f t="shared" si="51"/>
        <v>41842</v>
      </c>
      <c r="M1122" t="str">
        <f t="shared" si="52"/>
        <v>07-2014</v>
      </c>
      <c r="N1122">
        <f t="shared" si="53"/>
        <v>9.99</v>
      </c>
    </row>
    <row r="1123" spans="3:14" x14ac:dyDescent="0.25">
      <c r="C1123" t="str">
        <f>IF(COUNTBLANK(E1123:K1123) = 7,"",IF(AND(NOT(ISBLANK(E1123)),COUNTBLANK(E1123:K1123) = 6),"3 Delete",IF(ISBLANK(E1123),"2 Add",IF(SHA1Range(E1123:K1123) = "2465d90765ef0149dd97079db695d95768df7e69","0 Original","1 Modify"))))</f>
        <v>0 Original</v>
      </c>
      <c r="D1123" s="5" t="s">
        <v>4174</v>
      </c>
      <c r="E1123" s="3">
        <v>347</v>
      </c>
      <c r="F1123" t="s">
        <v>1305</v>
      </c>
      <c r="G1123" t="s">
        <v>588</v>
      </c>
      <c r="H1123" s="9">
        <v>4.99</v>
      </c>
      <c r="I1123" s="3">
        <v>1</v>
      </c>
      <c r="J1123" s="5" t="s">
        <v>68</v>
      </c>
      <c r="K1123" s="15">
        <v>41842.637870370374</v>
      </c>
      <c r="L1123" s="20">
        <f t="shared" si="51"/>
        <v>41842</v>
      </c>
      <c r="M1123" t="str">
        <f t="shared" si="52"/>
        <v>07-2014</v>
      </c>
      <c r="N1123">
        <f t="shared" si="53"/>
        <v>4.99</v>
      </c>
    </row>
    <row r="1124" spans="3:14" x14ac:dyDescent="0.25">
      <c r="C1124" t="str">
        <f>IF(COUNTBLANK(E1124:K1124) = 7,"",IF(AND(NOT(ISBLANK(E1124)),COUNTBLANK(E1124:K1124) = 6),"3 Delete",IF(ISBLANK(E1124),"2 Add",IF(SHA1Range(E1124:K1124) = "8ba3bf3b4242d2ee8689ad617032635a7c289d81","0 Original","1 Modify"))))</f>
        <v>0 Original</v>
      </c>
      <c r="D1124" s="5" t="s">
        <v>4175</v>
      </c>
      <c r="E1124" s="3">
        <v>348</v>
      </c>
      <c r="F1124" t="s">
        <v>1305</v>
      </c>
      <c r="G1124" t="s">
        <v>514</v>
      </c>
      <c r="H1124" s="9">
        <v>6.99</v>
      </c>
      <c r="I1124" s="3">
        <v>1</v>
      </c>
      <c r="J1124" s="5" t="s">
        <v>68</v>
      </c>
      <c r="K1124" s="15">
        <v>41842.637870370374</v>
      </c>
      <c r="L1124" s="20">
        <f t="shared" si="51"/>
        <v>41842</v>
      </c>
      <c r="M1124" t="str">
        <f t="shared" si="52"/>
        <v>07-2014</v>
      </c>
      <c r="N1124">
        <f t="shared" si="53"/>
        <v>6.99</v>
      </c>
    </row>
    <row r="1125" spans="3:14" x14ac:dyDescent="0.25">
      <c r="C1125" t="str">
        <f>IF(COUNTBLANK(E1125:K1125) = 7,"",IF(AND(NOT(ISBLANK(E1125)),COUNTBLANK(E1125:K1125) = 6),"3 Delete",IF(ISBLANK(E1125),"2 Add",IF(SHA1Range(E1125:K1125) = "235edeb8937f192728966f0219c026437f828089","0 Original","1 Modify"))))</f>
        <v>0 Original</v>
      </c>
      <c r="D1125" s="5" t="s">
        <v>4176</v>
      </c>
      <c r="E1125" s="3">
        <v>349</v>
      </c>
      <c r="F1125" t="s">
        <v>1305</v>
      </c>
      <c r="G1125" t="s">
        <v>781</v>
      </c>
      <c r="H1125" s="9">
        <v>5.99</v>
      </c>
      <c r="I1125" s="3">
        <v>1</v>
      </c>
      <c r="J1125" s="5" t="s">
        <v>68</v>
      </c>
      <c r="K1125" s="15">
        <v>41842.637870370374</v>
      </c>
      <c r="L1125" s="20">
        <f t="shared" si="51"/>
        <v>41842</v>
      </c>
      <c r="M1125" t="str">
        <f t="shared" si="52"/>
        <v>07-2014</v>
      </c>
      <c r="N1125">
        <f t="shared" si="53"/>
        <v>5.99</v>
      </c>
    </row>
    <row r="1126" spans="3:14" x14ac:dyDescent="0.25">
      <c r="C1126" t="str">
        <f>IF(COUNTBLANK(E1126:K1126) = 7,"",IF(AND(NOT(ISBLANK(E1126)),COUNTBLANK(E1126:K1126) = 6),"3 Delete",IF(ISBLANK(E1126),"2 Add",IF(SHA1Range(E1126:K1126) = "5fcd7d2fdb6776a88bb821ea0e591cc92f0646d2","0 Original","1 Modify"))))</f>
        <v>0 Original</v>
      </c>
      <c r="D1126" s="5" t="s">
        <v>4177</v>
      </c>
      <c r="E1126" s="3">
        <v>350</v>
      </c>
      <c r="F1126" t="s">
        <v>1305</v>
      </c>
      <c r="G1126" t="s">
        <v>485</v>
      </c>
      <c r="H1126" s="9">
        <v>4.99</v>
      </c>
      <c r="I1126" s="3">
        <v>2</v>
      </c>
      <c r="J1126" s="5" t="s">
        <v>68</v>
      </c>
      <c r="K1126" s="15">
        <v>41842.637870370374</v>
      </c>
      <c r="L1126" s="20">
        <f t="shared" si="51"/>
        <v>41842</v>
      </c>
      <c r="M1126" t="str">
        <f t="shared" si="52"/>
        <v>07-2014</v>
      </c>
      <c r="N1126">
        <f t="shared" si="53"/>
        <v>9.98</v>
      </c>
    </row>
    <row r="1127" spans="3:14" x14ac:dyDescent="0.25">
      <c r="C1127" t="str">
        <f>IF(COUNTBLANK(E1127:K1127) = 7,"",IF(AND(NOT(ISBLANK(E1127)),COUNTBLANK(E1127:K1127) = 6),"3 Delete",IF(ISBLANK(E1127),"2 Add",IF(SHA1Range(E1127:K1127) = "ae1bbb8abd12e00686366696342fd44ec5cb2f5c","0 Original","1 Modify"))))</f>
        <v>0 Original</v>
      </c>
      <c r="D1127" s="5" t="s">
        <v>3380</v>
      </c>
      <c r="E1127" s="3">
        <v>351</v>
      </c>
      <c r="F1127" t="s">
        <v>1305</v>
      </c>
      <c r="G1127" t="s">
        <v>556</v>
      </c>
      <c r="H1127" s="9">
        <v>5.99</v>
      </c>
      <c r="I1127" s="3">
        <v>1</v>
      </c>
      <c r="J1127" s="5" t="s">
        <v>68</v>
      </c>
      <c r="K1127" s="15">
        <v>41842.637870370374</v>
      </c>
      <c r="L1127" s="20">
        <f t="shared" si="51"/>
        <v>41842</v>
      </c>
      <c r="M1127" t="str">
        <f t="shared" si="52"/>
        <v>07-2014</v>
      </c>
      <c r="N1127">
        <f t="shared" si="53"/>
        <v>5.99</v>
      </c>
    </row>
    <row r="1128" spans="3:14" x14ac:dyDescent="0.25">
      <c r="C1128" t="str">
        <f>IF(COUNTBLANK(E1128:K1128) = 7,"",IF(AND(NOT(ISBLANK(E1128)),COUNTBLANK(E1128:K1128) = 6),"3 Delete",IF(ISBLANK(E1128),"2 Add",IF(SHA1Range(E1128:K1128) = "eaea75b19c1653d38e4e180031e44b1775958dbb","0 Original","1 Modify"))))</f>
        <v>0 Original</v>
      </c>
      <c r="D1128" s="5" t="s">
        <v>3381</v>
      </c>
      <c r="E1128" s="3">
        <v>2960</v>
      </c>
      <c r="F1128" t="s">
        <v>1306</v>
      </c>
      <c r="G1128" t="s">
        <v>400</v>
      </c>
      <c r="H1128" s="9">
        <v>4.99</v>
      </c>
      <c r="I1128" s="3">
        <v>1</v>
      </c>
      <c r="J1128" s="5" t="s">
        <v>68</v>
      </c>
      <c r="K1128" s="15">
        <v>41844.292638888888</v>
      </c>
      <c r="L1128" s="20">
        <f t="shared" si="51"/>
        <v>41844</v>
      </c>
      <c r="M1128" t="str">
        <f t="shared" si="52"/>
        <v>07-2014</v>
      </c>
      <c r="N1128">
        <f t="shared" si="53"/>
        <v>4.99</v>
      </c>
    </row>
    <row r="1129" spans="3:14" x14ac:dyDescent="0.25">
      <c r="C1129" t="str">
        <f>IF(COUNTBLANK(E1129:K1129) = 7,"",IF(AND(NOT(ISBLANK(E1129)),COUNTBLANK(E1129:K1129) = 6),"3 Delete",IF(ISBLANK(E1129),"2 Add",IF(SHA1Range(E1129:K1129) = "d6c35775488cef9817bea7cd792572262afed9db","0 Original","1 Modify"))))</f>
        <v>0 Original</v>
      </c>
      <c r="D1129" s="5" t="s">
        <v>3382</v>
      </c>
      <c r="E1129" s="3">
        <v>2961</v>
      </c>
      <c r="F1129" t="s">
        <v>1306</v>
      </c>
      <c r="G1129" t="s">
        <v>579</v>
      </c>
      <c r="H1129" s="9">
        <v>9.99</v>
      </c>
      <c r="I1129" s="3">
        <v>1</v>
      </c>
      <c r="J1129" s="5" t="s">
        <v>68</v>
      </c>
      <c r="K1129" s="15">
        <v>41844.292638888888</v>
      </c>
      <c r="L1129" s="20">
        <f t="shared" si="51"/>
        <v>41844</v>
      </c>
      <c r="M1129" t="str">
        <f t="shared" si="52"/>
        <v>07-2014</v>
      </c>
      <c r="N1129">
        <f t="shared" si="53"/>
        <v>9.99</v>
      </c>
    </row>
    <row r="1130" spans="3:14" x14ac:dyDescent="0.25">
      <c r="C1130" t="str">
        <f>IF(COUNTBLANK(E1130:K1130) = 7,"",IF(AND(NOT(ISBLANK(E1130)),COUNTBLANK(E1130:K1130) = 6),"3 Delete",IF(ISBLANK(E1130),"2 Add",IF(SHA1Range(E1130:K1130) = "d95093bcec061356d70030a6eea7576b923af2d8","0 Original","1 Modify"))))</f>
        <v>0 Original</v>
      </c>
      <c r="D1130" s="5" t="s">
        <v>3383</v>
      </c>
      <c r="E1130" s="3">
        <v>2962</v>
      </c>
      <c r="F1130" t="s">
        <v>1306</v>
      </c>
      <c r="G1130" t="s">
        <v>579</v>
      </c>
      <c r="H1130" s="9">
        <v>9.99</v>
      </c>
      <c r="I1130" s="3">
        <v>1</v>
      </c>
      <c r="J1130" s="5" t="s">
        <v>68</v>
      </c>
      <c r="K1130" s="15">
        <v>41844.292638888888</v>
      </c>
      <c r="L1130" s="20">
        <f t="shared" si="51"/>
        <v>41844</v>
      </c>
      <c r="M1130" t="str">
        <f t="shared" si="52"/>
        <v>07-2014</v>
      </c>
      <c r="N1130">
        <f t="shared" si="53"/>
        <v>9.99</v>
      </c>
    </row>
    <row r="1131" spans="3:14" x14ac:dyDescent="0.25">
      <c r="C1131" t="str">
        <f>IF(COUNTBLANK(E1131:K1131) = 7,"",IF(AND(NOT(ISBLANK(E1131)),COUNTBLANK(E1131:K1131) = 6),"3 Delete",IF(ISBLANK(E1131),"2 Add",IF(SHA1Range(E1131:K1131) = "e5cabaf2469618371e408064e4752731a9bd7dee","0 Original","1 Modify"))))</f>
        <v>0 Original</v>
      </c>
      <c r="D1131" s="5" t="s">
        <v>3384</v>
      </c>
      <c r="E1131" s="3">
        <v>2695</v>
      </c>
      <c r="F1131" t="s">
        <v>1307</v>
      </c>
      <c r="G1131" t="s">
        <v>707</v>
      </c>
      <c r="H1131" s="9">
        <v>7.99</v>
      </c>
      <c r="I1131" s="3">
        <v>2</v>
      </c>
      <c r="J1131" s="5" t="s">
        <v>68</v>
      </c>
      <c r="K1131" s="15">
        <v>41845.930810185186</v>
      </c>
      <c r="L1131" s="20">
        <f t="shared" si="51"/>
        <v>41845</v>
      </c>
      <c r="M1131" t="str">
        <f t="shared" si="52"/>
        <v>07-2014</v>
      </c>
      <c r="N1131">
        <f t="shared" si="53"/>
        <v>15.98</v>
      </c>
    </row>
    <row r="1132" spans="3:14" x14ac:dyDescent="0.25">
      <c r="C1132" t="str">
        <f>IF(COUNTBLANK(E1132:K1132) = 7,"",IF(AND(NOT(ISBLANK(E1132)),COUNTBLANK(E1132:K1132) = 6),"3 Delete",IF(ISBLANK(E1132),"2 Add",IF(SHA1Range(E1132:K1132) = "686274cfa3473f15705da189fcd12875534467c6","0 Original","1 Modify"))))</f>
        <v>0 Original</v>
      </c>
      <c r="D1132" s="5" t="s">
        <v>3385</v>
      </c>
      <c r="E1132" s="3">
        <v>2696</v>
      </c>
      <c r="F1132" t="s">
        <v>1307</v>
      </c>
      <c r="G1132" t="s">
        <v>373</v>
      </c>
      <c r="H1132" s="9">
        <v>7.99</v>
      </c>
      <c r="I1132" s="3">
        <v>1</v>
      </c>
      <c r="J1132" s="5" t="s">
        <v>68</v>
      </c>
      <c r="K1132" s="15">
        <v>41845.930810185186</v>
      </c>
      <c r="L1132" s="20">
        <f t="shared" si="51"/>
        <v>41845</v>
      </c>
      <c r="M1132" t="str">
        <f t="shared" si="52"/>
        <v>07-2014</v>
      </c>
      <c r="N1132">
        <f t="shared" si="53"/>
        <v>7.99</v>
      </c>
    </row>
    <row r="1133" spans="3:14" x14ac:dyDescent="0.25">
      <c r="C1133" t="str">
        <f>IF(COUNTBLANK(E1133:K1133) = 7,"",IF(AND(NOT(ISBLANK(E1133)),COUNTBLANK(E1133:K1133) = 6),"3 Delete",IF(ISBLANK(E1133),"2 Add",IF(SHA1Range(E1133:K1133) = "aca12ff0364b451f5cf689cd7828fb96cd5a3ed8","0 Original","1 Modify"))))</f>
        <v>0 Original</v>
      </c>
      <c r="D1133" s="5" t="s">
        <v>3386</v>
      </c>
      <c r="E1133" s="3">
        <v>2697</v>
      </c>
      <c r="F1133" t="s">
        <v>1307</v>
      </c>
      <c r="G1133" t="s">
        <v>948</v>
      </c>
      <c r="H1133" s="9">
        <v>4.99</v>
      </c>
      <c r="I1133" s="3">
        <v>1</v>
      </c>
      <c r="J1133" s="5" t="s">
        <v>68</v>
      </c>
      <c r="K1133" s="15">
        <v>41845.930810185186</v>
      </c>
      <c r="L1133" s="20">
        <f t="shared" si="51"/>
        <v>41845</v>
      </c>
      <c r="M1133" t="str">
        <f t="shared" si="52"/>
        <v>07-2014</v>
      </c>
      <c r="N1133">
        <f t="shared" si="53"/>
        <v>4.99</v>
      </c>
    </row>
    <row r="1134" spans="3:14" x14ac:dyDescent="0.25">
      <c r="C1134" t="str">
        <f>IF(COUNTBLANK(E1134:K1134) = 7,"",IF(AND(NOT(ISBLANK(E1134)),COUNTBLANK(E1134:K1134) = 6),"3 Delete",IF(ISBLANK(E1134),"2 Add",IF(SHA1Range(E1134:K1134) = "0a4c198dd4be11a537ae502b95e005a50b65a640","0 Original","1 Modify"))))</f>
        <v>0 Original</v>
      </c>
      <c r="D1134" s="5" t="s">
        <v>3387</v>
      </c>
      <c r="E1134" s="3">
        <v>2698</v>
      </c>
      <c r="F1134" t="s">
        <v>1307</v>
      </c>
      <c r="G1134" t="s">
        <v>579</v>
      </c>
      <c r="H1134" s="9">
        <v>9.99</v>
      </c>
      <c r="I1134" s="3">
        <v>2</v>
      </c>
      <c r="J1134" s="5" t="s">
        <v>68</v>
      </c>
      <c r="K1134" s="15">
        <v>41845.930810185186</v>
      </c>
      <c r="L1134" s="20">
        <f t="shared" si="51"/>
        <v>41845</v>
      </c>
      <c r="M1134" t="str">
        <f t="shared" si="52"/>
        <v>07-2014</v>
      </c>
      <c r="N1134">
        <f t="shared" si="53"/>
        <v>19.98</v>
      </c>
    </row>
    <row r="1135" spans="3:14" x14ac:dyDescent="0.25">
      <c r="C1135" t="str">
        <f>IF(COUNTBLANK(E1135:K1135) = 7,"",IF(AND(NOT(ISBLANK(E1135)),COUNTBLANK(E1135:K1135) = 6),"3 Delete",IF(ISBLANK(E1135),"2 Add",IF(SHA1Range(E1135:K1135) = "9a7c3feb4857ec8f13b9d6117883494062bafa2a","0 Original","1 Modify"))))</f>
        <v>0 Original</v>
      </c>
      <c r="D1135" s="5" t="s">
        <v>3388</v>
      </c>
      <c r="E1135" s="3">
        <v>2699</v>
      </c>
      <c r="F1135" t="s">
        <v>1307</v>
      </c>
      <c r="G1135" t="s">
        <v>707</v>
      </c>
      <c r="H1135" s="9">
        <v>7.99</v>
      </c>
      <c r="I1135" s="3">
        <v>2</v>
      </c>
      <c r="J1135" s="5" t="s">
        <v>68</v>
      </c>
      <c r="K1135" s="15">
        <v>41845.930810185186</v>
      </c>
      <c r="L1135" s="20">
        <f t="shared" si="51"/>
        <v>41845</v>
      </c>
      <c r="M1135" t="str">
        <f t="shared" si="52"/>
        <v>07-2014</v>
      </c>
      <c r="N1135">
        <f t="shared" si="53"/>
        <v>15.98</v>
      </c>
    </row>
    <row r="1136" spans="3:14" x14ac:dyDescent="0.25">
      <c r="C1136" t="str">
        <f>IF(COUNTBLANK(E1136:K1136) = 7,"",IF(AND(NOT(ISBLANK(E1136)),COUNTBLANK(E1136:K1136) = 6),"3 Delete",IF(ISBLANK(E1136),"2 Add",IF(SHA1Range(E1136:K1136) = "147b3d345144e829c08247e77f773ee6d779bc13","0 Original","1 Modify"))))</f>
        <v>0 Original</v>
      </c>
      <c r="D1136" s="5" t="s">
        <v>3389</v>
      </c>
      <c r="E1136" s="3">
        <v>3950</v>
      </c>
      <c r="F1136" t="s">
        <v>1308</v>
      </c>
      <c r="G1136" t="s">
        <v>687</v>
      </c>
      <c r="H1136" s="9">
        <v>9.99</v>
      </c>
      <c r="I1136" s="3">
        <v>2</v>
      </c>
      <c r="J1136" s="5" t="s">
        <v>68</v>
      </c>
      <c r="K1136" s="15">
        <v>41846.53193287037</v>
      </c>
      <c r="L1136" s="20">
        <f t="shared" si="51"/>
        <v>41846</v>
      </c>
      <c r="M1136" t="str">
        <f t="shared" si="52"/>
        <v>07-2014</v>
      </c>
      <c r="N1136">
        <f t="shared" si="53"/>
        <v>19.98</v>
      </c>
    </row>
    <row r="1137" spans="3:14" x14ac:dyDescent="0.25">
      <c r="C1137" t="str">
        <f>IF(COUNTBLANK(E1137:K1137) = 7,"",IF(AND(NOT(ISBLANK(E1137)),COUNTBLANK(E1137:K1137) = 6),"3 Delete",IF(ISBLANK(E1137),"2 Add",IF(SHA1Range(E1137:K1137) = "2e478a686165204876bd9ab5753390d5307e4791","0 Original","1 Modify"))))</f>
        <v>0 Original</v>
      </c>
      <c r="D1137" s="5" t="s">
        <v>3390</v>
      </c>
      <c r="E1137" s="3">
        <v>3951</v>
      </c>
      <c r="F1137" t="s">
        <v>1308</v>
      </c>
      <c r="G1137" t="s">
        <v>642</v>
      </c>
      <c r="H1137" s="9">
        <v>9.99</v>
      </c>
      <c r="I1137" s="3">
        <v>1</v>
      </c>
      <c r="J1137" s="5" t="s">
        <v>68</v>
      </c>
      <c r="K1137" s="15">
        <v>41846.53193287037</v>
      </c>
      <c r="L1137" s="20">
        <f t="shared" si="51"/>
        <v>41846</v>
      </c>
      <c r="M1137" t="str">
        <f t="shared" si="52"/>
        <v>07-2014</v>
      </c>
      <c r="N1137">
        <f t="shared" si="53"/>
        <v>9.99</v>
      </c>
    </row>
    <row r="1138" spans="3:14" x14ac:dyDescent="0.25">
      <c r="C1138" t="str">
        <f>IF(COUNTBLANK(E1138:K1138) = 7,"",IF(AND(NOT(ISBLANK(E1138)),COUNTBLANK(E1138:K1138) = 6),"3 Delete",IF(ISBLANK(E1138),"2 Add",IF(SHA1Range(E1138:K1138) = "5745d1f346f77bb45044ed88ac04a8c54274d3bf","0 Original","1 Modify"))))</f>
        <v>0 Original</v>
      </c>
      <c r="D1138" s="5" t="s">
        <v>3391</v>
      </c>
      <c r="E1138" s="3">
        <v>3952</v>
      </c>
      <c r="F1138" t="s">
        <v>1308</v>
      </c>
      <c r="G1138" t="s">
        <v>552</v>
      </c>
      <c r="H1138" s="9">
        <v>6.99</v>
      </c>
      <c r="I1138" s="3">
        <v>2</v>
      </c>
      <c r="J1138" s="5" t="s">
        <v>68</v>
      </c>
      <c r="K1138" s="15">
        <v>41846.53193287037</v>
      </c>
      <c r="L1138" s="20">
        <f t="shared" si="51"/>
        <v>41846</v>
      </c>
      <c r="M1138" t="str">
        <f t="shared" si="52"/>
        <v>07-2014</v>
      </c>
      <c r="N1138">
        <f t="shared" si="53"/>
        <v>13.98</v>
      </c>
    </row>
    <row r="1139" spans="3:14" x14ac:dyDescent="0.25">
      <c r="C1139" t="str">
        <f>IF(COUNTBLANK(E1139:K1139) = 7,"",IF(AND(NOT(ISBLANK(E1139)),COUNTBLANK(E1139:K1139) = 6),"3 Delete",IF(ISBLANK(E1139),"2 Add",IF(SHA1Range(E1139:K1139) = "8cce55d0f68a4e41fe533f110804acfaab75ff49","0 Original","1 Modify"))))</f>
        <v>0 Original</v>
      </c>
      <c r="D1139" s="5" t="s">
        <v>3392</v>
      </c>
      <c r="E1139" s="3">
        <v>3280</v>
      </c>
      <c r="F1139" t="s">
        <v>1309</v>
      </c>
      <c r="G1139" t="s">
        <v>579</v>
      </c>
      <c r="H1139" s="9">
        <v>9.99</v>
      </c>
      <c r="I1139" s="3">
        <v>2</v>
      </c>
      <c r="J1139" s="5" t="s">
        <v>68</v>
      </c>
      <c r="K1139" s="15">
        <v>41846.780648148146</v>
      </c>
      <c r="L1139" s="20">
        <f t="shared" si="51"/>
        <v>41846</v>
      </c>
      <c r="M1139" t="str">
        <f t="shared" si="52"/>
        <v>07-2014</v>
      </c>
      <c r="N1139">
        <f t="shared" si="53"/>
        <v>19.98</v>
      </c>
    </row>
    <row r="1140" spans="3:14" x14ac:dyDescent="0.25">
      <c r="C1140" t="str">
        <f>IF(COUNTBLANK(E1140:K1140) = 7,"",IF(AND(NOT(ISBLANK(E1140)),COUNTBLANK(E1140:K1140) = 6),"3 Delete",IF(ISBLANK(E1140),"2 Add",IF(SHA1Range(E1140:K1140) = "359a4e02c59a71a5111b38756f3d92def5f676a8","0 Original","1 Modify"))))</f>
        <v>0 Original</v>
      </c>
      <c r="D1140" s="5" t="s">
        <v>3393</v>
      </c>
      <c r="E1140" s="3">
        <v>3281</v>
      </c>
      <c r="F1140" t="s">
        <v>1309</v>
      </c>
      <c r="G1140" t="s">
        <v>400</v>
      </c>
      <c r="H1140" s="9">
        <v>4.99</v>
      </c>
      <c r="I1140" s="3">
        <v>1</v>
      </c>
      <c r="J1140" s="5" t="s">
        <v>68</v>
      </c>
      <c r="K1140" s="15">
        <v>41846.780648148146</v>
      </c>
      <c r="L1140" s="20">
        <f t="shared" si="51"/>
        <v>41846</v>
      </c>
      <c r="M1140" t="str">
        <f t="shared" si="52"/>
        <v>07-2014</v>
      </c>
      <c r="N1140">
        <f t="shared" si="53"/>
        <v>4.99</v>
      </c>
    </row>
    <row r="1141" spans="3:14" x14ac:dyDescent="0.25">
      <c r="C1141" t="str">
        <f>IF(COUNTBLANK(E1141:K1141) = 7,"",IF(AND(NOT(ISBLANK(E1141)),COUNTBLANK(E1141:K1141) = 6),"3 Delete",IF(ISBLANK(E1141),"2 Add",IF(SHA1Range(E1141:K1141) = "e5679166621b2dc120e9eb44230b7bfdfcbd8b1d","0 Original","1 Modify"))))</f>
        <v>0 Original</v>
      </c>
      <c r="D1141" s="5" t="s">
        <v>3394</v>
      </c>
      <c r="E1141" s="3">
        <v>1053</v>
      </c>
      <c r="F1141" t="s">
        <v>1310</v>
      </c>
      <c r="G1141" t="s">
        <v>869</v>
      </c>
      <c r="H1141" s="9">
        <v>4.99</v>
      </c>
      <c r="I1141" s="3">
        <v>2</v>
      </c>
      <c r="J1141" s="5" t="s">
        <v>68</v>
      </c>
      <c r="K1141" s="15">
        <v>41847.102094907408</v>
      </c>
      <c r="L1141" s="20">
        <f t="shared" si="51"/>
        <v>41847</v>
      </c>
      <c r="M1141" t="str">
        <f t="shared" si="52"/>
        <v>07-2014</v>
      </c>
      <c r="N1141">
        <f t="shared" si="53"/>
        <v>9.98</v>
      </c>
    </row>
    <row r="1142" spans="3:14" x14ac:dyDescent="0.25">
      <c r="C1142" t="str">
        <f>IF(COUNTBLANK(E1142:K1142) = 7,"",IF(AND(NOT(ISBLANK(E1142)),COUNTBLANK(E1142:K1142) = 6),"3 Delete",IF(ISBLANK(E1142),"2 Add",IF(SHA1Range(E1142:K1142) = "4e90d35adcb341870122bb79abd3652dc7800f97","0 Original","1 Modify"))))</f>
        <v>0 Original</v>
      </c>
      <c r="D1142" s="5" t="s">
        <v>3395</v>
      </c>
      <c r="E1142" s="3">
        <v>1054</v>
      </c>
      <c r="F1142" t="s">
        <v>1310</v>
      </c>
      <c r="G1142" t="s">
        <v>600</v>
      </c>
      <c r="H1142" s="9">
        <v>5.99</v>
      </c>
      <c r="I1142" s="3">
        <v>1</v>
      </c>
      <c r="J1142" s="5" t="s">
        <v>68</v>
      </c>
      <c r="K1142" s="15">
        <v>41847.102094907408</v>
      </c>
      <c r="L1142" s="20">
        <f t="shared" si="51"/>
        <v>41847</v>
      </c>
      <c r="M1142" t="str">
        <f t="shared" si="52"/>
        <v>07-2014</v>
      </c>
      <c r="N1142">
        <f t="shared" si="53"/>
        <v>5.99</v>
      </c>
    </row>
    <row r="1143" spans="3:14" x14ac:dyDescent="0.25">
      <c r="C1143" t="str">
        <f>IF(COUNTBLANK(E1143:K1143) = 7,"",IF(AND(NOT(ISBLANK(E1143)),COUNTBLANK(E1143:K1143) = 6),"3 Delete",IF(ISBLANK(E1143),"2 Add",IF(SHA1Range(E1143:K1143) = "4a07832b59012d2eea0dc929f4afb325c5b60684","0 Original","1 Modify"))))</f>
        <v>0 Original</v>
      </c>
      <c r="D1143" s="5" t="s">
        <v>3396</v>
      </c>
      <c r="E1143" s="3">
        <v>1055</v>
      </c>
      <c r="F1143" t="s">
        <v>1310</v>
      </c>
      <c r="G1143" t="s">
        <v>503</v>
      </c>
      <c r="H1143" s="9">
        <v>9.99</v>
      </c>
      <c r="I1143" s="3">
        <v>2</v>
      </c>
      <c r="J1143" s="5" t="s">
        <v>68</v>
      </c>
      <c r="K1143" s="15">
        <v>41847.102094907408</v>
      </c>
      <c r="L1143" s="20">
        <f t="shared" si="51"/>
        <v>41847</v>
      </c>
      <c r="M1143" t="str">
        <f t="shared" si="52"/>
        <v>07-2014</v>
      </c>
      <c r="N1143">
        <f t="shared" si="53"/>
        <v>19.98</v>
      </c>
    </row>
    <row r="1144" spans="3:14" x14ac:dyDescent="0.25">
      <c r="C1144" t="str">
        <f>IF(COUNTBLANK(E1144:K1144) = 7,"",IF(AND(NOT(ISBLANK(E1144)),COUNTBLANK(E1144:K1144) = 6),"3 Delete",IF(ISBLANK(E1144),"2 Add",IF(SHA1Range(E1144:K1144) = "28b9457ffaf6ff3e866e9a8494b9851786387a90","0 Original","1 Modify"))))</f>
        <v>0 Original</v>
      </c>
      <c r="D1144" s="5" t="s">
        <v>3397</v>
      </c>
      <c r="E1144" s="3">
        <v>1056</v>
      </c>
      <c r="F1144" t="s">
        <v>1310</v>
      </c>
      <c r="G1144" t="s">
        <v>563</v>
      </c>
      <c r="H1144" s="9">
        <v>6.99</v>
      </c>
      <c r="I1144" s="3">
        <v>1</v>
      </c>
      <c r="J1144" s="5" t="s">
        <v>68</v>
      </c>
      <c r="K1144" s="15">
        <v>41847.102094907408</v>
      </c>
      <c r="L1144" s="20">
        <f t="shared" si="51"/>
        <v>41847</v>
      </c>
      <c r="M1144" t="str">
        <f t="shared" si="52"/>
        <v>07-2014</v>
      </c>
      <c r="N1144">
        <f t="shared" si="53"/>
        <v>6.99</v>
      </c>
    </row>
    <row r="1145" spans="3:14" x14ac:dyDescent="0.25">
      <c r="C1145" t="str">
        <f>IF(COUNTBLANK(E1145:K1145) = 7,"",IF(AND(NOT(ISBLANK(E1145)),COUNTBLANK(E1145:K1145) = 6),"3 Delete",IF(ISBLANK(E1145),"2 Add",IF(SHA1Range(E1145:K1145) = "5f05765ad9d49f945499f083420cacd49b0cf302","0 Original","1 Modify"))))</f>
        <v>0 Original</v>
      </c>
      <c r="D1145" s="5" t="s">
        <v>3398</v>
      </c>
      <c r="E1145" s="3">
        <v>1057</v>
      </c>
      <c r="F1145" t="s">
        <v>1310</v>
      </c>
      <c r="G1145" t="s">
        <v>820</v>
      </c>
      <c r="H1145" s="9">
        <v>9.99</v>
      </c>
      <c r="I1145" s="3">
        <v>1</v>
      </c>
      <c r="J1145" s="5" t="s">
        <v>68</v>
      </c>
      <c r="K1145" s="15">
        <v>41847.102094907408</v>
      </c>
      <c r="L1145" s="20">
        <f t="shared" si="51"/>
        <v>41847</v>
      </c>
      <c r="M1145" t="str">
        <f t="shared" si="52"/>
        <v>07-2014</v>
      </c>
      <c r="N1145">
        <f t="shared" si="53"/>
        <v>9.99</v>
      </c>
    </row>
    <row r="1146" spans="3:14" x14ac:dyDescent="0.25">
      <c r="C1146" t="str">
        <f>IF(COUNTBLANK(E1146:K1146) = 7,"",IF(AND(NOT(ISBLANK(E1146)),COUNTBLANK(E1146:K1146) = 6),"3 Delete",IF(ISBLANK(E1146),"2 Add",IF(SHA1Range(E1146:K1146) = "70037b4bd089248c4ee02f48613b88541e1e0e53","0 Original","1 Modify"))))</f>
        <v>0 Original</v>
      </c>
      <c r="D1146" s="5" t="s">
        <v>3399</v>
      </c>
      <c r="E1146" s="3">
        <v>1058</v>
      </c>
      <c r="F1146" t="s">
        <v>1310</v>
      </c>
      <c r="G1146" t="s">
        <v>955</v>
      </c>
      <c r="H1146" s="9">
        <v>8.99</v>
      </c>
      <c r="I1146" s="3">
        <v>1</v>
      </c>
      <c r="J1146" s="5" t="s">
        <v>68</v>
      </c>
      <c r="K1146" s="15">
        <v>41847.102094907408</v>
      </c>
      <c r="L1146" s="20">
        <f t="shared" si="51"/>
        <v>41847</v>
      </c>
      <c r="M1146" t="str">
        <f t="shared" si="52"/>
        <v>07-2014</v>
      </c>
      <c r="N1146">
        <f t="shared" si="53"/>
        <v>8.99</v>
      </c>
    </row>
    <row r="1147" spans="3:14" x14ac:dyDescent="0.25">
      <c r="C1147" t="str">
        <f>IF(COUNTBLANK(E1147:K1147) = 7,"",IF(AND(NOT(ISBLANK(E1147)),COUNTBLANK(E1147:K1147) = 6),"3 Delete",IF(ISBLANK(E1147),"2 Add",IF(SHA1Range(E1147:K1147) = "ded27cdcac6cb8132142fa94cd7a02bdf1308ed5","0 Original","1 Modify"))))</f>
        <v>0 Original</v>
      </c>
      <c r="D1147" s="5" t="s">
        <v>4178</v>
      </c>
      <c r="E1147" s="3">
        <v>668</v>
      </c>
      <c r="F1147" t="s">
        <v>1311</v>
      </c>
      <c r="G1147" t="s">
        <v>845</v>
      </c>
      <c r="H1147" s="9">
        <v>7.99</v>
      </c>
      <c r="I1147" s="3">
        <v>1</v>
      </c>
      <c r="J1147" s="5" t="s">
        <v>68</v>
      </c>
      <c r="K1147" s="15">
        <v>41847.446608796294</v>
      </c>
      <c r="L1147" s="20">
        <f t="shared" si="51"/>
        <v>41847</v>
      </c>
      <c r="M1147" t="str">
        <f t="shared" si="52"/>
        <v>07-2014</v>
      </c>
      <c r="N1147">
        <f t="shared" si="53"/>
        <v>7.99</v>
      </c>
    </row>
    <row r="1148" spans="3:14" x14ac:dyDescent="0.25">
      <c r="C1148" t="str">
        <f>IF(COUNTBLANK(E1148:K1148) = 7,"",IF(AND(NOT(ISBLANK(E1148)),COUNTBLANK(E1148:K1148) = 6),"3 Delete",IF(ISBLANK(E1148),"2 Add",IF(SHA1Range(E1148:K1148) = "f8f9eee549c77030e7a7aacedabc3d8cae77920f","0 Original","1 Modify"))))</f>
        <v>0 Original</v>
      </c>
      <c r="D1148" s="5" t="s">
        <v>3400</v>
      </c>
      <c r="E1148" s="3">
        <v>1845</v>
      </c>
      <c r="F1148" t="s">
        <v>1312</v>
      </c>
      <c r="G1148" t="s">
        <v>610</v>
      </c>
      <c r="H1148" s="9">
        <v>9.99</v>
      </c>
      <c r="I1148" s="3">
        <v>2</v>
      </c>
      <c r="J1148" s="5" t="s">
        <v>68</v>
      </c>
      <c r="K1148" s="15">
        <v>41847.466053240743</v>
      </c>
      <c r="L1148" s="20">
        <f t="shared" si="51"/>
        <v>41847</v>
      </c>
      <c r="M1148" t="str">
        <f t="shared" si="52"/>
        <v>07-2014</v>
      </c>
      <c r="N1148">
        <f t="shared" si="53"/>
        <v>19.98</v>
      </c>
    </row>
    <row r="1149" spans="3:14" x14ac:dyDescent="0.25">
      <c r="C1149" t="str">
        <f>IF(COUNTBLANK(E1149:K1149) = 7,"",IF(AND(NOT(ISBLANK(E1149)),COUNTBLANK(E1149:K1149) = 6),"3 Delete",IF(ISBLANK(E1149),"2 Add",IF(SHA1Range(E1149:K1149) = "41f3d37adc70f368e993b2f1a4e9efd3650b16f6","0 Original","1 Modify"))))</f>
        <v>0 Original</v>
      </c>
      <c r="D1149" s="5" t="s">
        <v>3401</v>
      </c>
      <c r="E1149" s="3">
        <v>1846</v>
      </c>
      <c r="F1149" t="s">
        <v>1312</v>
      </c>
      <c r="G1149" t="s">
        <v>690</v>
      </c>
      <c r="H1149" s="9">
        <v>7.99</v>
      </c>
      <c r="I1149" s="3">
        <v>1</v>
      </c>
      <c r="J1149" s="5" t="s">
        <v>68</v>
      </c>
      <c r="K1149" s="15">
        <v>41847.466053240743</v>
      </c>
      <c r="L1149" s="20">
        <f t="shared" si="51"/>
        <v>41847</v>
      </c>
      <c r="M1149" t="str">
        <f t="shared" si="52"/>
        <v>07-2014</v>
      </c>
      <c r="N1149">
        <f t="shared" si="53"/>
        <v>7.99</v>
      </c>
    </row>
    <row r="1150" spans="3:14" x14ac:dyDescent="0.25">
      <c r="C1150" t="str">
        <f>IF(COUNTBLANK(E1150:K1150) = 7,"",IF(AND(NOT(ISBLANK(E1150)),COUNTBLANK(E1150:K1150) = 6),"3 Delete",IF(ISBLANK(E1150),"2 Add",IF(SHA1Range(E1150:K1150) = "98ba886c4c82b63ce37681716dbfd12273db7aa4","0 Original","1 Modify"))))</f>
        <v>0 Original</v>
      </c>
      <c r="D1150" s="5" t="s">
        <v>3402</v>
      </c>
      <c r="E1150" s="3">
        <v>2522</v>
      </c>
      <c r="F1150" t="s">
        <v>1313</v>
      </c>
      <c r="G1150" t="s">
        <v>514</v>
      </c>
      <c r="H1150" s="9">
        <v>6.99</v>
      </c>
      <c r="I1150" s="3">
        <v>2</v>
      </c>
      <c r="J1150" s="5" t="s">
        <v>68</v>
      </c>
      <c r="K1150" s="15">
        <v>41848.01829861111</v>
      </c>
      <c r="L1150" s="20">
        <f t="shared" si="51"/>
        <v>41848</v>
      </c>
      <c r="M1150" t="str">
        <f t="shared" si="52"/>
        <v>07-2014</v>
      </c>
      <c r="N1150">
        <f t="shared" si="53"/>
        <v>13.98</v>
      </c>
    </row>
    <row r="1151" spans="3:14" x14ac:dyDescent="0.25">
      <c r="C1151" t="str">
        <f>IF(COUNTBLANK(E1151:K1151) = 7,"",IF(AND(NOT(ISBLANK(E1151)),COUNTBLANK(E1151:K1151) = 6),"3 Delete",IF(ISBLANK(E1151),"2 Add",IF(SHA1Range(E1151:K1151) = "e7a6d335955b11b434e619f7197fcdb69108b633","0 Original","1 Modify"))))</f>
        <v>0 Original</v>
      </c>
      <c r="D1151" s="5" t="s">
        <v>3403</v>
      </c>
      <c r="E1151" s="3">
        <v>2523</v>
      </c>
      <c r="F1151" t="s">
        <v>1313</v>
      </c>
      <c r="G1151" t="s">
        <v>514</v>
      </c>
      <c r="H1151" s="9">
        <v>6.99</v>
      </c>
      <c r="I1151" s="3">
        <v>1</v>
      </c>
      <c r="J1151" s="5" t="s">
        <v>68</v>
      </c>
      <c r="K1151" s="15">
        <v>41848.01829861111</v>
      </c>
      <c r="L1151" s="20">
        <f t="shared" si="51"/>
        <v>41848</v>
      </c>
      <c r="M1151" t="str">
        <f t="shared" si="52"/>
        <v>07-2014</v>
      </c>
      <c r="N1151">
        <f t="shared" si="53"/>
        <v>6.99</v>
      </c>
    </row>
    <row r="1152" spans="3:14" x14ac:dyDescent="0.25">
      <c r="C1152" t="str">
        <f>IF(COUNTBLANK(E1152:K1152) = 7,"",IF(AND(NOT(ISBLANK(E1152)),COUNTBLANK(E1152:K1152) = 6),"3 Delete",IF(ISBLANK(E1152),"2 Add",IF(SHA1Range(E1152:K1152) = "c74f89a2207cbda30fa2a692270877eae5fcbeb1","0 Original","1 Modify"))))</f>
        <v>0 Original</v>
      </c>
      <c r="D1152" s="5" t="s">
        <v>3404</v>
      </c>
      <c r="E1152" s="3">
        <v>2524</v>
      </c>
      <c r="F1152" t="s">
        <v>1313</v>
      </c>
      <c r="G1152" t="s">
        <v>642</v>
      </c>
      <c r="H1152" s="9">
        <v>9.99</v>
      </c>
      <c r="I1152" s="3">
        <v>1</v>
      </c>
      <c r="J1152" s="5" t="s">
        <v>68</v>
      </c>
      <c r="K1152" s="15">
        <v>41848.01829861111</v>
      </c>
      <c r="L1152" s="20">
        <f t="shared" si="51"/>
        <v>41848</v>
      </c>
      <c r="M1152" t="str">
        <f t="shared" si="52"/>
        <v>07-2014</v>
      </c>
      <c r="N1152">
        <f t="shared" si="53"/>
        <v>9.99</v>
      </c>
    </row>
    <row r="1153" spans="3:14" x14ac:dyDescent="0.25">
      <c r="C1153" t="str">
        <f>IF(COUNTBLANK(E1153:K1153) = 7,"",IF(AND(NOT(ISBLANK(E1153)),COUNTBLANK(E1153:K1153) = 6),"3 Delete",IF(ISBLANK(E1153),"2 Add",IF(SHA1Range(E1153:K1153) = "97e779ccba5efdc06a1f0b327939a91ab38497e0","0 Original","1 Modify"))))</f>
        <v>0 Original</v>
      </c>
      <c r="D1153" s="5" t="s">
        <v>3405</v>
      </c>
      <c r="E1153" s="3">
        <v>2525</v>
      </c>
      <c r="F1153" t="s">
        <v>1313</v>
      </c>
      <c r="G1153" t="s">
        <v>707</v>
      </c>
      <c r="H1153" s="9">
        <v>7.99</v>
      </c>
      <c r="I1153" s="3">
        <v>1</v>
      </c>
      <c r="J1153" s="5" t="s">
        <v>68</v>
      </c>
      <c r="K1153" s="15">
        <v>41848.01829861111</v>
      </c>
      <c r="L1153" s="20">
        <f t="shared" si="51"/>
        <v>41848</v>
      </c>
      <c r="M1153" t="str">
        <f t="shared" si="52"/>
        <v>07-2014</v>
      </c>
      <c r="N1153">
        <f t="shared" si="53"/>
        <v>7.99</v>
      </c>
    </row>
    <row r="1154" spans="3:14" x14ac:dyDescent="0.25">
      <c r="C1154" t="str">
        <f>IF(COUNTBLANK(E1154:K1154) = 7,"",IF(AND(NOT(ISBLANK(E1154)),COUNTBLANK(E1154:K1154) = 6),"3 Delete",IF(ISBLANK(E1154),"2 Add",IF(SHA1Range(E1154:K1154) = "d6b20cce0ea50c0032f7cf2d64d59b0cb5053b20","0 Original","1 Modify"))))</f>
        <v>0 Original</v>
      </c>
      <c r="D1154" s="5" t="s">
        <v>3406</v>
      </c>
      <c r="E1154" s="3">
        <v>3077</v>
      </c>
      <c r="F1154" t="s">
        <v>1314</v>
      </c>
      <c r="G1154" t="s">
        <v>579</v>
      </c>
      <c r="H1154" s="9">
        <v>9.99</v>
      </c>
      <c r="I1154" s="3">
        <v>1</v>
      </c>
      <c r="J1154" s="5" t="s">
        <v>68</v>
      </c>
      <c r="K1154" s="15">
        <v>41848.642060185186</v>
      </c>
      <c r="L1154" s="20">
        <f t="shared" si="51"/>
        <v>41848</v>
      </c>
      <c r="M1154" t="str">
        <f t="shared" si="52"/>
        <v>07-2014</v>
      </c>
      <c r="N1154">
        <f t="shared" si="53"/>
        <v>9.99</v>
      </c>
    </row>
    <row r="1155" spans="3:14" x14ac:dyDescent="0.25">
      <c r="C1155" t="str">
        <f>IF(COUNTBLANK(E1155:K1155) = 7,"",IF(AND(NOT(ISBLANK(E1155)),COUNTBLANK(E1155:K1155) = 6),"3 Delete",IF(ISBLANK(E1155),"2 Add",IF(SHA1Range(E1155:K1155) = "d633a974a79e25db549d29de6ff1169dbdc93da5","0 Original","1 Modify"))))</f>
        <v>0 Original</v>
      </c>
      <c r="D1155" s="5" t="s">
        <v>3407</v>
      </c>
      <c r="E1155" s="3">
        <v>3078</v>
      </c>
      <c r="F1155" t="s">
        <v>1314</v>
      </c>
      <c r="G1155" t="s">
        <v>707</v>
      </c>
      <c r="H1155" s="9">
        <v>7.99</v>
      </c>
      <c r="I1155" s="3">
        <v>1</v>
      </c>
      <c r="J1155" s="5" t="s">
        <v>68</v>
      </c>
      <c r="K1155" s="15">
        <v>41848.642060185186</v>
      </c>
      <c r="L1155" s="20">
        <f t="shared" ref="L1155:L1218" si="54">DATEVALUE(LEFT(F1155,10))</f>
        <v>41848</v>
      </c>
      <c r="M1155" t="str">
        <f t="shared" ref="M1155:M1218" si="55">TEXT(L1155,"mm-yyyy")</f>
        <v>07-2014</v>
      </c>
      <c r="N1155">
        <f t="shared" ref="N1155:N1218" si="56">H1155*I1155</f>
        <v>7.99</v>
      </c>
    </row>
    <row r="1156" spans="3:14" x14ac:dyDescent="0.25">
      <c r="C1156" t="str">
        <f>IF(COUNTBLANK(E1156:K1156) = 7,"",IF(AND(NOT(ISBLANK(E1156)),COUNTBLANK(E1156:K1156) = 6),"3 Delete",IF(ISBLANK(E1156),"2 Add",IF(SHA1Range(E1156:K1156) = "fbdfaa371a6f49318632fb5e89d5563a6dfa39a2","0 Original","1 Modify"))))</f>
        <v>0 Original</v>
      </c>
      <c r="D1156" s="5" t="s">
        <v>3408</v>
      </c>
      <c r="E1156" s="3">
        <v>3079</v>
      </c>
      <c r="F1156" t="s">
        <v>1314</v>
      </c>
      <c r="G1156" t="s">
        <v>749</v>
      </c>
      <c r="H1156" s="9">
        <v>5.99</v>
      </c>
      <c r="I1156" s="3">
        <v>1</v>
      </c>
      <c r="J1156" s="5" t="s">
        <v>68</v>
      </c>
      <c r="K1156" s="15">
        <v>41848.642060185186</v>
      </c>
      <c r="L1156" s="20">
        <f t="shared" si="54"/>
        <v>41848</v>
      </c>
      <c r="M1156" t="str">
        <f t="shared" si="55"/>
        <v>07-2014</v>
      </c>
      <c r="N1156">
        <f t="shared" si="56"/>
        <v>5.99</v>
      </c>
    </row>
    <row r="1157" spans="3:14" x14ac:dyDescent="0.25">
      <c r="C1157" t="str">
        <f>IF(COUNTBLANK(E1157:K1157) = 7,"",IF(AND(NOT(ISBLANK(E1157)),COUNTBLANK(E1157:K1157) = 6),"3 Delete",IF(ISBLANK(E1157),"2 Add",IF(SHA1Range(E1157:K1157) = "4dd389cd503be17f07b3994c77440143f653fe1c","0 Original","1 Modify"))))</f>
        <v>0 Original</v>
      </c>
      <c r="D1157" s="5" t="s">
        <v>3409</v>
      </c>
      <c r="E1157" s="3">
        <v>3338</v>
      </c>
      <c r="F1157" t="s">
        <v>1315</v>
      </c>
      <c r="G1157" t="s">
        <v>514</v>
      </c>
      <c r="H1157" s="9">
        <v>6.99</v>
      </c>
      <c r="I1157" s="3">
        <v>1</v>
      </c>
      <c r="J1157" s="5" t="s">
        <v>68</v>
      </c>
      <c r="K1157" s="15">
        <v>41848.731168981481</v>
      </c>
      <c r="L1157" s="20">
        <f t="shared" si="54"/>
        <v>41848</v>
      </c>
      <c r="M1157" t="str">
        <f t="shared" si="55"/>
        <v>07-2014</v>
      </c>
      <c r="N1157">
        <f t="shared" si="56"/>
        <v>6.99</v>
      </c>
    </row>
    <row r="1158" spans="3:14" x14ac:dyDescent="0.25">
      <c r="C1158" t="str">
        <f>IF(COUNTBLANK(E1158:K1158) = 7,"",IF(AND(NOT(ISBLANK(E1158)),COUNTBLANK(E1158:K1158) = 6),"3 Delete",IF(ISBLANK(E1158),"2 Add",IF(SHA1Range(E1158:K1158) = "92ebb1f23ac804a67097f95d2bd022917b5fb4a5","0 Original","1 Modify"))))</f>
        <v>0 Original</v>
      </c>
      <c r="D1158" s="5" t="s">
        <v>3410</v>
      </c>
      <c r="E1158" s="3">
        <v>3339</v>
      </c>
      <c r="F1158" t="s">
        <v>1315</v>
      </c>
      <c r="G1158" t="s">
        <v>707</v>
      </c>
      <c r="H1158" s="9">
        <v>7.99</v>
      </c>
      <c r="I1158" s="3">
        <v>1</v>
      </c>
      <c r="J1158" s="5" t="s">
        <v>68</v>
      </c>
      <c r="K1158" s="15">
        <v>41848.731168981481</v>
      </c>
      <c r="L1158" s="20">
        <f t="shared" si="54"/>
        <v>41848</v>
      </c>
      <c r="M1158" t="str">
        <f t="shared" si="55"/>
        <v>07-2014</v>
      </c>
      <c r="N1158">
        <f t="shared" si="56"/>
        <v>7.99</v>
      </c>
    </row>
    <row r="1159" spans="3:14" x14ac:dyDescent="0.25">
      <c r="C1159" t="str">
        <f>IF(COUNTBLANK(E1159:K1159) = 7,"",IF(AND(NOT(ISBLANK(E1159)),COUNTBLANK(E1159:K1159) = 6),"3 Delete",IF(ISBLANK(E1159),"2 Add",IF(SHA1Range(E1159:K1159) = "da8289256cbceaf11fafccb57911e114f3aff39f","0 Original","1 Modify"))))</f>
        <v>0 Original</v>
      </c>
      <c r="D1159" s="5" t="s">
        <v>3411</v>
      </c>
      <c r="E1159" s="3">
        <v>3340</v>
      </c>
      <c r="F1159" t="s">
        <v>1315</v>
      </c>
      <c r="G1159" t="s">
        <v>707</v>
      </c>
      <c r="H1159" s="9">
        <v>7.99</v>
      </c>
      <c r="I1159" s="3">
        <v>2</v>
      </c>
      <c r="J1159" s="5" t="s">
        <v>68</v>
      </c>
      <c r="K1159" s="15">
        <v>41848.731168981481</v>
      </c>
      <c r="L1159" s="20">
        <f t="shared" si="54"/>
        <v>41848</v>
      </c>
      <c r="M1159" t="str">
        <f t="shared" si="55"/>
        <v>07-2014</v>
      </c>
      <c r="N1159">
        <f t="shared" si="56"/>
        <v>15.98</v>
      </c>
    </row>
    <row r="1160" spans="3:14" x14ac:dyDescent="0.25">
      <c r="C1160" t="str">
        <f>IF(COUNTBLANK(E1160:K1160) = 7,"",IF(AND(NOT(ISBLANK(E1160)),COUNTBLANK(E1160:K1160) = 6),"3 Delete",IF(ISBLANK(E1160),"2 Add",IF(SHA1Range(E1160:K1160) = "cf97df1d69f9c40b1e93cedd0ce1dff0a679d101","0 Original","1 Modify"))))</f>
        <v>0 Original</v>
      </c>
      <c r="D1160" s="5" t="s">
        <v>3412</v>
      </c>
      <c r="E1160" s="3">
        <v>3341</v>
      </c>
      <c r="F1160" t="s">
        <v>1315</v>
      </c>
      <c r="G1160" t="s">
        <v>552</v>
      </c>
      <c r="H1160" s="9">
        <v>6.99</v>
      </c>
      <c r="I1160" s="3">
        <v>1</v>
      </c>
      <c r="J1160" s="5" t="s">
        <v>68</v>
      </c>
      <c r="K1160" s="15">
        <v>41848.731168981481</v>
      </c>
      <c r="L1160" s="20">
        <f t="shared" si="54"/>
        <v>41848</v>
      </c>
      <c r="M1160" t="str">
        <f t="shared" si="55"/>
        <v>07-2014</v>
      </c>
      <c r="N1160">
        <f t="shared" si="56"/>
        <v>6.99</v>
      </c>
    </row>
    <row r="1161" spans="3:14" x14ac:dyDescent="0.25">
      <c r="C1161" t="str">
        <f>IF(COUNTBLANK(E1161:K1161) = 7,"",IF(AND(NOT(ISBLANK(E1161)),COUNTBLANK(E1161:K1161) = 6),"3 Delete",IF(ISBLANK(E1161),"2 Add",IF(SHA1Range(E1161:K1161) = "2b4210d4e12c9440cce92e22f770497a58a6a39a","0 Original","1 Modify"))))</f>
        <v>0 Original</v>
      </c>
      <c r="D1161" s="5" t="s">
        <v>3413</v>
      </c>
      <c r="E1161" s="3">
        <v>3342</v>
      </c>
      <c r="F1161" t="s">
        <v>1315</v>
      </c>
      <c r="G1161" t="s">
        <v>552</v>
      </c>
      <c r="H1161" s="9">
        <v>6.99</v>
      </c>
      <c r="I1161" s="3">
        <v>1</v>
      </c>
      <c r="J1161" s="5" t="s">
        <v>68</v>
      </c>
      <c r="K1161" s="15">
        <v>41848.731168981481</v>
      </c>
      <c r="L1161" s="20">
        <f t="shared" si="54"/>
        <v>41848</v>
      </c>
      <c r="M1161" t="str">
        <f t="shared" si="55"/>
        <v>07-2014</v>
      </c>
      <c r="N1161">
        <f t="shared" si="56"/>
        <v>6.99</v>
      </c>
    </row>
    <row r="1162" spans="3:14" x14ac:dyDescent="0.25">
      <c r="C1162" t="str">
        <f>IF(COUNTBLANK(E1162:K1162) = 7,"",IF(AND(NOT(ISBLANK(E1162)),COUNTBLANK(E1162:K1162) = 6),"3 Delete",IF(ISBLANK(E1162),"2 Add",IF(SHA1Range(E1162:K1162) = "6e667e5bf63daec1a4d4f414fd978c18c2b2a479","0 Original","1 Modify"))))</f>
        <v>0 Original</v>
      </c>
      <c r="D1162" s="5" t="s">
        <v>3414</v>
      </c>
      <c r="E1162" s="3">
        <v>3343</v>
      </c>
      <c r="F1162" t="s">
        <v>1315</v>
      </c>
      <c r="G1162" t="s">
        <v>642</v>
      </c>
      <c r="H1162" s="9">
        <v>9.99</v>
      </c>
      <c r="I1162" s="3">
        <v>1</v>
      </c>
      <c r="J1162" s="5" t="s">
        <v>68</v>
      </c>
      <c r="K1162" s="15">
        <v>41848.731168981481</v>
      </c>
      <c r="L1162" s="20">
        <f t="shared" si="54"/>
        <v>41848</v>
      </c>
      <c r="M1162" t="str">
        <f t="shared" si="55"/>
        <v>07-2014</v>
      </c>
      <c r="N1162">
        <f t="shared" si="56"/>
        <v>9.99</v>
      </c>
    </row>
    <row r="1163" spans="3:14" x14ac:dyDescent="0.25">
      <c r="C1163" t="str">
        <f>IF(COUNTBLANK(E1163:K1163) = 7,"",IF(AND(NOT(ISBLANK(E1163)),COUNTBLANK(E1163:K1163) = 6),"3 Delete",IF(ISBLANK(E1163),"2 Add",IF(SHA1Range(E1163:K1163) = "4d8834b0b469e99a71960a626401a9d8318184e7","0 Original","1 Modify"))))</f>
        <v>0 Original</v>
      </c>
      <c r="D1163" s="5" t="s">
        <v>3415</v>
      </c>
      <c r="E1163" s="3">
        <v>3344</v>
      </c>
      <c r="F1163" t="s">
        <v>1315</v>
      </c>
      <c r="G1163" t="s">
        <v>373</v>
      </c>
      <c r="H1163" s="9">
        <v>7.99</v>
      </c>
      <c r="I1163" s="3">
        <v>2</v>
      </c>
      <c r="J1163" s="5" t="s">
        <v>68</v>
      </c>
      <c r="K1163" s="15">
        <v>41848.731168981481</v>
      </c>
      <c r="L1163" s="20">
        <f t="shared" si="54"/>
        <v>41848</v>
      </c>
      <c r="M1163" t="str">
        <f t="shared" si="55"/>
        <v>07-2014</v>
      </c>
      <c r="N1163">
        <f t="shared" si="56"/>
        <v>15.98</v>
      </c>
    </row>
    <row r="1164" spans="3:14" x14ac:dyDescent="0.25">
      <c r="C1164" t="str">
        <f>IF(COUNTBLANK(E1164:K1164) = 7,"",IF(AND(NOT(ISBLANK(E1164)),COUNTBLANK(E1164:K1164) = 6),"3 Delete",IF(ISBLANK(E1164),"2 Add",IF(SHA1Range(E1164:K1164) = "101922e4f96ff6bd3e746676a1876196bee4c44c","0 Original","1 Modify"))))</f>
        <v>0 Original</v>
      </c>
      <c r="D1164" s="5" t="s">
        <v>3416</v>
      </c>
      <c r="E1164" s="3">
        <v>3345</v>
      </c>
      <c r="F1164" t="s">
        <v>1315</v>
      </c>
      <c r="G1164" t="s">
        <v>514</v>
      </c>
      <c r="H1164" s="9">
        <v>6.99</v>
      </c>
      <c r="I1164" s="3">
        <v>1</v>
      </c>
      <c r="J1164" s="5" t="s">
        <v>68</v>
      </c>
      <c r="K1164" s="15">
        <v>41848.731168981481</v>
      </c>
      <c r="L1164" s="20">
        <f t="shared" si="54"/>
        <v>41848</v>
      </c>
      <c r="M1164" t="str">
        <f t="shared" si="55"/>
        <v>07-2014</v>
      </c>
      <c r="N1164">
        <f t="shared" si="56"/>
        <v>6.99</v>
      </c>
    </row>
    <row r="1165" spans="3:14" x14ac:dyDescent="0.25">
      <c r="C1165" t="str">
        <f>IF(COUNTBLANK(E1165:K1165) = 7,"",IF(AND(NOT(ISBLANK(E1165)),COUNTBLANK(E1165:K1165) = 6),"3 Delete",IF(ISBLANK(E1165),"2 Add",IF(SHA1Range(E1165:K1165) = "1ec4df77412459cafc366a67db0bc8c80ea8bcc4","0 Original","1 Modify"))))</f>
        <v>0 Original</v>
      </c>
      <c r="D1165" s="5" t="s">
        <v>4179</v>
      </c>
      <c r="E1165" s="3">
        <v>644</v>
      </c>
      <c r="F1165" t="s">
        <v>1316</v>
      </c>
      <c r="G1165" t="s">
        <v>638</v>
      </c>
      <c r="H1165" s="9">
        <v>6.99</v>
      </c>
      <c r="I1165" s="3">
        <v>2</v>
      </c>
      <c r="J1165" s="5" t="s">
        <v>68</v>
      </c>
      <c r="K1165" s="15">
        <v>41848.823194444441</v>
      </c>
      <c r="L1165" s="20">
        <f t="shared" si="54"/>
        <v>41848</v>
      </c>
      <c r="M1165" t="str">
        <f t="shared" si="55"/>
        <v>07-2014</v>
      </c>
      <c r="N1165">
        <f t="shared" si="56"/>
        <v>13.98</v>
      </c>
    </row>
    <row r="1166" spans="3:14" x14ac:dyDescent="0.25">
      <c r="C1166" t="str">
        <f>IF(COUNTBLANK(E1166:K1166) = 7,"",IF(AND(NOT(ISBLANK(E1166)),COUNTBLANK(E1166:K1166) = 6),"3 Delete",IF(ISBLANK(E1166),"2 Add",IF(SHA1Range(E1166:K1166) = "e3da7797d1379b8bbbf0db183ec90f2f3ce6f26f","0 Original","1 Modify"))))</f>
        <v>0 Original</v>
      </c>
      <c r="D1166" s="5" t="s">
        <v>3417</v>
      </c>
      <c r="E1166" s="3">
        <v>645</v>
      </c>
      <c r="F1166" t="s">
        <v>1316</v>
      </c>
      <c r="G1166" t="s">
        <v>839</v>
      </c>
      <c r="H1166" s="9">
        <v>4.99</v>
      </c>
      <c r="I1166" s="3">
        <v>1</v>
      </c>
      <c r="J1166" s="5" t="s">
        <v>68</v>
      </c>
      <c r="K1166" s="15">
        <v>41848.823194444441</v>
      </c>
      <c r="L1166" s="20">
        <f t="shared" si="54"/>
        <v>41848</v>
      </c>
      <c r="M1166" t="str">
        <f t="shared" si="55"/>
        <v>07-2014</v>
      </c>
      <c r="N1166">
        <f t="shared" si="56"/>
        <v>4.99</v>
      </c>
    </row>
    <row r="1167" spans="3:14" x14ac:dyDescent="0.25">
      <c r="C1167" t="str">
        <f>IF(COUNTBLANK(E1167:K1167) = 7,"",IF(AND(NOT(ISBLANK(E1167)),COUNTBLANK(E1167:K1167) = 6),"3 Delete",IF(ISBLANK(E1167),"2 Add",IF(SHA1Range(E1167:K1167) = "2f7faabf23a85f0f3a83ced5da169ddaa0812c76","0 Original","1 Modify"))))</f>
        <v>0 Original</v>
      </c>
      <c r="D1167" s="5" t="s">
        <v>4180</v>
      </c>
      <c r="E1167" s="3">
        <v>646</v>
      </c>
      <c r="F1167" t="s">
        <v>1316</v>
      </c>
      <c r="G1167" t="s">
        <v>684</v>
      </c>
      <c r="H1167" s="9">
        <v>8.99</v>
      </c>
      <c r="I1167" s="3">
        <v>2</v>
      </c>
      <c r="J1167" s="5" t="s">
        <v>68</v>
      </c>
      <c r="K1167" s="15">
        <v>41848.823194444441</v>
      </c>
      <c r="L1167" s="20">
        <f t="shared" si="54"/>
        <v>41848</v>
      </c>
      <c r="M1167" t="str">
        <f t="shared" si="55"/>
        <v>07-2014</v>
      </c>
      <c r="N1167">
        <f t="shared" si="56"/>
        <v>17.98</v>
      </c>
    </row>
    <row r="1168" spans="3:14" x14ac:dyDescent="0.25">
      <c r="C1168" t="str">
        <f>IF(COUNTBLANK(E1168:K1168) = 7,"",IF(AND(NOT(ISBLANK(E1168)),COUNTBLANK(E1168:K1168) = 6),"3 Delete",IF(ISBLANK(E1168),"2 Add",IF(SHA1Range(E1168:K1168) = "de8c6a252840ce59711ae35ebf18f7a1ae912e6d","0 Original","1 Modify"))))</f>
        <v>0 Original</v>
      </c>
      <c r="D1168" s="5" t="s">
        <v>4181</v>
      </c>
      <c r="E1168" s="3">
        <v>647</v>
      </c>
      <c r="F1168" t="s">
        <v>1316</v>
      </c>
      <c r="G1168" t="s">
        <v>592</v>
      </c>
      <c r="H1168" s="9">
        <v>8.99</v>
      </c>
      <c r="I1168" s="3">
        <v>1</v>
      </c>
      <c r="J1168" s="5" t="s">
        <v>68</v>
      </c>
      <c r="K1168" s="15">
        <v>41848.823194444441</v>
      </c>
      <c r="L1168" s="20">
        <f t="shared" si="54"/>
        <v>41848</v>
      </c>
      <c r="M1168" t="str">
        <f t="shared" si="55"/>
        <v>07-2014</v>
      </c>
      <c r="N1168">
        <f t="shared" si="56"/>
        <v>8.99</v>
      </c>
    </row>
    <row r="1169" spans="3:14" x14ac:dyDescent="0.25">
      <c r="C1169" t="str">
        <f>IF(COUNTBLANK(E1169:K1169) = 7,"",IF(AND(NOT(ISBLANK(E1169)),COUNTBLANK(E1169:K1169) = 6),"3 Delete",IF(ISBLANK(E1169),"2 Add",IF(SHA1Range(E1169:K1169) = "a9c9119da6ec72fc489ad34cd1b8cf8d85205dcd","0 Original","1 Modify"))))</f>
        <v>0 Original</v>
      </c>
      <c r="D1169" s="5" t="s">
        <v>4182</v>
      </c>
      <c r="E1169" s="3">
        <v>648</v>
      </c>
      <c r="F1169" t="s">
        <v>1316</v>
      </c>
      <c r="G1169" t="s">
        <v>570</v>
      </c>
      <c r="H1169" s="9">
        <v>6.99</v>
      </c>
      <c r="I1169" s="3">
        <v>1</v>
      </c>
      <c r="J1169" s="5" t="s">
        <v>68</v>
      </c>
      <c r="K1169" s="15">
        <v>41848.823194444441</v>
      </c>
      <c r="L1169" s="20">
        <f t="shared" si="54"/>
        <v>41848</v>
      </c>
      <c r="M1169" t="str">
        <f t="shared" si="55"/>
        <v>07-2014</v>
      </c>
      <c r="N1169">
        <f t="shared" si="56"/>
        <v>6.99</v>
      </c>
    </row>
    <row r="1170" spans="3:14" x14ac:dyDescent="0.25">
      <c r="C1170" t="str">
        <f>IF(COUNTBLANK(E1170:K1170) = 7,"",IF(AND(NOT(ISBLANK(E1170)),COUNTBLANK(E1170:K1170) = 6),"3 Delete",IF(ISBLANK(E1170),"2 Add",IF(SHA1Range(E1170:K1170) = "5d5ac5cff067b7754cbd6f8cb3a9e0e92f8f6f50","0 Original","1 Modify"))))</f>
        <v>0 Original</v>
      </c>
      <c r="D1170" s="5" t="s">
        <v>4183</v>
      </c>
      <c r="E1170" s="3">
        <v>649</v>
      </c>
      <c r="F1170" t="s">
        <v>1316</v>
      </c>
      <c r="G1170" t="s">
        <v>915</v>
      </c>
      <c r="H1170" s="9">
        <v>9.99</v>
      </c>
      <c r="I1170" s="3">
        <v>2</v>
      </c>
      <c r="J1170" s="5" t="s">
        <v>68</v>
      </c>
      <c r="K1170" s="15">
        <v>41848.823194444441</v>
      </c>
      <c r="L1170" s="20">
        <f t="shared" si="54"/>
        <v>41848</v>
      </c>
      <c r="M1170" t="str">
        <f t="shared" si="55"/>
        <v>07-2014</v>
      </c>
      <c r="N1170">
        <f t="shared" si="56"/>
        <v>19.98</v>
      </c>
    </row>
    <row r="1171" spans="3:14" x14ac:dyDescent="0.25">
      <c r="C1171" t="str">
        <f>IF(COUNTBLANK(E1171:K1171) = 7,"",IF(AND(NOT(ISBLANK(E1171)),COUNTBLANK(E1171:K1171) = 6),"3 Delete",IF(ISBLANK(E1171),"2 Add",IF(SHA1Range(E1171:K1171) = "8f1a163f4c5727b6f915d3c70edd7474070c74e4","0 Original","1 Modify"))))</f>
        <v>0 Original</v>
      </c>
      <c r="D1171" s="5" t="s">
        <v>4184</v>
      </c>
      <c r="E1171" s="3">
        <v>650</v>
      </c>
      <c r="F1171" t="s">
        <v>1316</v>
      </c>
      <c r="G1171" t="s">
        <v>560</v>
      </c>
      <c r="H1171" s="9">
        <v>8.99</v>
      </c>
      <c r="I1171" s="3">
        <v>1</v>
      </c>
      <c r="J1171" s="5" t="s">
        <v>68</v>
      </c>
      <c r="K1171" s="15">
        <v>41848.823194444441</v>
      </c>
      <c r="L1171" s="20">
        <f t="shared" si="54"/>
        <v>41848</v>
      </c>
      <c r="M1171" t="str">
        <f t="shared" si="55"/>
        <v>07-2014</v>
      </c>
      <c r="N1171">
        <f t="shared" si="56"/>
        <v>8.99</v>
      </c>
    </row>
    <row r="1172" spans="3:14" x14ac:dyDescent="0.25">
      <c r="C1172" t="str">
        <f>IF(COUNTBLANK(E1172:K1172) = 7,"",IF(AND(NOT(ISBLANK(E1172)),COUNTBLANK(E1172:K1172) = 6),"3 Delete",IF(ISBLANK(E1172),"2 Add",IF(SHA1Range(E1172:K1172) = "505b21d3700523664b03b571060708654d865325","0 Original","1 Modify"))))</f>
        <v>0 Original</v>
      </c>
      <c r="D1172" s="5" t="s">
        <v>3418</v>
      </c>
      <c r="E1172" s="3">
        <v>651</v>
      </c>
      <c r="F1172" t="s">
        <v>1316</v>
      </c>
      <c r="G1172" t="s">
        <v>761</v>
      </c>
      <c r="H1172" s="9">
        <v>8.99</v>
      </c>
      <c r="I1172" s="3">
        <v>2</v>
      </c>
      <c r="J1172" s="5" t="s">
        <v>68</v>
      </c>
      <c r="K1172" s="15">
        <v>41848.823194444441</v>
      </c>
      <c r="L1172" s="20">
        <f t="shared" si="54"/>
        <v>41848</v>
      </c>
      <c r="M1172" t="str">
        <f t="shared" si="55"/>
        <v>07-2014</v>
      </c>
      <c r="N1172">
        <f t="shared" si="56"/>
        <v>17.98</v>
      </c>
    </row>
    <row r="1173" spans="3:14" x14ac:dyDescent="0.25">
      <c r="C1173" t="str">
        <f>IF(COUNTBLANK(E1173:K1173) = 7,"",IF(AND(NOT(ISBLANK(E1173)),COUNTBLANK(E1173:K1173) = 6),"3 Delete",IF(ISBLANK(E1173),"2 Add",IF(SHA1Range(E1173:K1173) = "5c5f4f9b9372f17686b4002c952cca79addb5b36","0 Original","1 Modify"))))</f>
        <v>0 Original</v>
      </c>
      <c r="D1173" s="5" t="s">
        <v>3419</v>
      </c>
      <c r="E1173" s="3">
        <v>3875</v>
      </c>
      <c r="F1173" t="s">
        <v>1317</v>
      </c>
      <c r="G1173" t="s">
        <v>687</v>
      </c>
      <c r="H1173" s="9">
        <v>9.99</v>
      </c>
      <c r="I1173" s="3">
        <v>1</v>
      </c>
      <c r="J1173" s="5" t="s">
        <v>68</v>
      </c>
      <c r="K1173" s="15">
        <v>41849.883356481485</v>
      </c>
      <c r="L1173" s="20">
        <f t="shared" si="54"/>
        <v>41849</v>
      </c>
      <c r="M1173" t="str">
        <f t="shared" si="55"/>
        <v>07-2014</v>
      </c>
      <c r="N1173">
        <f t="shared" si="56"/>
        <v>9.99</v>
      </c>
    </row>
    <row r="1174" spans="3:14" x14ac:dyDescent="0.25">
      <c r="C1174" t="str">
        <f>IF(COUNTBLANK(E1174:K1174) = 7,"",IF(AND(NOT(ISBLANK(E1174)),COUNTBLANK(E1174:K1174) = 6),"3 Delete",IF(ISBLANK(E1174),"2 Add",IF(SHA1Range(E1174:K1174) = "b996611399f4d73a53ee03d41e743475e131c556","0 Original","1 Modify"))))</f>
        <v>0 Original</v>
      </c>
      <c r="D1174" s="5" t="s">
        <v>3420</v>
      </c>
      <c r="E1174" s="3">
        <v>3876</v>
      </c>
      <c r="F1174" t="s">
        <v>1317</v>
      </c>
      <c r="G1174" t="s">
        <v>579</v>
      </c>
      <c r="H1174" s="9">
        <v>9.99</v>
      </c>
      <c r="I1174" s="3">
        <v>1</v>
      </c>
      <c r="J1174" s="5" t="s">
        <v>68</v>
      </c>
      <c r="K1174" s="15">
        <v>41849.883356481485</v>
      </c>
      <c r="L1174" s="20">
        <f t="shared" si="54"/>
        <v>41849</v>
      </c>
      <c r="M1174" t="str">
        <f t="shared" si="55"/>
        <v>07-2014</v>
      </c>
      <c r="N1174">
        <f t="shared" si="56"/>
        <v>9.99</v>
      </c>
    </row>
    <row r="1175" spans="3:14" x14ac:dyDescent="0.25">
      <c r="C1175" t="str">
        <f>IF(COUNTBLANK(E1175:K1175) = 7,"",IF(AND(NOT(ISBLANK(E1175)),COUNTBLANK(E1175:K1175) = 6),"3 Delete",IF(ISBLANK(E1175),"2 Add",IF(SHA1Range(E1175:K1175) = "17f5529b4b3ed485caeaf21688d6eeeed5b94393","0 Original","1 Modify"))))</f>
        <v>0 Original</v>
      </c>
      <c r="D1175" s="5" t="s">
        <v>3421</v>
      </c>
      <c r="E1175" s="3">
        <v>3877</v>
      </c>
      <c r="F1175" t="s">
        <v>1317</v>
      </c>
      <c r="G1175" t="s">
        <v>552</v>
      </c>
      <c r="H1175" s="9">
        <v>6.99</v>
      </c>
      <c r="I1175" s="3">
        <v>2</v>
      </c>
      <c r="J1175" s="5" t="s">
        <v>68</v>
      </c>
      <c r="K1175" s="15">
        <v>41849.883356481485</v>
      </c>
      <c r="L1175" s="20">
        <f t="shared" si="54"/>
        <v>41849</v>
      </c>
      <c r="M1175" t="str">
        <f t="shared" si="55"/>
        <v>07-2014</v>
      </c>
      <c r="N1175">
        <f t="shared" si="56"/>
        <v>13.98</v>
      </c>
    </row>
    <row r="1176" spans="3:14" x14ac:dyDescent="0.25">
      <c r="C1176" t="str">
        <f>IF(COUNTBLANK(E1176:K1176) = 7,"",IF(AND(NOT(ISBLANK(E1176)),COUNTBLANK(E1176:K1176) = 6),"3 Delete",IF(ISBLANK(E1176),"2 Add",IF(SHA1Range(E1176:K1176) = "d65a970be963c43603826ddc3f6c2f68d274b101","0 Original","1 Modify"))))</f>
        <v>0 Original</v>
      </c>
      <c r="D1176" s="5" t="s">
        <v>3422</v>
      </c>
      <c r="E1176" s="3">
        <v>3507</v>
      </c>
      <c r="F1176" t="s">
        <v>1318</v>
      </c>
      <c r="G1176" t="s">
        <v>707</v>
      </c>
      <c r="H1176" s="9">
        <v>7.99</v>
      </c>
      <c r="I1176" s="3">
        <v>2</v>
      </c>
      <c r="J1176" s="5" t="s">
        <v>68</v>
      </c>
      <c r="K1176" s="15">
        <v>41850.093842592592</v>
      </c>
      <c r="L1176" s="20">
        <f t="shared" si="54"/>
        <v>41850</v>
      </c>
      <c r="M1176" t="str">
        <f t="shared" si="55"/>
        <v>07-2014</v>
      </c>
      <c r="N1176">
        <f t="shared" si="56"/>
        <v>15.98</v>
      </c>
    </row>
    <row r="1177" spans="3:14" x14ac:dyDescent="0.25">
      <c r="C1177" t="str">
        <f>IF(COUNTBLANK(E1177:K1177) = 7,"",IF(AND(NOT(ISBLANK(E1177)),COUNTBLANK(E1177:K1177) = 6),"3 Delete",IF(ISBLANK(E1177),"2 Add",IF(SHA1Range(E1177:K1177) = "85ccd29d4246895359c47384bab221ed3ceda20c","0 Original","1 Modify"))))</f>
        <v>0 Original</v>
      </c>
      <c r="D1177" s="5" t="s">
        <v>3423</v>
      </c>
      <c r="E1177" s="3">
        <v>3508</v>
      </c>
      <c r="F1177" t="s">
        <v>1318</v>
      </c>
      <c r="G1177" t="s">
        <v>514</v>
      </c>
      <c r="H1177" s="9">
        <v>6.99</v>
      </c>
      <c r="I1177" s="3">
        <v>2</v>
      </c>
      <c r="J1177" s="5" t="s">
        <v>68</v>
      </c>
      <c r="K1177" s="15">
        <v>41850.093842592592</v>
      </c>
      <c r="L1177" s="20">
        <f t="shared" si="54"/>
        <v>41850</v>
      </c>
      <c r="M1177" t="str">
        <f t="shared" si="55"/>
        <v>07-2014</v>
      </c>
      <c r="N1177">
        <f t="shared" si="56"/>
        <v>13.98</v>
      </c>
    </row>
    <row r="1178" spans="3:14" x14ac:dyDescent="0.25">
      <c r="C1178" t="str">
        <f>IF(COUNTBLANK(E1178:K1178) = 7,"",IF(AND(NOT(ISBLANK(E1178)),COUNTBLANK(E1178:K1178) = 6),"3 Delete",IF(ISBLANK(E1178),"2 Add",IF(SHA1Range(E1178:K1178) = "4d561b86a06a9489a22f2d79dfb2c4bdf94b012f","0 Original","1 Modify"))))</f>
        <v>0 Original</v>
      </c>
      <c r="D1178" s="5" t="s">
        <v>3424</v>
      </c>
      <c r="E1178" s="3">
        <v>3509</v>
      </c>
      <c r="F1178" t="s">
        <v>1318</v>
      </c>
      <c r="G1178" t="s">
        <v>642</v>
      </c>
      <c r="H1178" s="9">
        <v>9.99</v>
      </c>
      <c r="I1178" s="3">
        <v>1</v>
      </c>
      <c r="J1178" s="5" t="s">
        <v>68</v>
      </c>
      <c r="K1178" s="15">
        <v>41850.093842592592</v>
      </c>
      <c r="L1178" s="20">
        <f t="shared" si="54"/>
        <v>41850</v>
      </c>
      <c r="M1178" t="str">
        <f t="shared" si="55"/>
        <v>07-2014</v>
      </c>
      <c r="N1178">
        <f t="shared" si="56"/>
        <v>9.99</v>
      </c>
    </row>
    <row r="1179" spans="3:14" x14ac:dyDescent="0.25">
      <c r="C1179" t="str">
        <f>IF(COUNTBLANK(E1179:K1179) = 7,"",IF(AND(NOT(ISBLANK(E1179)),COUNTBLANK(E1179:K1179) = 6),"3 Delete",IF(ISBLANK(E1179),"2 Add",IF(SHA1Range(E1179:K1179) = "6c4bd8eec7be4be43de5379d2153ef114b735fae","0 Original","1 Modify"))))</f>
        <v>0 Original</v>
      </c>
      <c r="D1179" s="5" t="s">
        <v>3425</v>
      </c>
      <c r="E1179" s="3">
        <v>3510</v>
      </c>
      <c r="F1179" t="s">
        <v>1318</v>
      </c>
      <c r="G1179" t="s">
        <v>373</v>
      </c>
      <c r="H1179" s="9">
        <v>7.99</v>
      </c>
      <c r="I1179" s="3">
        <v>2</v>
      </c>
      <c r="J1179" s="5" t="s">
        <v>68</v>
      </c>
      <c r="K1179" s="15">
        <v>41850.093842592592</v>
      </c>
      <c r="L1179" s="20">
        <f t="shared" si="54"/>
        <v>41850</v>
      </c>
      <c r="M1179" t="str">
        <f t="shared" si="55"/>
        <v>07-2014</v>
      </c>
      <c r="N1179">
        <f t="shared" si="56"/>
        <v>15.98</v>
      </c>
    </row>
    <row r="1180" spans="3:14" x14ac:dyDescent="0.25">
      <c r="C1180" t="str">
        <f>IF(COUNTBLANK(E1180:K1180) = 7,"",IF(AND(NOT(ISBLANK(E1180)),COUNTBLANK(E1180:K1180) = 6),"3 Delete",IF(ISBLANK(E1180),"2 Add",IF(SHA1Range(E1180:K1180) = "40fdf8b0ba72915eb8bee069c80dcaeb8a491567","0 Original","1 Modify"))))</f>
        <v>0 Original</v>
      </c>
      <c r="D1180" s="5" t="s">
        <v>3426</v>
      </c>
      <c r="E1180" s="3">
        <v>3511</v>
      </c>
      <c r="F1180" t="s">
        <v>1318</v>
      </c>
      <c r="G1180" t="s">
        <v>948</v>
      </c>
      <c r="H1180" s="9">
        <v>4.99</v>
      </c>
      <c r="I1180" s="3">
        <v>1</v>
      </c>
      <c r="J1180" s="5" t="s">
        <v>68</v>
      </c>
      <c r="K1180" s="15">
        <v>41850.093842592592</v>
      </c>
      <c r="L1180" s="20">
        <f t="shared" si="54"/>
        <v>41850</v>
      </c>
      <c r="M1180" t="str">
        <f t="shared" si="55"/>
        <v>07-2014</v>
      </c>
      <c r="N1180">
        <f t="shared" si="56"/>
        <v>4.99</v>
      </c>
    </row>
    <row r="1181" spans="3:14" x14ac:dyDescent="0.25">
      <c r="C1181" t="str">
        <f>IF(COUNTBLANK(E1181:K1181) = 7,"",IF(AND(NOT(ISBLANK(E1181)),COUNTBLANK(E1181:K1181) = 6),"3 Delete",IF(ISBLANK(E1181),"2 Add",IF(SHA1Range(E1181:K1181) = "6c6c2393ec17a36e3ac6159a5f17e8fec8450254","0 Original","1 Modify"))))</f>
        <v>0 Original</v>
      </c>
      <c r="D1181" s="5" t="s">
        <v>3427</v>
      </c>
      <c r="E1181" s="3">
        <v>3755</v>
      </c>
      <c r="F1181" t="s">
        <v>1319</v>
      </c>
      <c r="G1181" t="s">
        <v>400</v>
      </c>
      <c r="H1181" s="9">
        <v>4.99</v>
      </c>
      <c r="I1181" s="3">
        <v>1</v>
      </c>
      <c r="J1181" s="5" t="s">
        <v>68</v>
      </c>
      <c r="K1181" s="15">
        <v>41851.491122685184</v>
      </c>
      <c r="L1181" s="20">
        <f t="shared" si="54"/>
        <v>41851</v>
      </c>
      <c r="M1181" t="str">
        <f t="shared" si="55"/>
        <v>07-2014</v>
      </c>
      <c r="N1181">
        <f t="shared" si="56"/>
        <v>4.99</v>
      </c>
    </row>
    <row r="1182" spans="3:14" x14ac:dyDescent="0.25">
      <c r="C1182" t="str">
        <f>IF(COUNTBLANK(E1182:K1182) = 7,"",IF(AND(NOT(ISBLANK(E1182)),COUNTBLANK(E1182:K1182) = 6),"3 Delete",IF(ISBLANK(E1182),"2 Add",IF(SHA1Range(E1182:K1182) = "a8f64659854761bc679de7605c286b33ed26c3f6","0 Original","1 Modify"))))</f>
        <v>0 Original</v>
      </c>
      <c r="D1182" s="5" t="s">
        <v>3428</v>
      </c>
      <c r="E1182" s="3">
        <v>3756</v>
      </c>
      <c r="F1182" t="s">
        <v>1319</v>
      </c>
      <c r="G1182" t="s">
        <v>400</v>
      </c>
      <c r="H1182" s="9">
        <v>4.99</v>
      </c>
      <c r="I1182" s="3">
        <v>2</v>
      </c>
      <c r="J1182" s="5" t="s">
        <v>68</v>
      </c>
      <c r="K1182" s="15">
        <v>41851.491122685184</v>
      </c>
      <c r="L1182" s="20">
        <f t="shared" si="54"/>
        <v>41851</v>
      </c>
      <c r="M1182" t="str">
        <f t="shared" si="55"/>
        <v>07-2014</v>
      </c>
      <c r="N1182">
        <f t="shared" si="56"/>
        <v>9.98</v>
      </c>
    </row>
    <row r="1183" spans="3:14" x14ac:dyDescent="0.25">
      <c r="C1183" t="str">
        <f>IF(COUNTBLANK(E1183:K1183) = 7,"",IF(AND(NOT(ISBLANK(E1183)),COUNTBLANK(E1183:K1183) = 6),"3 Delete",IF(ISBLANK(E1183),"2 Add",IF(SHA1Range(E1183:K1183) = "8f89b9fc361cab3afdf57b21bb9534a1dbc51c1d","0 Original","1 Modify"))))</f>
        <v>0 Original</v>
      </c>
      <c r="D1183" s="5" t="s">
        <v>3429</v>
      </c>
      <c r="E1183" s="3">
        <v>3757</v>
      </c>
      <c r="F1183" t="s">
        <v>1319</v>
      </c>
      <c r="G1183" t="s">
        <v>552</v>
      </c>
      <c r="H1183" s="9">
        <v>6.99</v>
      </c>
      <c r="I1183" s="3">
        <v>1</v>
      </c>
      <c r="J1183" s="5" t="s">
        <v>68</v>
      </c>
      <c r="K1183" s="15">
        <v>41851.491122685184</v>
      </c>
      <c r="L1183" s="20">
        <f t="shared" si="54"/>
        <v>41851</v>
      </c>
      <c r="M1183" t="str">
        <f t="shared" si="55"/>
        <v>07-2014</v>
      </c>
      <c r="N1183">
        <f t="shared" si="56"/>
        <v>6.99</v>
      </c>
    </row>
    <row r="1184" spans="3:14" x14ac:dyDescent="0.25">
      <c r="C1184" t="str">
        <f>IF(COUNTBLANK(E1184:K1184) = 7,"",IF(AND(NOT(ISBLANK(E1184)),COUNTBLANK(E1184:K1184) = 6),"3 Delete",IF(ISBLANK(E1184),"2 Add",IF(SHA1Range(E1184:K1184) = "e7a29be360b9d5358ff0491b2b6988e26f363ddc","0 Original","1 Modify"))))</f>
        <v>0 Original</v>
      </c>
      <c r="D1184" s="5" t="s">
        <v>4185</v>
      </c>
      <c r="E1184" s="3">
        <v>657</v>
      </c>
      <c r="F1184" t="s">
        <v>1320</v>
      </c>
      <c r="G1184" t="s">
        <v>774</v>
      </c>
      <c r="H1184" s="9">
        <v>5.99</v>
      </c>
      <c r="I1184" s="3">
        <v>1</v>
      </c>
      <c r="J1184" s="5" t="s">
        <v>68</v>
      </c>
      <c r="K1184" s="15">
        <v>41851.522060185183</v>
      </c>
      <c r="L1184" s="20">
        <f t="shared" si="54"/>
        <v>41851</v>
      </c>
      <c r="M1184" t="str">
        <f t="shared" si="55"/>
        <v>07-2014</v>
      </c>
      <c r="N1184">
        <f t="shared" si="56"/>
        <v>5.99</v>
      </c>
    </row>
    <row r="1185" spans="3:14" x14ac:dyDescent="0.25">
      <c r="C1185" t="str">
        <f>IF(COUNTBLANK(E1185:K1185) = 7,"",IF(AND(NOT(ISBLANK(E1185)),COUNTBLANK(E1185:K1185) = 6),"3 Delete",IF(ISBLANK(E1185),"2 Add",IF(SHA1Range(E1185:K1185) = "f177a05b9268e89842a530955b8a5d4ca7640c8c","0 Original","1 Modify"))))</f>
        <v>0 Original</v>
      </c>
      <c r="D1185" s="5" t="s">
        <v>4186</v>
      </c>
      <c r="E1185" s="3">
        <v>658</v>
      </c>
      <c r="F1185" t="s">
        <v>1320</v>
      </c>
      <c r="G1185" t="s">
        <v>514</v>
      </c>
      <c r="H1185" s="9">
        <v>6.99</v>
      </c>
      <c r="I1185" s="3">
        <v>2</v>
      </c>
      <c r="J1185" s="5" t="s">
        <v>68</v>
      </c>
      <c r="K1185" s="15">
        <v>41851.522060185183</v>
      </c>
      <c r="L1185" s="20">
        <f t="shared" si="54"/>
        <v>41851</v>
      </c>
      <c r="M1185" t="str">
        <f t="shared" si="55"/>
        <v>07-2014</v>
      </c>
      <c r="N1185">
        <f t="shared" si="56"/>
        <v>13.98</v>
      </c>
    </row>
    <row r="1186" spans="3:14" x14ac:dyDescent="0.25">
      <c r="C1186" t="str">
        <f>IF(COUNTBLANK(E1186:K1186) = 7,"",IF(AND(NOT(ISBLANK(E1186)),COUNTBLANK(E1186:K1186) = 6),"3 Delete",IF(ISBLANK(E1186),"2 Add",IF(SHA1Range(E1186:K1186) = "81a1b4c622c72b26b48940a65af0d1e801a43414","0 Original","1 Modify"))))</f>
        <v>0 Original</v>
      </c>
      <c r="D1186" s="5" t="s">
        <v>4187</v>
      </c>
      <c r="E1186" s="3">
        <v>659</v>
      </c>
      <c r="F1186" t="s">
        <v>1320</v>
      </c>
      <c r="G1186" t="s">
        <v>704</v>
      </c>
      <c r="H1186" s="9">
        <v>4.99</v>
      </c>
      <c r="I1186" s="3">
        <v>1</v>
      </c>
      <c r="J1186" s="5" t="s">
        <v>68</v>
      </c>
      <c r="K1186" s="15">
        <v>41851.522060185183</v>
      </c>
      <c r="L1186" s="20">
        <f t="shared" si="54"/>
        <v>41851</v>
      </c>
      <c r="M1186" t="str">
        <f t="shared" si="55"/>
        <v>07-2014</v>
      </c>
      <c r="N1186">
        <f t="shared" si="56"/>
        <v>4.99</v>
      </c>
    </row>
    <row r="1187" spans="3:14" x14ac:dyDescent="0.25">
      <c r="C1187" t="str">
        <f>IF(COUNTBLANK(E1187:K1187) = 7,"",IF(AND(NOT(ISBLANK(E1187)),COUNTBLANK(E1187:K1187) = 6),"3 Delete",IF(ISBLANK(E1187),"2 Add",IF(SHA1Range(E1187:K1187) = "2ace803eabc1feaa22da286af018418ddfd82e02","0 Original","1 Modify"))))</f>
        <v>0 Original</v>
      </c>
      <c r="D1187" s="5" t="s">
        <v>4188</v>
      </c>
      <c r="E1187" s="3">
        <v>660</v>
      </c>
      <c r="F1187" t="s">
        <v>1320</v>
      </c>
      <c r="G1187" t="s">
        <v>461</v>
      </c>
      <c r="H1187" s="9">
        <v>6.99</v>
      </c>
      <c r="I1187" s="3">
        <v>1</v>
      </c>
      <c r="J1187" s="5" t="s">
        <v>68</v>
      </c>
      <c r="K1187" s="15">
        <v>41851.522060185183</v>
      </c>
      <c r="L1187" s="20">
        <f t="shared" si="54"/>
        <v>41851</v>
      </c>
      <c r="M1187" t="str">
        <f t="shared" si="55"/>
        <v>07-2014</v>
      </c>
      <c r="N1187">
        <f t="shared" si="56"/>
        <v>6.99</v>
      </c>
    </row>
    <row r="1188" spans="3:14" x14ac:dyDescent="0.25">
      <c r="C1188" t="str">
        <f>IF(COUNTBLANK(E1188:K1188) = 7,"",IF(AND(NOT(ISBLANK(E1188)),COUNTBLANK(E1188:K1188) = 6),"3 Delete",IF(ISBLANK(E1188),"2 Add",IF(SHA1Range(E1188:K1188) = "3971ec6cc2a53070744cacde0333f8ba52315a9a","0 Original","1 Modify"))))</f>
        <v>0 Original</v>
      </c>
      <c r="D1188" s="5" t="s">
        <v>3430</v>
      </c>
      <c r="E1188" s="3">
        <v>661</v>
      </c>
      <c r="F1188" t="s">
        <v>1320</v>
      </c>
      <c r="G1188" t="s">
        <v>426</v>
      </c>
      <c r="H1188" s="9">
        <v>8.99</v>
      </c>
      <c r="I1188" s="3">
        <v>1</v>
      </c>
      <c r="J1188" s="5" t="s">
        <v>68</v>
      </c>
      <c r="K1188" s="15">
        <v>41851.522060185183</v>
      </c>
      <c r="L1188" s="20">
        <f t="shared" si="54"/>
        <v>41851</v>
      </c>
      <c r="M1188" t="str">
        <f t="shared" si="55"/>
        <v>07-2014</v>
      </c>
      <c r="N1188">
        <f t="shared" si="56"/>
        <v>8.99</v>
      </c>
    </row>
    <row r="1189" spans="3:14" x14ac:dyDescent="0.25">
      <c r="C1189" t="str">
        <f>IF(COUNTBLANK(E1189:K1189) = 7,"",IF(AND(NOT(ISBLANK(E1189)),COUNTBLANK(E1189:K1189) = 6),"3 Delete",IF(ISBLANK(E1189),"2 Add",IF(SHA1Range(E1189:K1189) = "fdcfb3bee5e7e091a757952d09b56ccbf8756d6b","0 Original","1 Modify"))))</f>
        <v>0 Original</v>
      </c>
      <c r="D1189" s="5" t="s">
        <v>3431</v>
      </c>
      <c r="E1189" s="3">
        <v>662</v>
      </c>
      <c r="F1189" t="s">
        <v>1320</v>
      </c>
      <c r="G1189" t="s">
        <v>918</v>
      </c>
      <c r="H1189" s="9">
        <v>8.99</v>
      </c>
      <c r="I1189" s="3">
        <v>1</v>
      </c>
      <c r="J1189" s="5" t="s">
        <v>68</v>
      </c>
      <c r="K1189" s="15">
        <v>41851.522060185183</v>
      </c>
      <c r="L1189" s="20">
        <f t="shared" si="54"/>
        <v>41851</v>
      </c>
      <c r="M1189" t="str">
        <f t="shared" si="55"/>
        <v>07-2014</v>
      </c>
      <c r="N1189">
        <f t="shared" si="56"/>
        <v>8.99</v>
      </c>
    </row>
    <row r="1190" spans="3:14" x14ac:dyDescent="0.25">
      <c r="C1190" t="str">
        <f>IF(COUNTBLANK(E1190:K1190) = 7,"",IF(AND(NOT(ISBLANK(E1190)),COUNTBLANK(E1190:K1190) = 6),"3 Delete",IF(ISBLANK(E1190),"2 Add",IF(SHA1Range(E1190:K1190) = "3ee86035fc759a47004afcc459063761145d1adb","0 Original","1 Modify"))))</f>
        <v>0 Original</v>
      </c>
      <c r="D1190" s="5" t="s">
        <v>4189</v>
      </c>
      <c r="E1190" s="3">
        <v>663</v>
      </c>
      <c r="F1190" t="s">
        <v>1320</v>
      </c>
      <c r="G1190" t="s">
        <v>677</v>
      </c>
      <c r="H1190" s="9">
        <v>8.99</v>
      </c>
      <c r="I1190" s="3">
        <v>1</v>
      </c>
      <c r="J1190" s="5" t="s">
        <v>68</v>
      </c>
      <c r="K1190" s="15">
        <v>41851.522060185183</v>
      </c>
      <c r="L1190" s="20">
        <f t="shared" si="54"/>
        <v>41851</v>
      </c>
      <c r="M1190" t="str">
        <f t="shared" si="55"/>
        <v>07-2014</v>
      </c>
      <c r="N1190">
        <f t="shared" si="56"/>
        <v>8.99</v>
      </c>
    </row>
    <row r="1191" spans="3:14" x14ac:dyDescent="0.25">
      <c r="C1191" t="str">
        <f>IF(COUNTBLANK(E1191:K1191) = 7,"",IF(AND(NOT(ISBLANK(E1191)),COUNTBLANK(E1191:K1191) = 6),"3 Delete",IF(ISBLANK(E1191),"2 Add",IF(SHA1Range(E1191:K1191) = "3c174f08aac34ee78c1aa9ee090c0ae6264b398b","0 Original","1 Modify"))))</f>
        <v>0 Original</v>
      </c>
      <c r="D1191" s="5" t="s">
        <v>3432</v>
      </c>
      <c r="E1191" s="3">
        <v>582</v>
      </c>
      <c r="F1191" t="s">
        <v>1321</v>
      </c>
      <c r="G1191" t="s">
        <v>517</v>
      </c>
      <c r="H1191" s="9">
        <v>5.99</v>
      </c>
      <c r="I1191" s="3">
        <v>1</v>
      </c>
      <c r="J1191" s="5" t="s">
        <v>68</v>
      </c>
      <c r="K1191" s="15">
        <v>41852.525046296294</v>
      </c>
      <c r="L1191" s="20">
        <f t="shared" si="54"/>
        <v>41852</v>
      </c>
      <c r="M1191" t="str">
        <f t="shared" si="55"/>
        <v>08-2014</v>
      </c>
      <c r="N1191">
        <f t="shared" si="56"/>
        <v>5.99</v>
      </c>
    </row>
    <row r="1192" spans="3:14" x14ac:dyDescent="0.25">
      <c r="C1192" t="str">
        <f>IF(COUNTBLANK(E1192:K1192) = 7,"",IF(AND(NOT(ISBLANK(E1192)),COUNTBLANK(E1192:K1192) = 6),"3 Delete",IF(ISBLANK(E1192),"2 Add",IF(SHA1Range(E1192:K1192) = "82c116437f22628b289268153365130b97702691","0 Original","1 Modify"))))</f>
        <v>0 Original</v>
      </c>
      <c r="D1192" s="5" t="s">
        <v>3433</v>
      </c>
      <c r="E1192" s="3">
        <v>583</v>
      </c>
      <c r="F1192" t="s">
        <v>1321</v>
      </c>
      <c r="G1192" t="s">
        <v>532</v>
      </c>
      <c r="H1192" s="9">
        <v>9.99</v>
      </c>
      <c r="I1192" s="3">
        <v>1</v>
      </c>
      <c r="J1192" s="5" t="s">
        <v>68</v>
      </c>
      <c r="K1192" s="15">
        <v>41852.525046296294</v>
      </c>
      <c r="L1192" s="20">
        <f t="shared" si="54"/>
        <v>41852</v>
      </c>
      <c r="M1192" t="str">
        <f t="shared" si="55"/>
        <v>08-2014</v>
      </c>
      <c r="N1192">
        <f t="shared" si="56"/>
        <v>9.99</v>
      </c>
    </row>
    <row r="1193" spans="3:14" x14ac:dyDescent="0.25">
      <c r="C1193" t="str">
        <f>IF(COUNTBLANK(E1193:K1193) = 7,"",IF(AND(NOT(ISBLANK(E1193)),COUNTBLANK(E1193:K1193) = 6),"3 Delete",IF(ISBLANK(E1193),"2 Add",IF(SHA1Range(E1193:K1193) = "1231f4f13b0a6ac5a30cabf746f2573d80033638","0 Original","1 Modify"))))</f>
        <v>0 Original</v>
      </c>
      <c r="D1193" s="5" t="s">
        <v>3434</v>
      </c>
      <c r="E1193" s="3">
        <v>3360</v>
      </c>
      <c r="F1193" t="s">
        <v>1322</v>
      </c>
      <c r="G1193" t="s">
        <v>400</v>
      </c>
      <c r="H1193" s="9">
        <v>4.99</v>
      </c>
      <c r="I1193" s="3">
        <v>1</v>
      </c>
      <c r="J1193" s="5" t="s">
        <v>68</v>
      </c>
      <c r="K1193" s="15">
        <v>41855.330335648148</v>
      </c>
      <c r="L1193" s="20">
        <f t="shared" si="54"/>
        <v>41855</v>
      </c>
      <c r="M1193" t="str">
        <f t="shared" si="55"/>
        <v>08-2014</v>
      </c>
      <c r="N1193">
        <f t="shared" si="56"/>
        <v>4.99</v>
      </c>
    </row>
    <row r="1194" spans="3:14" x14ac:dyDescent="0.25">
      <c r="C1194" t="str">
        <f>IF(COUNTBLANK(E1194:K1194) = 7,"",IF(AND(NOT(ISBLANK(E1194)),COUNTBLANK(E1194:K1194) = 6),"3 Delete",IF(ISBLANK(E1194),"2 Add",IF(SHA1Range(E1194:K1194) = "c9eb74bddaa0c05883f0f0fab2cb5b6a36589251","0 Original","1 Modify"))))</f>
        <v>0 Original</v>
      </c>
      <c r="D1194" s="5" t="s">
        <v>3435</v>
      </c>
      <c r="E1194" s="3">
        <v>3361</v>
      </c>
      <c r="F1194" t="s">
        <v>1322</v>
      </c>
      <c r="G1194" t="s">
        <v>579</v>
      </c>
      <c r="H1194" s="9">
        <v>9.99</v>
      </c>
      <c r="I1194" s="3">
        <v>2</v>
      </c>
      <c r="J1194" s="5" t="s">
        <v>68</v>
      </c>
      <c r="K1194" s="15">
        <v>41855.330335648148</v>
      </c>
      <c r="L1194" s="20">
        <f t="shared" si="54"/>
        <v>41855</v>
      </c>
      <c r="M1194" t="str">
        <f t="shared" si="55"/>
        <v>08-2014</v>
      </c>
      <c r="N1194">
        <f t="shared" si="56"/>
        <v>19.98</v>
      </c>
    </row>
    <row r="1195" spans="3:14" x14ac:dyDescent="0.25">
      <c r="C1195" t="str">
        <f>IF(COUNTBLANK(E1195:K1195) = 7,"",IF(AND(NOT(ISBLANK(E1195)),COUNTBLANK(E1195:K1195) = 6),"3 Delete",IF(ISBLANK(E1195),"2 Add",IF(SHA1Range(E1195:K1195) = "74af924203478236b9dfc75301bf4b26f650c371","0 Original","1 Modify"))))</f>
        <v>0 Original</v>
      </c>
      <c r="D1195" s="5" t="s">
        <v>3436</v>
      </c>
      <c r="E1195" s="3">
        <v>3362</v>
      </c>
      <c r="F1195" t="s">
        <v>1322</v>
      </c>
      <c r="G1195" t="s">
        <v>552</v>
      </c>
      <c r="H1195" s="9">
        <v>6.99</v>
      </c>
      <c r="I1195" s="3">
        <v>1</v>
      </c>
      <c r="J1195" s="5" t="s">
        <v>68</v>
      </c>
      <c r="K1195" s="15">
        <v>41855.330335648148</v>
      </c>
      <c r="L1195" s="20">
        <f t="shared" si="54"/>
        <v>41855</v>
      </c>
      <c r="M1195" t="str">
        <f t="shared" si="55"/>
        <v>08-2014</v>
      </c>
      <c r="N1195">
        <f t="shared" si="56"/>
        <v>6.99</v>
      </c>
    </row>
    <row r="1196" spans="3:14" x14ac:dyDescent="0.25">
      <c r="C1196" t="str">
        <f>IF(COUNTBLANK(E1196:K1196) = 7,"",IF(AND(NOT(ISBLANK(E1196)),COUNTBLANK(E1196:K1196) = 6),"3 Delete",IF(ISBLANK(E1196),"2 Add",IF(SHA1Range(E1196:K1196) = "e10a5322a9d3f0a0684bc204d81c77b1c37f7a5a","0 Original","1 Modify"))))</f>
        <v>0 Original</v>
      </c>
      <c r="D1196" s="5" t="s">
        <v>3437</v>
      </c>
      <c r="E1196" s="3">
        <v>768</v>
      </c>
      <c r="F1196" t="s">
        <v>1323</v>
      </c>
      <c r="G1196" t="s">
        <v>842</v>
      </c>
      <c r="H1196" s="9">
        <v>4.99</v>
      </c>
      <c r="I1196" s="3">
        <v>1</v>
      </c>
      <c r="J1196" s="5" t="s">
        <v>68</v>
      </c>
      <c r="K1196" s="15">
        <v>41855.343298611115</v>
      </c>
      <c r="L1196" s="20">
        <f t="shared" si="54"/>
        <v>41855</v>
      </c>
      <c r="M1196" t="str">
        <f t="shared" si="55"/>
        <v>08-2014</v>
      </c>
      <c r="N1196">
        <f t="shared" si="56"/>
        <v>4.99</v>
      </c>
    </row>
    <row r="1197" spans="3:14" x14ac:dyDescent="0.25">
      <c r="C1197" t="str">
        <f>IF(COUNTBLANK(E1197:K1197) = 7,"",IF(AND(NOT(ISBLANK(E1197)),COUNTBLANK(E1197:K1197) = 6),"3 Delete",IF(ISBLANK(E1197),"2 Add",IF(SHA1Range(E1197:K1197) = "38c62fef8567fc42015099709dc4eef4c9afb2c6","0 Original","1 Modify"))))</f>
        <v>0 Original</v>
      </c>
      <c r="D1197" s="5" t="s">
        <v>3438</v>
      </c>
      <c r="E1197" s="3">
        <v>769</v>
      </c>
      <c r="F1197" t="s">
        <v>1323</v>
      </c>
      <c r="G1197" t="s">
        <v>503</v>
      </c>
      <c r="H1197" s="9">
        <v>9.99</v>
      </c>
      <c r="I1197" s="3">
        <v>2</v>
      </c>
      <c r="J1197" s="5" t="s">
        <v>68</v>
      </c>
      <c r="K1197" s="15">
        <v>41855.343298611115</v>
      </c>
      <c r="L1197" s="20">
        <f t="shared" si="54"/>
        <v>41855</v>
      </c>
      <c r="M1197" t="str">
        <f t="shared" si="55"/>
        <v>08-2014</v>
      </c>
      <c r="N1197">
        <f t="shared" si="56"/>
        <v>19.98</v>
      </c>
    </row>
    <row r="1198" spans="3:14" x14ac:dyDescent="0.25">
      <c r="C1198" t="str">
        <f>IF(COUNTBLANK(E1198:K1198) = 7,"",IF(AND(NOT(ISBLANK(E1198)),COUNTBLANK(E1198:K1198) = 6),"3 Delete",IF(ISBLANK(E1198),"2 Add",IF(SHA1Range(E1198:K1198) = "69c2c6bf4a0e392e2e9594fa4c317adc3924a9e2","0 Original","1 Modify"))))</f>
        <v>0 Original</v>
      </c>
      <c r="D1198" s="5" t="s">
        <v>3439</v>
      </c>
      <c r="E1198" s="3">
        <v>770</v>
      </c>
      <c r="F1198" t="s">
        <v>1323</v>
      </c>
      <c r="G1198" t="s">
        <v>445</v>
      </c>
      <c r="H1198" s="9">
        <v>7.99</v>
      </c>
      <c r="I1198" s="3">
        <v>1</v>
      </c>
      <c r="J1198" s="5" t="s">
        <v>68</v>
      </c>
      <c r="K1198" s="15">
        <v>41855.343298611115</v>
      </c>
      <c r="L1198" s="20">
        <f t="shared" si="54"/>
        <v>41855</v>
      </c>
      <c r="M1198" t="str">
        <f t="shared" si="55"/>
        <v>08-2014</v>
      </c>
      <c r="N1198">
        <f t="shared" si="56"/>
        <v>7.99</v>
      </c>
    </row>
    <row r="1199" spans="3:14" x14ac:dyDescent="0.25">
      <c r="C1199" t="str">
        <f>IF(COUNTBLANK(E1199:K1199) = 7,"",IF(AND(NOT(ISBLANK(E1199)),COUNTBLANK(E1199:K1199) = 6),"3 Delete",IF(ISBLANK(E1199),"2 Add",IF(SHA1Range(E1199:K1199) = "fc1f4921d4952e2b3a70bb8c6ad1031f0064d7d0","0 Original","1 Modify"))))</f>
        <v>0 Original</v>
      </c>
      <c r="D1199" s="5" t="s">
        <v>3440</v>
      </c>
      <c r="E1199" s="3">
        <v>771</v>
      </c>
      <c r="F1199" t="s">
        <v>1323</v>
      </c>
      <c r="G1199" t="s">
        <v>588</v>
      </c>
      <c r="H1199" s="9">
        <v>4.99</v>
      </c>
      <c r="I1199" s="3">
        <v>1</v>
      </c>
      <c r="J1199" s="5" t="s">
        <v>68</v>
      </c>
      <c r="K1199" s="15">
        <v>41855.343298611115</v>
      </c>
      <c r="L1199" s="20">
        <f t="shared" si="54"/>
        <v>41855</v>
      </c>
      <c r="M1199" t="str">
        <f t="shared" si="55"/>
        <v>08-2014</v>
      </c>
      <c r="N1199">
        <f t="shared" si="56"/>
        <v>4.99</v>
      </c>
    </row>
    <row r="1200" spans="3:14" x14ac:dyDescent="0.25">
      <c r="C1200" t="str">
        <f>IF(COUNTBLANK(E1200:K1200) = 7,"",IF(AND(NOT(ISBLANK(E1200)),COUNTBLANK(E1200:K1200) = 6),"3 Delete",IF(ISBLANK(E1200),"2 Add",IF(SHA1Range(E1200:K1200) = "bae901862cca903dde935d3ec093a0dde7d1f9f6","0 Original","1 Modify"))))</f>
        <v>0 Original</v>
      </c>
      <c r="D1200" s="5" t="s">
        <v>3441</v>
      </c>
      <c r="E1200" s="3">
        <v>1070</v>
      </c>
      <c r="F1200" t="s">
        <v>1324</v>
      </c>
      <c r="G1200" t="s">
        <v>482</v>
      </c>
      <c r="H1200" s="9">
        <v>8.99</v>
      </c>
      <c r="I1200" s="3">
        <v>2</v>
      </c>
      <c r="J1200" s="5" t="s">
        <v>68</v>
      </c>
      <c r="K1200" s="15">
        <v>41855.706469907411</v>
      </c>
      <c r="L1200" s="20">
        <f t="shared" si="54"/>
        <v>41855</v>
      </c>
      <c r="M1200" t="str">
        <f t="shared" si="55"/>
        <v>08-2014</v>
      </c>
      <c r="N1200">
        <f t="shared" si="56"/>
        <v>17.98</v>
      </c>
    </row>
    <row r="1201" spans="3:14" x14ac:dyDescent="0.25">
      <c r="C1201" t="str">
        <f>IF(COUNTBLANK(E1201:K1201) = 7,"",IF(AND(NOT(ISBLANK(E1201)),COUNTBLANK(E1201:K1201) = 6),"3 Delete",IF(ISBLANK(E1201),"2 Add",IF(SHA1Range(E1201:K1201) = "daef4a51ad445670108b15b9b4c49e566252b5d2","0 Original","1 Modify"))))</f>
        <v>0 Original</v>
      </c>
      <c r="D1201" s="5" t="s">
        <v>3442</v>
      </c>
      <c r="E1201" s="3">
        <v>1071</v>
      </c>
      <c r="F1201" t="s">
        <v>1324</v>
      </c>
      <c r="G1201" t="s">
        <v>781</v>
      </c>
      <c r="H1201" s="9">
        <v>5.99</v>
      </c>
      <c r="I1201" s="3">
        <v>1</v>
      </c>
      <c r="J1201" s="5" t="s">
        <v>68</v>
      </c>
      <c r="K1201" s="15">
        <v>41855.706469907411</v>
      </c>
      <c r="L1201" s="20">
        <f t="shared" si="54"/>
        <v>41855</v>
      </c>
      <c r="M1201" t="str">
        <f t="shared" si="55"/>
        <v>08-2014</v>
      </c>
      <c r="N1201">
        <f t="shared" si="56"/>
        <v>5.99</v>
      </c>
    </row>
    <row r="1202" spans="3:14" x14ac:dyDescent="0.25">
      <c r="C1202" t="str">
        <f>IF(COUNTBLANK(E1202:K1202) = 7,"",IF(AND(NOT(ISBLANK(E1202)),COUNTBLANK(E1202:K1202) = 6),"3 Delete",IF(ISBLANK(E1202),"2 Add",IF(SHA1Range(E1202:K1202) = "ded6d79d129baa735dfe335c9e931dab3284c043","0 Original","1 Modify"))))</f>
        <v>0 Original</v>
      </c>
      <c r="D1202" s="5" t="s">
        <v>3443</v>
      </c>
      <c r="E1202" s="3">
        <v>1072</v>
      </c>
      <c r="F1202" t="s">
        <v>1324</v>
      </c>
      <c r="G1202" t="s">
        <v>945</v>
      </c>
      <c r="H1202" s="9">
        <v>4.99</v>
      </c>
      <c r="I1202" s="3">
        <v>1</v>
      </c>
      <c r="J1202" s="5" t="s">
        <v>68</v>
      </c>
      <c r="K1202" s="15">
        <v>41855.706469907411</v>
      </c>
      <c r="L1202" s="20">
        <f t="shared" si="54"/>
        <v>41855</v>
      </c>
      <c r="M1202" t="str">
        <f t="shared" si="55"/>
        <v>08-2014</v>
      </c>
      <c r="N1202">
        <f t="shared" si="56"/>
        <v>4.99</v>
      </c>
    </row>
    <row r="1203" spans="3:14" x14ac:dyDescent="0.25">
      <c r="C1203" t="str">
        <f>IF(COUNTBLANK(E1203:K1203) = 7,"",IF(AND(NOT(ISBLANK(E1203)),COUNTBLANK(E1203:K1203) = 6),"3 Delete",IF(ISBLANK(E1203),"2 Add",IF(SHA1Range(E1203:K1203) = "08790fea42bff1fd649be40d5e047532e40b36d0","0 Original","1 Modify"))))</f>
        <v>0 Original</v>
      </c>
      <c r="D1203" s="5" t="s">
        <v>3444</v>
      </c>
      <c r="E1203" s="3">
        <v>1073</v>
      </c>
      <c r="F1203" t="s">
        <v>1324</v>
      </c>
      <c r="G1203" t="s">
        <v>955</v>
      </c>
      <c r="H1203" s="9">
        <v>8.99</v>
      </c>
      <c r="I1203" s="3">
        <v>1</v>
      </c>
      <c r="J1203" s="5" t="s">
        <v>68</v>
      </c>
      <c r="K1203" s="15">
        <v>41855.706469907411</v>
      </c>
      <c r="L1203" s="20">
        <f t="shared" si="54"/>
        <v>41855</v>
      </c>
      <c r="M1203" t="str">
        <f t="shared" si="55"/>
        <v>08-2014</v>
      </c>
      <c r="N1203">
        <f t="shared" si="56"/>
        <v>8.99</v>
      </c>
    </row>
    <row r="1204" spans="3:14" x14ac:dyDescent="0.25">
      <c r="C1204" t="str">
        <f>IF(COUNTBLANK(E1204:K1204) = 7,"",IF(AND(NOT(ISBLANK(E1204)),COUNTBLANK(E1204:K1204) = 6),"3 Delete",IF(ISBLANK(E1204),"2 Add",IF(SHA1Range(E1204:K1204) = "01bf5580f9850ce871feacb60b624db546e2bbbf","0 Original","1 Modify"))))</f>
        <v>0 Original</v>
      </c>
      <c r="D1204" s="5" t="s">
        <v>3445</v>
      </c>
      <c r="E1204" s="3">
        <v>1332</v>
      </c>
      <c r="F1204" t="s">
        <v>1325</v>
      </c>
      <c r="G1204" t="s">
        <v>897</v>
      </c>
      <c r="H1204" s="9">
        <v>6.99</v>
      </c>
      <c r="I1204" s="3">
        <v>1</v>
      </c>
      <c r="J1204" s="5" t="s">
        <v>68</v>
      </c>
      <c r="K1204" s="15">
        <v>41856.414363425924</v>
      </c>
      <c r="L1204" s="20">
        <f t="shared" si="54"/>
        <v>41856</v>
      </c>
      <c r="M1204" t="str">
        <f t="shared" si="55"/>
        <v>08-2014</v>
      </c>
      <c r="N1204">
        <f t="shared" si="56"/>
        <v>6.99</v>
      </c>
    </row>
    <row r="1205" spans="3:14" x14ac:dyDescent="0.25">
      <c r="C1205" t="str">
        <f>IF(COUNTBLANK(E1205:K1205) = 7,"",IF(AND(NOT(ISBLANK(E1205)),COUNTBLANK(E1205:K1205) = 6),"3 Delete",IF(ISBLANK(E1205),"2 Add",IF(SHA1Range(E1205:K1205) = "1155608f6c284c2808d0428ae4122346f209023c","0 Original","1 Modify"))))</f>
        <v>0 Original</v>
      </c>
      <c r="D1205" s="5" t="s">
        <v>3446</v>
      </c>
      <c r="E1205" s="3">
        <v>1333</v>
      </c>
      <c r="F1205" t="s">
        <v>1325</v>
      </c>
      <c r="G1205" t="s">
        <v>671</v>
      </c>
      <c r="H1205" s="9">
        <v>6.99</v>
      </c>
      <c r="I1205" s="3">
        <v>1</v>
      </c>
      <c r="J1205" s="5" t="s">
        <v>68</v>
      </c>
      <c r="K1205" s="15">
        <v>41856.414363425924</v>
      </c>
      <c r="L1205" s="20">
        <f t="shared" si="54"/>
        <v>41856</v>
      </c>
      <c r="M1205" t="str">
        <f t="shared" si="55"/>
        <v>08-2014</v>
      </c>
      <c r="N1205">
        <f t="shared" si="56"/>
        <v>6.99</v>
      </c>
    </row>
    <row r="1206" spans="3:14" x14ac:dyDescent="0.25">
      <c r="C1206" t="str">
        <f>IF(COUNTBLANK(E1206:K1206) = 7,"",IF(AND(NOT(ISBLANK(E1206)),COUNTBLANK(E1206:K1206) = 6),"3 Delete",IF(ISBLANK(E1206),"2 Add",IF(SHA1Range(E1206:K1206) = "40eb5e0f88b20b82792d7891007ce7266832ed34","0 Original","1 Modify"))))</f>
        <v>0 Original</v>
      </c>
      <c r="D1206" s="5" t="s">
        <v>3447</v>
      </c>
      <c r="E1206" s="3">
        <v>1334</v>
      </c>
      <c r="F1206" t="s">
        <v>1325</v>
      </c>
      <c r="G1206" t="s">
        <v>897</v>
      </c>
      <c r="H1206" s="9">
        <v>6.99</v>
      </c>
      <c r="I1206" s="3">
        <v>2</v>
      </c>
      <c r="J1206" s="5" t="s">
        <v>68</v>
      </c>
      <c r="K1206" s="15">
        <v>41856.414363425924</v>
      </c>
      <c r="L1206" s="20">
        <f t="shared" si="54"/>
        <v>41856</v>
      </c>
      <c r="M1206" t="str">
        <f t="shared" si="55"/>
        <v>08-2014</v>
      </c>
      <c r="N1206">
        <f t="shared" si="56"/>
        <v>13.98</v>
      </c>
    </row>
    <row r="1207" spans="3:14" x14ac:dyDescent="0.25">
      <c r="C1207" t="str">
        <f>IF(COUNTBLANK(E1207:K1207) = 7,"",IF(AND(NOT(ISBLANK(E1207)),COUNTBLANK(E1207:K1207) = 6),"3 Delete",IF(ISBLANK(E1207),"2 Add",IF(SHA1Range(E1207:K1207) = "78834d62d394621f70632a8c607e528d39d75051","0 Original","1 Modify"))))</f>
        <v>0 Original</v>
      </c>
      <c r="D1207" s="5" t="s">
        <v>4190</v>
      </c>
      <c r="E1207" s="3">
        <v>990</v>
      </c>
      <c r="F1207" t="s">
        <v>1326</v>
      </c>
      <c r="G1207" t="s">
        <v>514</v>
      </c>
      <c r="H1207" s="9">
        <v>6.99</v>
      </c>
      <c r="I1207" s="3">
        <v>2</v>
      </c>
      <c r="J1207" s="5" t="s">
        <v>68</v>
      </c>
      <c r="K1207" s="15">
        <v>41858.6094212963</v>
      </c>
      <c r="L1207" s="20">
        <f t="shared" si="54"/>
        <v>41858</v>
      </c>
      <c r="M1207" t="str">
        <f t="shared" si="55"/>
        <v>08-2014</v>
      </c>
      <c r="N1207">
        <f t="shared" si="56"/>
        <v>13.98</v>
      </c>
    </row>
    <row r="1208" spans="3:14" x14ac:dyDescent="0.25">
      <c r="C1208" t="str">
        <f>IF(COUNTBLANK(E1208:K1208) = 7,"",IF(AND(NOT(ISBLANK(E1208)),COUNTBLANK(E1208:K1208) = 6),"3 Delete",IF(ISBLANK(E1208),"2 Add",IF(SHA1Range(E1208:K1208) = "8ead8c41fec209ad0301c6dd3fc7b2a3337b30c8","0 Original","1 Modify"))))</f>
        <v>0 Original</v>
      </c>
      <c r="D1208" s="5" t="s">
        <v>4191</v>
      </c>
      <c r="E1208" s="3">
        <v>991</v>
      </c>
      <c r="F1208" t="s">
        <v>1326</v>
      </c>
      <c r="G1208" t="s">
        <v>912</v>
      </c>
      <c r="H1208" s="9">
        <v>6.99</v>
      </c>
      <c r="I1208" s="3">
        <v>2</v>
      </c>
      <c r="J1208" s="5" t="s">
        <v>68</v>
      </c>
      <c r="K1208" s="15">
        <v>41858.6094212963</v>
      </c>
      <c r="L1208" s="20">
        <f t="shared" si="54"/>
        <v>41858</v>
      </c>
      <c r="M1208" t="str">
        <f t="shared" si="55"/>
        <v>08-2014</v>
      </c>
      <c r="N1208">
        <f t="shared" si="56"/>
        <v>13.98</v>
      </c>
    </row>
    <row r="1209" spans="3:14" x14ac:dyDescent="0.25">
      <c r="C1209" t="str">
        <f>IF(COUNTBLANK(E1209:K1209) = 7,"",IF(AND(NOT(ISBLANK(E1209)),COUNTBLANK(E1209:K1209) = 6),"3 Delete",IF(ISBLANK(E1209),"2 Add",IF(SHA1Range(E1209:K1209) = "8c78a4db189580b3092d9e60212bac47f889d5b7","0 Original","1 Modify"))))</f>
        <v>0 Original</v>
      </c>
      <c r="D1209" s="5" t="s">
        <v>3448</v>
      </c>
      <c r="E1209" s="3">
        <v>992</v>
      </c>
      <c r="F1209" t="s">
        <v>1326</v>
      </c>
      <c r="G1209" t="s">
        <v>548</v>
      </c>
      <c r="H1209" s="9">
        <v>5.99</v>
      </c>
      <c r="I1209" s="3">
        <v>1</v>
      </c>
      <c r="J1209" s="5" t="s">
        <v>68</v>
      </c>
      <c r="K1209" s="15">
        <v>41858.6094212963</v>
      </c>
      <c r="L1209" s="20">
        <f t="shared" si="54"/>
        <v>41858</v>
      </c>
      <c r="M1209" t="str">
        <f t="shared" si="55"/>
        <v>08-2014</v>
      </c>
      <c r="N1209">
        <f t="shared" si="56"/>
        <v>5.99</v>
      </c>
    </row>
    <row r="1210" spans="3:14" x14ac:dyDescent="0.25">
      <c r="C1210" t="str">
        <f>IF(COUNTBLANK(E1210:K1210) = 7,"",IF(AND(NOT(ISBLANK(E1210)),COUNTBLANK(E1210:K1210) = 6),"3 Delete",IF(ISBLANK(E1210),"2 Add",IF(SHA1Range(E1210:K1210) = "3df9eefa4503693531bd12a2ad03bf494d81b263","0 Original","1 Modify"))))</f>
        <v>0 Original</v>
      </c>
      <c r="D1210" s="5" t="s">
        <v>3449</v>
      </c>
      <c r="E1210" s="3">
        <v>1139</v>
      </c>
      <c r="F1210" t="s">
        <v>1327</v>
      </c>
      <c r="G1210" t="s">
        <v>926</v>
      </c>
      <c r="H1210" s="9">
        <v>9.99</v>
      </c>
      <c r="I1210" s="3">
        <v>1</v>
      </c>
      <c r="J1210" s="5" t="s">
        <v>68</v>
      </c>
      <c r="K1210" s="15">
        <v>41859.407523148147</v>
      </c>
      <c r="L1210" s="20">
        <f t="shared" si="54"/>
        <v>41859</v>
      </c>
      <c r="M1210" t="str">
        <f t="shared" si="55"/>
        <v>08-2014</v>
      </c>
      <c r="N1210">
        <f t="shared" si="56"/>
        <v>9.99</v>
      </c>
    </row>
    <row r="1211" spans="3:14" x14ac:dyDescent="0.25">
      <c r="C1211" t="str">
        <f>IF(COUNTBLANK(E1211:K1211) = 7,"",IF(AND(NOT(ISBLANK(E1211)),COUNTBLANK(E1211:K1211) = 6),"3 Delete",IF(ISBLANK(E1211),"2 Add",IF(SHA1Range(E1211:K1211) = "c65d9db3e3e27ef955b4f67757631ddd5e838917","0 Original","1 Modify"))))</f>
        <v>0 Original</v>
      </c>
      <c r="D1211" s="5" t="s">
        <v>3450</v>
      </c>
      <c r="E1211" s="3">
        <v>1140</v>
      </c>
      <c r="F1211" t="s">
        <v>1327</v>
      </c>
      <c r="G1211" t="s">
        <v>654</v>
      </c>
      <c r="H1211" s="9">
        <v>5.99</v>
      </c>
      <c r="I1211" s="3">
        <v>1</v>
      </c>
      <c r="J1211" s="5" t="s">
        <v>68</v>
      </c>
      <c r="K1211" s="15">
        <v>41859.407523148147</v>
      </c>
      <c r="L1211" s="20">
        <f t="shared" si="54"/>
        <v>41859</v>
      </c>
      <c r="M1211" t="str">
        <f t="shared" si="55"/>
        <v>08-2014</v>
      </c>
      <c r="N1211">
        <f t="shared" si="56"/>
        <v>5.99</v>
      </c>
    </row>
    <row r="1212" spans="3:14" x14ac:dyDescent="0.25">
      <c r="C1212" t="str">
        <f>IF(COUNTBLANK(E1212:K1212) = 7,"",IF(AND(NOT(ISBLANK(E1212)),COUNTBLANK(E1212:K1212) = 6),"3 Delete",IF(ISBLANK(E1212),"2 Add",IF(SHA1Range(E1212:K1212) = "4ab4ae90bec8e9938e79b3e06b5931c9e4d1e82a","0 Original","1 Modify"))))</f>
        <v>0 Original</v>
      </c>
      <c r="D1212" s="5" t="s">
        <v>3451</v>
      </c>
      <c r="E1212" s="3">
        <v>1141</v>
      </c>
      <c r="F1212" t="s">
        <v>1327</v>
      </c>
      <c r="G1212" t="s">
        <v>912</v>
      </c>
      <c r="H1212" s="9">
        <v>6.99</v>
      </c>
      <c r="I1212" s="3">
        <v>1</v>
      </c>
      <c r="J1212" s="5" t="s">
        <v>68</v>
      </c>
      <c r="K1212" s="15">
        <v>41859.407523148147</v>
      </c>
      <c r="L1212" s="20">
        <f t="shared" si="54"/>
        <v>41859</v>
      </c>
      <c r="M1212" t="str">
        <f t="shared" si="55"/>
        <v>08-2014</v>
      </c>
      <c r="N1212">
        <f t="shared" si="56"/>
        <v>6.99</v>
      </c>
    </row>
    <row r="1213" spans="3:14" x14ac:dyDescent="0.25">
      <c r="C1213" t="str">
        <f>IF(COUNTBLANK(E1213:K1213) = 7,"",IF(AND(NOT(ISBLANK(E1213)),COUNTBLANK(E1213:K1213) = 6),"3 Delete",IF(ISBLANK(E1213),"2 Add",IF(SHA1Range(E1213:K1213) = "3048dc1df2f773e2489eec8abaf9dc02ba874569","0 Original","1 Modify"))))</f>
        <v>0 Original</v>
      </c>
      <c r="D1213" s="5" t="s">
        <v>3452</v>
      </c>
      <c r="E1213" s="3">
        <v>1889</v>
      </c>
      <c r="F1213" t="s">
        <v>1328</v>
      </c>
      <c r="G1213" t="s">
        <v>671</v>
      </c>
      <c r="H1213" s="9">
        <v>6.99</v>
      </c>
      <c r="I1213" s="3">
        <v>1</v>
      </c>
      <c r="J1213" s="5" t="s">
        <v>68</v>
      </c>
      <c r="K1213" s="15">
        <v>41859.469259259262</v>
      </c>
      <c r="L1213" s="20">
        <f t="shared" si="54"/>
        <v>41859</v>
      </c>
      <c r="M1213" t="str">
        <f t="shared" si="55"/>
        <v>08-2014</v>
      </c>
      <c r="N1213">
        <f t="shared" si="56"/>
        <v>6.99</v>
      </c>
    </row>
    <row r="1214" spans="3:14" x14ac:dyDescent="0.25">
      <c r="C1214" t="str">
        <f>IF(COUNTBLANK(E1214:K1214) = 7,"",IF(AND(NOT(ISBLANK(E1214)),COUNTBLANK(E1214:K1214) = 6),"3 Delete",IF(ISBLANK(E1214),"2 Add",IF(SHA1Range(E1214:K1214) = "28251473d3e7aef1e9a84be219475cd8cd31f43f","0 Original","1 Modify"))))</f>
        <v>0 Original</v>
      </c>
      <c r="D1214" s="5" t="s">
        <v>3453</v>
      </c>
      <c r="E1214" s="3">
        <v>1890</v>
      </c>
      <c r="F1214" t="s">
        <v>1328</v>
      </c>
      <c r="G1214" t="s">
        <v>942</v>
      </c>
      <c r="H1214" s="9">
        <v>6.99</v>
      </c>
      <c r="I1214" s="3">
        <v>1</v>
      </c>
      <c r="J1214" s="5" t="s">
        <v>68</v>
      </c>
      <c r="K1214" s="15">
        <v>41859.469259259262</v>
      </c>
      <c r="L1214" s="20">
        <f t="shared" si="54"/>
        <v>41859</v>
      </c>
      <c r="M1214" t="str">
        <f t="shared" si="55"/>
        <v>08-2014</v>
      </c>
      <c r="N1214">
        <f t="shared" si="56"/>
        <v>6.99</v>
      </c>
    </row>
    <row r="1215" spans="3:14" x14ac:dyDescent="0.25">
      <c r="C1215" t="str">
        <f>IF(COUNTBLANK(E1215:K1215) = 7,"",IF(AND(NOT(ISBLANK(E1215)),COUNTBLANK(E1215:K1215) = 6),"3 Delete",IF(ISBLANK(E1215),"2 Add",IF(SHA1Range(E1215:K1215) = "da9dd2d53252de96ddd648b7cfebab633a972062","0 Original","1 Modify"))))</f>
        <v>0 Original</v>
      </c>
      <c r="D1215" s="5" t="s">
        <v>3454</v>
      </c>
      <c r="E1215" s="3">
        <v>2412</v>
      </c>
      <c r="F1215" t="s">
        <v>1329</v>
      </c>
      <c r="G1215" t="s">
        <v>707</v>
      </c>
      <c r="H1215" s="9">
        <v>7.99</v>
      </c>
      <c r="I1215" s="3">
        <v>1</v>
      </c>
      <c r="J1215" s="5" t="s">
        <v>68</v>
      </c>
      <c r="K1215" s="15">
        <v>41859.960462962961</v>
      </c>
      <c r="L1215" s="20">
        <f t="shared" si="54"/>
        <v>41859</v>
      </c>
      <c r="M1215" t="str">
        <f t="shared" si="55"/>
        <v>08-2014</v>
      </c>
      <c r="N1215">
        <f t="shared" si="56"/>
        <v>7.99</v>
      </c>
    </row>
    <row r="1216" spans="3:14" x14ac:dyDescent="0.25">
      <c r="C1216" t="str">
        <f>IF(COUNTBLANK(E1216:K1216) = 7,"",IF(AND(NOT(ISBLANK(E1216)),COUNTBLANK(E1216:K1216) = 6),"3 Delete",IF(ISBLANK(E1216),"2 Add",IF(SHA1Range(E1216:K1216) = "a16e22a4f3b75b4e8d5be818efce765ae58c7ea7","0 Original","1 Modify"))))</f>
        <v>0 Original</v>
      </c>
      <c r="D1216" s="5" t="s">
        <v>3455</v>
      </c>
      <c r="E1216" s="3">
        <v>2413</v>
      </c>
      <c r="F1216" t="s">
        <v>1329</v>
      </c>
      <c r="G1216" t="s">
        <v>687</v>
      </c>
      <c r="H1216" s="9">
        <v>9.99</v>
      </c>
      <c r="I1216" s="3">
        <v>1</v>
      </c>
      <c r="J1216" s="5" t="s">
        <v>68</v>
      </c>
      <c r="K1216" s="15">
        <v>41859.960462962961</v>
      </c>
      <c r="L1216" s="20">
        <f t="shared" si="54"/>
        <v>41859</v>
      </c>
      <c r="M1216" t="str">
        <f t="shared" si="55"/>
        <v>08-2014</v>
      </c>
      <c r="N1216">
        <f t="shared" si="56"/>
        <v>9.99</v>
      </c>
    </row>
    <row r="1217" spans="3:14" x14ac:dyDescent="0.25">
      <c r="C1217" t="str">
        <f>IF(COUNTBLANK(E1217:K1217) = 7,"",IF(AND(NOT(ISBLANK(E1217)),COUNTBLANK(E1217:K1217) = 6),"3 Delete",IF(ISBLANK(E1217),"2 Add",IF(SHA1Range(E1217:K1217) = "f1d7b4af9ab9685cb16f2f9af2e4c5fd2be30d8b","0 Original","1 Modify"))))</f>
        <v>0 Original</v>
      </c>
      <c r="D1217" s="5" t="s">
        <v>3456</v>
      </c>
      <c r="E1217" s="3">
        <v>2414</v>
      </c>
      <c r="F1217" t="s">
        <v>1329</v>
      </c>
      <c r="G1217" t="s">
        <v>749</v>
      </c>
      <c r="H1217" s="9">
        <v>5.99</v>
      </c>
      <c r="I1217" s="3">
        <v>1</v>
      </c>
      <c r="J1217" s="5" t="s">
        <v>68</v>
      </c>
      <c r="K1217" s="15">
        <v>41859.960462962961</v>
      </c>
      <c r="L1217" s="20">
        <f t="shared" si="54"/>
        <v>41859</v>
      </c>
      <c r="M1217" t="str">
        <f t="shared" si="55"/>
        <v>08-2014</v>
      </c>
      <c r="N1217">
        <f t="shared" si="56"/>
        <v>5.99</v>
      </c>
    </row>
    <row r="1218" spans="3:14" x14ac:dyDescent="0.25">
      <c r="C1218" t="str">
        <f>IF(COUNTBLANK(E1218:K1218) = 7,"",IF(AND(NOT(ISBLANK(E1218)),COUNTBLANK(E1218:K1218) = 6),"3 Delete",IF(ISBLANK(E1218),"2 Add",IF(SHA1Range(E1218:K1218) = "181f149c45e49440aa2b7ca792b44ddf1317a274","0 Original","1 Modify"))))</f>
        <v>0 Original</v>
      </c>
      <c r="D1218" s="5" t="s">
        <v>3457</v>
      </c>
      <c r="E1218" s="3">
        <v>2415</v>
      </c>
      <c r="F1218" t="s">
        <v>1329</v>
      </c>
      <c r="G1218" t="s">
        <v>687</v>
      </c>
      <c r="H1218" s="9">
        <v>9.99</v>
      </c>
      <c r="I1218" s="3">
        <v>1</v>
      </c>
      <c r="J1218" s="5" t="s">
        <v>68</v>
      </c>
      <c r="K1218" s="15">
        <v>41859.960462962961</v>
      </c>
      <c r="L1218" s="20">
        <f t="shared" si="54"/>
        <v>41859</v>
      </c>
      <c r="M1218" t="str">
        <f t="shared" si="55"/>
        <v>08-2014</v>
      </c>
      <c r="N1218">
        <f t="shared" si="56"/>
        <v>9.99</v>
      </c>
    </row>
    <row r="1219" spans="3:14" x14ac:dyDescent="0.25">
      <c r="C1219" t="str">
        <f>IF(COUNTBLANK(E1219:K1219) = 7,"",IF(AND(NOT(ISBLANK(E1219)),COUNTBLANK(E1219:K1219) = 6),"3 Delete",IF(ISBLANK(E1219),"2 Add",IF(SHA1Range(E1219:K1219) = "aefe3e6bb843dd3a1f6cc011e74258e635c74393","0 Original","1 Modify"))))</f>
        <v>0 Original</v>
      </c>
      <c r="D1219" s="5" t="s">
        <v>3458</v>
      </c>
      <c r="E1219" s="3">
        <v>2416</v>
      </c>
      <c r="F1219" t="s">
        <v>1329</v>
      </c>
      <c r="G1219" t="s">
        <v>707</v>
      </c>
      <c r="H1219" s="9">
        <v>7.99</v>
      </c>
      <c r="I1219" s="3">
        <v>1</v>
      </c>
      <c r="J1219" s="5" t="s">
        <v>68</v>
      </c>
      <c r="K1219" s="15">
        <v>41859.960462962961</v>
      </c>
      <c r="L1219" s="20">
        <f t="shared" ref="L1219:L1282" si="57">DATEVALUE(LEFT(F1219,10))</f>
        <v>41859</v>
      </c>
      <c r="M1219" t="str">
        <f t="shared" ref="M1219:M1282" si="58">TEXT(L1219,"mm-yyyy")</f>
        <v>08-2014</v>
      </c>
      <c r="N1219">
        <f t="shared" ref="N1219:N1282" si="59">H1219*I1219</f>
        <v>7.99</v>
      </c>
    </row>
    <row r="1220" spans="3:14" x14ac:dyDescent="0.25">
      <c r="C1220" t="str">
        <f>IF(COUNTBLANK(E1220:K1220) = 7,"",IF(AND(NOT(ISBLANK(E1220)),COUNTBLANK(E1220:K1220) = 6),"3 Delete",IF(ISBLANK(E1220),"2 Add",IF(SHA1Range(E1220:K1220) = "50b1549bdacebf108f983fd692e3d77da420f2ee","0 Original","1 Modify"))))</f>
        <v>0 Original</v>
      </c>
      <c r="D1220" s="5" t="s">
        <v>4192</v>
      </c>
      <c r="E1220" s="3">
        <v>745</v>
      </c>
      <c r="F1220" t="s">
        <v>1330</v>
      </c>
      <c r="G1220" t="s">
        <v>854</v>
      </c>
      <c r="H1220" s="9">
        <v>8.99</v>
      </c>
      <c r="I1220" s="3">
        <v>1</v>
      </c>
      <c r="J1220" s="5" t="s">
        <v>68</v>
      </c>
      <c r="K1220" s="15">
        <v>41861.014999999999</v>
      </c>
      <c r="L1220" s="20">
        <f t="shared" si="57"/>
        <v>41861</v>
      </c>
      <c r="M1220" t="str">
        <f t="shared" si="58"/>
        <v>08-2014</v>
      </c>
      <c r="N1220">
        <f t="shared" si="59"/>
        <v>8.99</v>
      </c>
    </row>
    <row r="1221" spans="3:14" x14ac:dyDescent="0.25">
      <c r="C1221" t="str">
        <f>IF(COUNTBLANK(E1221:K1221) = 7,"",IF(AND(NOT(ISBLANK(E1221)),COUNTBLANK(E1221:K1221) = 6),"3 Delete",IF(ISBLANK(E1221),"2 Add",IF(SHA1Range(E1221:K1221) = "5dd4416c03a30142179fd8f2308d1f26e08e3c99","0 Original","1 Modify"))))</f>
        <v>0 Original</v>
      </c>
      <c r="D1221" s="5" t="s">
        <v>4193</v>
      </c>
      <c r="E1221" s="3">
        <v>746</v>
      </c>
      <c r="F1221" t="s">
        <v>1330</v>
      </c>
      <c r="G1221" t="s">
        <v>781</v>
      </c>
      <c r="H1221" s="9">
        <v>5.99</v>
      </c>
      <c r="I1221" s="3">
        <v>2</v>
      </c>
      <c r="J1221" s="5" t="s">
        <v>68</v>
      </c>
      <c r="K1221" s="15">
        <v>41861.014999999999</v>
      </c>
      <c r="L1221" s="20">
        <f t="shared" si="57"/>
        <v>41861</v>
      </c>
      <c r="M1221" t="str">
        <f t="shared" si="58"/>
        <v>08-2014</v>
      </c>
      <c r="N1221">
        <f t="shared" si="59"/>
        <v>11.98</v>
      </c>
    </row>
    <row r="1222" spans="3:14" x14ac:dyDescent="0.25">
      <c r="C1222" t="str">
        <f>IF(COUNTBLANK(E1222:K1222) = 7,"",IF(AND(NOT(ISBLANK(E1222)),COUNTBLANK(E1222:K1222) = 6),"3 Delete",IF(ISBLANK(E1222),"2 Add",IF(SHA1Range(E1222:K1222) = "5726068af91295523855358b5fb31364c8e593a8","0 Original","1 Modify"))))</f>
        <v>0 Original</v>
      </c>
      <c r="D1222" s="5" t="s">
        <v>4194</v>
      </c>
      <c r="E1222" s="3">
        <v>747</v>
      </c>
      <c r="F1222" t="s">
        <v>1330</v>
      </c>
      <c r="G1222" t="s">
        <v>697</v>
      </c>
      <c r="H1222" s="9">
        <v>5.99</v>
      </c>
      <c r="I1222" s="3">
        <v>1</v>
      </c>
      <c r="J1222" s="5" t="s">
        <v>68</v>
      </c>
      <c r="K1222" s="15">
        <v>41861.014999999999</v>
      </c>
      <c r="L1222" s="20">
        <f t="shared" si="57"/>
        <v>41861</v>
      </c>
      <c r="M1222" t="str">
        <f t="shared" si="58"/>
        <v>08-2014</v>
      </c>
      <c r="N1222">
        <f t="shared" si="59"/>
        <v>5.99</v>
      </c>
    </row>
    <row r="1223" spans="3:14" x14ac:dyDescent="0.25">
      <c r="C1223" t="str">
        <f>IF(COUNTBLANK(E1223:K1223) = 7,"",IF(AND(NOT(ISBLANK(E1223)),COUNTBLANK(E1223:K1223) = 6),"3 Delete",IF(ISBLANK(E1223),"2 Add",IF(SHA1Range(E1223:K1223) = "ae7136d1f4bd62dfcb4c316f74ee1baf07b59ed3","0 Original","1 Modify"))))</f>
        <v>0 Original</v>
      </c>
      <c r="D1223" s="5" t="s">
        <v>4195</v>
      </c>
      <c r="E1223" s="3">
        <v>748</v>
      </c>
      <c r="F1223" t="s">
        <v>1330</v>
      </c>
      <c r="G1223" t="s">
        <v>732</v>
      </c>
      <c r="H1223" s="9">
        <v>9.99</v>
      </c>
      <c r="I1223" s="3">
        <v>1</v>
      </c>
      <c r="J1223" s="5" t="s">
        <v>68</v>
      </c>
      <c r="K1223" s="15">
        <v>41861.014999999999</v>
      </c>
      <c r="L1223" s="20">
        <f t="shared" si="57"/>
        <v>41861</v>
      </c>
      <c r="M1223" t="str">
        <f t="shared" si="58"/>
        <v>08-2014</v>
      </c>
      <c r="N1223">
        <f t="shared" si="59"/>
        <v>9.99</v>
      </c>
    </row>
    <row r="1224" spans="3:14" x14ac:dyDescent="0.25">
      <c r="C1224" t="str">
        <f>IF(COUNTBLANK(E1224:K1224) = 7,"",IF(AND(NOT(ISBLANK(E1224)),COUNTBLANK(E1224:K1224) = 6),"3 Delete",IF(ISBLANK(E1224),"2 Add",IF(SHA1Range(E1224:K1224) = "6127f3e5074747c091197dfeba99be5f63d174b4","0 Original","1 Modify"))))</f>
        <v>0 Original</v>
      </c>
      <c r="D1224" s="5" t="s">
        <v>3459</v>
      </c>
      <c r="E1224" s="3">
        <v>749</v>
      </c>
      <c r="F1224" t="s">
        <v>1330</v>
      </c>
      <c r="G1224" t="s">
        <v>570</v>
      </c>
      <c r="H1224" s="9">
        <v>6.99</v>
      </c>
      <c r="I1224" s="3">
        <v>2</v>
      </c>
      <c r="J1224" s="5" t="s">
        <v>68</v>
      </c>
      <c r="K1224" s="15">
        <v>41861.014999999999</v>
      </c>
      <c r="L1224" s="20">
        <f t="shared" si="57"/>
        <v>41861</v>
      </c>
      <c r="M1224" t="str">
        <f t="shared" si="58"/>
        <v>08-2014</v>
      </c>
      <c r="N1224">
        <f t="shared" si="59"/>
        <v>13.98</v>
      </c>
    </row>
    <row r="1225" spans="3:14" x14ac:dyDescent="0.25">
      <c r="C1225" t="str">
        <f>IF(COUNTBLANK(E1225:K1225) = 7,"",IF(AND(NOT(ISBLANK(E1225)),COUNTBLANK(E1225:K1225) = 6),"3 Delete",IF(ISBLANK(E1225),"2 Add",IF(SHA1Range(E1225:K1225) = "8e55c9d6bd9a5be0262813ded817603c85fb8aca","0 Original","1 Modify"))))</f>
        <v>0 Original</v>
      </c>
      <c r="D1225" s="5" t="s">
        <v>3460</v>
      </c>
      <c r="E1225" s="3">
        <v>1860</v>
      </c>
      <c r="F1225" t="s">
        <v>1331</v>
      </c>
      <c r="G1225" t="s">
        <v>955</v>
      </c>
      <c r="H1225" s="9">
        <v>8.99</v>
      </c>
      <c r="I1225" s="3">
        <v>1</v>
      </c>
      <c r="J1225" s="5" t="s">
        <v>68</v>
      </c>
      <c r="K1225" s="15">
        <v>41861.183599537035</v>
      </c>
      <c r="L1225" s="20">
        <f t="shared" si="57"/>
        <v>41861</v>
      </c>
      <c r="M1225" t="str">
        <f t="shared" si="58"/>
        <v>08-2014</v>
      </c>
      <c r="N1225">
        <f t="shared" si="59"/>
        <v>8.99</v>
      </c>
    </row>
    <row r="1226" spans="3:14" x14ac:dyDescent="0.25">
      <c r="C1226" t="str">
        <f>IF(COUNTBLANK(E1226:K1226) = 7,"",IF(AND(NOT(ISBLANK(E1226)),COUNTBLANK(E1226:K1226) = 6),"3 Delete",IF(ISBLANK(E1226),"2 Add",IF(SHA1Range(E1226:K1226) = "3c5f04fe3b010e643e9f8e1186c4230d30673789","0 Original","1 Modify"))))</f>
        <v>0 Original</v>
      </c>
      <c r="D1226" s="5" t="s">
        <v>3461</v>
      </c>
      <c r="E1226" s="3">
        <v>1861</v>
      </c>
      <c r="F1226" t="s">
        <v>1331</v>
      </c>
      <c r="G1226" t="s">
        <v>942</v>
      </c>
      <c r="H1226" s="9">
        <v>6.99</v>
      </c>
      <c r="I1226" s="3">
        <v>1</v>
      </c>
      <c r="J1226" s="5" t="s">
        <v>68</v>
      </c>
      <c r="K1226" s="15">
        <v>41861.183599537035</v>
      </c>
      <c r="L1226" s="20">
        <f t="shared" si="57"/>
        <v>41861</v>
      </c>
      <c r="M1226" t="str">
        <f t="shared" si="58"/>
        <v>08-2014</v>
      </c>
      <c r="N1226">
        <f t="shared" si="59"/>
        <v>6.99</v>
      </c>
    </row>
    <row r="1227" spans="3:14" x14ac:dyDescent="0.25">
      <c r="C1227" t="str">
        <f>IF(COUNTBLANK(E1227:K1227) = 7,"",IF(AND(NOT(ISBLANK(E1227)),COUNTBLANK(E1227:K1227) = 6),"3 Delete",IF(ISBLANK(E1227),"2 Add",IF(SHA1Range(E1227:K1227) = "9f5e9dd63fd54049ce8fafa35b114697d2753e70","0 Original","1 Modify"))))</f>
        <v>0 Original</v>
      </c>
      <c r="D1227" s="5" t="s">
        <v>3462</v>
      </c>
      <c r="E1227" s="3">
        <v>1404</v>
      </c>
      <c r="F1227" t="s">
        <v>1332</v>
      </c>
      <c r="G1227" t="s">
        <v>588</v>
      </c>
      <c r="H1227" s="9">
        <v>4.99</v>
      </c>
      <c r="I1227" s="3">
        <v>1</v>
      </c>
      <c r="J1227" s="5" t="s">
        <v>68</v>
      </c>
      <c r="K1227" s="15">
        <v>41861.225925925923</v>
      </c>
      <c r="L1227" s="20">
        <f t="shared" si="57"/>
        <v>41861</v>
      </c>
      <c r="M1227" t="str">
        <f t="shared" si="58"/>
        <v>08-2014</v>
      </c>
      <c r="N1227">
        <f t="shared" si="59"/>
        <v>4.99</v>
      </c>
    </row>
    <row r="1228" spans="3:14" x14ac:dyDescent="0.25">
      <c r="C1228" t="str">
        <f>IF(COUNTBLANK(E1228:K1228) = 7,"",IF(AND(NOT(ISBLANK(E1228)),COUNTBLANK(E1228:K1228) = 6),"3 Delete",IF(ISBLANK(E1228),"2 Add",IF(SHA1Range(E1228:K1228) = "6dec8f2b63a6c91ef32c0d99d28f9016b1e1f6a4","0 Original","1 Modify"))))</f>
        <v>0 Original</v>
      </c>
      <c r="D1228" s="5" t="s">
        <v>3463</v>
      </c>
      <c r="E1228" s="3">
        <v>1405</v>
      </c>
      <c r="F1228" t="s">
        <v>1332</v>
      </c>
      <c r="G1228" t="s">
        <v>654</v>
      </c>
      <c r="H1228" s="9">
        <v>5.99</v>
      </c>
      <c r="I1228" s="3">
        <v>2</v>
      </c>
      <c r="J1228" s="5" t="s">
        <v>68</v>
      </c>
      <c r="K1228" s="15">
        <v>41861.225925925923</v>
      </c>
      <c r="L1228" s="20">
        <f t="shared" si="57"/>
        <v>41861</v>
      </c>
      <c r="M1228" t="str">
        <f t="shared" si="58"/>
        <v>08-2014</v>
      </c>
      <c r="N1228">
        <f t="shared" si="59"/>
        <v>11.98</v>
      </c>
    </row>
    <row r="1229" spans="3:14" x14ac:dyDescent="0.25">
      <c r="C1229" t="str">
        <f>IF(COUNTBLANK(E1229:K1229) = 7,"",IF(AND(NOT(ISBLANK(E1229)),COUNTBLANK(E1229:K1229) = 6),"3 Delete",IF(ISBLANK(E1229),"2 Add",IF(SHA1Range(E1229:K1229) = "402ae1dc19445dcb49b0a0dc2a26663cab121678","0 Original","1 Modify"))))</f>
        <v>0 Original</v>
      </c>
      <c r="D1229" s="5" t="s">
        <v>3464</v>
      </c>
      <c r="E1229" s="3">
        <v>1406</v>
      </c>
      <c r="F1229" t="s">
        <v>1332</v>
      </c>
      <c r="G1229" t="s">
        <v>945</v>
      </c>
      <c r="H1229" s="9">
        <v>4.99</v>
      </c>
      <c r="I1229" s="3">
        <v>1</v>
      </c>
      <c r="J1229" s="5" t="s">
        <v>68</v>
      </c>
      <c r="K1229" s="15">
        <v>41861.225925925923</v>
      </c>
      <c r="L1229" s="20">
        <f t="shared" si="57"/>
        <v>41861</v>
      </c>
      <c r="M1229" t="str">
        <f t="shared" si="58"/>
        <v>08-2014</v>
      </c>
      <c r="N1229">
        <f t="shared" si="59"/>
        <v>4.99</v>
      </c>
    </row>
    <row r="1230" spans="3:14" x14ac:dyDescent="0.25">
      <c r="C1230" t="str">
        <f>IF(COUNTBLANK(E1230:K1230) = 7,"",IF(AND(NOT(ISBLANK(E1230)),COUNTBLANK(E1230:K1230) = 6),"3 Delete",IF(ISBLANK(E1230),"2 Add",IF(SHA1Range(E1230:K1230) = "85b98ccbbfea270343795990f6859f1d76f268fd","0 Original","1 Modify"))))</f>
        <v>0 Original</v>
      </c>
      <c r="D1230" s="5" t="s">
        <v>3465</v>
      </c>
      <c r="E1230" s="3">
        <v>1407</v>
      </c>
      <c r="F1230" t="s">
        <v>1332</v>
      </c>
      <c r="G1230" t="s">
        <v>693</v>
      </c>
      <c r="H1230" s="9">
        <v>7.99</v>
      </c>
      <c r="I1230" s="3">
        <v>2</v>
      </c>
      <c r="J1230" s="5" t="s">
        <v>68</v>
      </c>
      <c r="K1230" s="15">
        <v>41861.225925925923</v>
      </c>
      <c r="L1230" s="20">
        <f t="shared" si="57"/>
        <v>41861</v>
      </c>
      <c r="M1230" t="str">
        <f t="shared" si="58"/>
        <v>08-2014</v>
      </c>
      <c r="N1230">
        <f t="shared" si="59"/>
        <v>15.98</v>
      </c>
    </row>
    <row r="1231" spans="3:14" x14ac:dyDescent="0.25">
      <c r="C1231" t="str">
        <f>IF(COUNTBLANK(E1231:K1231) = 7,"",IF(AND(NOT(ISBLANK(E1231)),COUNTBLANK(E1231:K1231) = 6),"3 Delete",IF(ISBLANK(E1231),"2 Add",IF(SHA1Range(E1231:K1231) = "755448dd473655c129fe3053a148551b4dde3817","0 Original","1 Modify"))))</f>
        <v>0 Original</v>
      </c>
      <c r="D1231" s="5" t="s">
        <v>3466</v>
      </c>
      <c r="E1231" s="3">
        <v>2803</v>
      </c>
      <c r="F1231" t="s">
        <v>1333</v>
      </c>
      <c r="G1231" t="s">
        <v>642</v>
      </c>
      <c r="H1231" s="9">
        <v>9.99</v>
      </c>
      <c r="I1231" s="3">
        <v>1</v>
      </c>
      <c r="J1231" s="5" t="s">
        <v>68</v>
      </c>
      <c r="K1231" s="15">
        <v>41861.248495370368</v>
      </c>
      <c r="L1231" s="20">
        <f t="shared" si="57"/>
        <v>41861</v>
      </c>
      <c r="M1231" t="str">
        <f t="shared" si="58"/>
        <v>08-2014</v>
      </c>
      <c r="N1231">
        <f t="shared" si="59"/>
        <v>9.99</v>
      </c>
    </row>
    <row r="1232" spans="3:14" x14ac:dyDescent="0.25">
      <c r="C1232" t="str">
        <f>IF(COUNTBLANK(E1232:K1232) = 7,"",IF(AND(NOT(ISBLANK(E1232)),COUNTBLANK(E1232:K1232) = 6),"3 Delete",IF(ISBLANK(E1232),"2 Add",IF(SHA1Range(E1232:K1232) = "6ecf99021443df5d793e71cb3790ac3d0be85a96","0 Original","1 Modify"))))</f>
        <v>0 Original</v>
      </c>
      <c r="D1232" s="5" t="s">
        <v>3467</v>
      </c>
      <c r="E1232" s="3">
        <v>2804</v>
      </c>
      <c r="F1232" t="s">
        <v>1333</v>
      </c>
      <c r="G1232" t="s">
        <v>749</v>
      </c>
      <c r="H1232" s="9">
        <v>5.99</v>
      </c>
      <c r="I1232" s="3">
        <v>2</v>
      </c>
      <c r="J1232" s="5" t="s">
        <v>68</v>
      </c>
      <c r="K1232" s="15">
        <v>41861.248495370368</v>
      </c>
      <c r="L1232" s="20">
        <f t="shared" si="57"/>
        <v>41861</v>
      </c>
      <c r="M1232" t="str">
        <f t="shared" si="58"/>
        <v>08-2014</v>
      </c>
      <c r="N1232">
        <f t="shared" si="59"/>
        <v>11.98</v>
      </c>
    </row>
    <row r="1233" spans="3:14" x14ac:dyDescent="0.25">
      <c r="C1233" t="str">
        <f>IF(COUNTBLANK(E1233:K1233) = 7,"",IF(AND(NOT(ISBLANK(E1233)),COUNTBLANK(E1233:K1233) = 6),"3 Delete",IF(ISBLANK(E1233),"2 Add",IF(SHA1Range(E1233:K1233) = "38e3a137f92f44fc37190cf384313505e55a4eb8","0 Original","1 Modify"))))</f>
        <v>0 Original</v>
      </c>
      <c r="D1233" s="5" t="s">
        <v>3468</v>
      </c>
      <c r="E1233" s="3">
        <v>2805</v>
      </c>
      <c r="F1233" t="s">
        <v>1333</v>
      </c>
      <c r="G1233" t="s">
        <v>373</v>
      </c>
      <c r="H1233" s="9">
        <v>7.99</v>
      </c>
      <c r="I1233" s="3">
        <v>1</v>
      </c>
      <c r="J1233" s="5" t="s">
        <v>68</v>
      </c>
      <c r="K1233" s="15">
        <v>41861.248495370368</v>
      </c>
      <c r="L1233" s="20">
        <f t="shared" si="57"/>
        <v>41861</v>
      </c>
      <c r="M1233" t="str">
        <f t="shared" si="58"/>
        <v>08-2014</v>
      </c>
      <c r="N1233">
        <f t="shared" si="59"/>
        <v>7.99</v>
      </c>
    </row>
    <row r="1234" spans="3:14" x14ac:dyDescent="0.25">
      <c r="C1234" t="str">
        <f>IF(COUNTBLANK(E1234:K1234) = 7,"",IF(AND(NOT(ISBLANK(E1234)),COUNTBLANK(E1234:K1234) = 6),"3 Delete",IF(ISBLANK(E1234),"2 Add",IF(SHA1Range(E1234:K1234) = "e835d23abcf872b8a5088b73a1ab88246b9981e8","0 Original","1 Modify"))))</f>
        <v>0 Original</v>
      </c>
      <c r="D1234" s="5" t="s">
        <v>3469</v>
      </c>
      <c r="E1234" s="3">
        <v>2806</v>
      </c>
      <c r="F1234" t="s">
        <v>1333</v>
      </c>
      <c r="G1234" t="s">
        <v>687</v>
      </c>
      <c r="H1234" s="9">
        <v>9.99</v>
      </c>
      <c r="I1234" s="3">
        <v>1</v>
      </c>
      <c r="J1234" s="5" t="s">
        <v>68</v>
      </c>
      <c r="K1234" s="15">
        <v>41861.248495370368</v>
      </c>
      <c r="L1234" s="20">
        <f t="shared" si="57"/>
        <v>41861</v>
      </c>
      <c r="M1234" t="str">
        <f t="shared" si="58"/>
        <v>08-2014</v>
      </c>
      <c r="N1234">
        <f t="shared" si="59"/>
        <v>9.99</v>
      </c>
    </row>
    <row r="1235" spans="3:14" x14ac:dyDescent="0.25">
      <c r="C1235" t="str">
        <f>IF(COUNTBLANK(E1235:K1235) = 7,"",IF(AND(NOT(ISBLANK(E1235)),COUNTBLANK(E1235:K1235) = 6),"3 Delete",IF(ISBLANK(E1235),"2 Add",IF(SHA1Range(E1235:K1235) = "79893a923f3e46037eec76f58c0eebea8e74ab81","0 Original","1 Modify"))))</f>
        <v>0 Original</v>
      </c>
      <c r="D1235" s="5" t="s">
        <v>3470</v>
      </c>
      <c r="E1235" s="3">
        <v>2807</v>
      </c>
      <c r="F1235" t="s">
        <v>1333</v>
      </c>
      <c r="G1235" t="s">
        <v>373</v>
      </c>
      <c r="H1235" s="9">
        <v>7.99</v>
      </c>
      <c r="I1235" s="3">
        <v>1</v>
      </c>
      <c r="J1235" s="5" t="s">
        <v>68</v>
      </c>
      <c r="K1235" s="15">
        <v>41861.248495370368</v>
      </c>
      <c r="L1235" s="20">
        <f t="shared" si="57"/>
        <v>41861</v>
      </c>
      <c r="M1235" t="str">
        <f t="shared" si="58"/>
        <v>08-2014</v>
      </c>
      <c r="N1235">
        <f t="shared" si="59"/>
        <v>7.99</v>
      </c>
    </row>
    <row r="1236" spans="3:14" x14ac:dyDescent="0.25">
      <c r="C1236" t="str">
        <f>IF(COUNTBLANK(E1236:K1236) = 7,"",IF(AND(NOT(ISBLANK(E1236)),COUNTBLANK(E1236:K1236) = 6),"3 Delete",IF(ISBLANK(E1236),"2 Add",IF(SHA1Range(E1236:K1236) = "4ef782167b4985864cebe7686511e1d748dcc1b4","0 Original","1 Modify"))))</f>
        <v>0 Original</v>
      </c>
      <c r="D1236" s="5" t="s">
        <v>3471</v>
      </c>
      <c r="E1236" s="3">
        <v>2808</v>
      </c>
      <c r="F1236" t="s">
        <v>1333</v>
      </c>
      <c r="G1236" t="s">
        <v>687</v>
      </c>
      <c r="H1236" s="9">
        <v>9.99</v>
      </c>
      <c r="I1236" s="3">
        <v>1</v>
      </c>
      <c r="J1236" s="5" t="s">
        <v>68</v>
      </c>
      <c r="K1236" s="15">
        <v>41861.248495370368</v>
      </c>
      <c r="L1236" s="20">
        <f t="shared" si="57"/>
        <v>41861</v>
      </c>
      <c r="M1236" t="str">
        <f t="shared" si="58"/>
        <v>08-2014</v>
      </c>
      <c r="N1236">
        <f t="shared" si="59"/>
        <v>9.99</v>
      </c>
    </row>
    <row r="1237" spans="3:14" x14ac:dyDescent="0.25">
      <c r="C1237" t="str">
        <f>IF(COUNTBLANK(E1237:K1237) = 7,"",IF(AND(NOT(ISBLANK(E1237)),COUNTBLANK(E1237:K1237) = 6),"3 Delete",IF(ISBLANK(E1237),"2 Add",IF(SHA1Range(E1237:K1237) = "fc5e27dc5c029b03a90b534b1c37adb908747ed0","0 Original","1 Modify"))))</f>
        <v>0 Original</v>
      </c>
      <c r="D1237" s="5" t="s">
        <v>3472</v>
      </c>
      <c r="E1237" s="3">
        <v>2979</v>
      </c>
      <c r="F1237" t="s">
        <v>1334</v>
      </c>
      <c r="G1237" t="s">
        <v>514</v>
      </c>
      <c r="H1237" s="9">
        <v>6.99</v>
      </c>
      <c r="I1237" s="3">
        <v>1</v>
      </c>
      <c r="J1237" s="5" t="s">
        <v>68</v>
      </c>
      <c r="K1237" s="15">
        <v>41863.083726851852</v>
      </c>
      <c r="L1237" s="20">
        <f t="shared" si="57"/>
        <v>41863</v>
      </c>
      <c r="M1237" t="str">
        <f t="shared" si="58"/>
        <v>08-2014</v>
      </c>
      <c r="N1237">
        <f t="shared" si="59"/>
        <v>6.99</v>
      </c>
    </row>
    <row r="1238" spans="3:14" x14ac:dyDescent="0.25">
      <c r="C1238" t="str">
        <f>IF(COUNTBLANK(E1238:K1238) = 7,"",IF(AND(NOT(ISBLANK(E1238)),COUNTBLANK(E1238:K1238) = 6),"3 Delete",IF(ISBLANK(E1238),"2 Add",IF(SHA1Range(E1238:K1238) = "2f4c37d03da45e56c90af811d56c1d4fa6b0d485","0 Original","1 Modify"))))</f>
        <v>0 Original</v>
      </c>
      <c r="D1238" s="5" t="s">
        <v>4196</v>
      </c>
      <c r="E1238" s="3">
        <v>725</v>
      </c>
      <c r="F1238" t="s">
        <v>1335</v>
      </c>
      <c r="G1238" t="s">
        <v>570</v>
      </c>
      <c r="H1238" s="9">
        <v>6.99</v>
      </c>
      <c r="I1238" s="3">
        <v>2</v>
      </c>
      <c r="J1238" s="5" t="s">
        <v>68</v>
      </c>
      <c r="K1238" s="15">
        <v>41863.435613425929</v>
      </c>
      <c r="L1238" s="20">
        <f t="shared" si="57"/>
        <v>41863</v>
      </c>
      <c r="M1238" t="str">
        <f t="shared" si="58"/>
        <v>08-2014</v>
      </c>
      <c r="N1238">
        <f t="shared" si="59"/>
        <v>13.98</v>
      </c>
    </row>
    <row r="1239" spans="3:14" x14ac:dyDescent="0.25">
      <c r="C1239" t="str">
        <f>IF(COUNTBLANK(E1239:K1239) = 7,"",IF(AND(NOT(ISBLANK(E1239)),COUNTBLANK(E1239:K1239) = 6),"3 Delete",IF(ISBLANK(E1239),"2 Add",IF(SHA1Range(E1239:K1239) = "b43d06924bc3c7d77222e82579107b2e74e4ff5b","0 Original","1 Modify"))))</f>
        <v>0 Original</v>
      </c>
      <c r="D1239" s="5" t="s">
        <v>4197</v>
      </c>
      <c r="E1239" s="3">
        <v>726</v>
      </c>
      <c r="F1239" t="s">
        <v>1335</v>
      </c>
      <c r="G1239" t="s">
        <v>945</v>
      </c>
      <c r="H1239" s="9">
        <v>4.99</v>
      </c>
      <c r="I1239" s="3">
        <v>2</v>
      </c>
      <c r="J1239" s="5" t="s">
        <v>68</v>
      </c>
      <c r="K1239" s="15">
        <v>41863.435613425929</v>
      </c>
      <c r="L1239" s="20">
        <f t="shared" si="57"/>
        <v>41863</v>
      </c>
      <c r="M1239" t="str">
        <f t="shared" si="58"/>
        <v>08-2014</v>
      </c>
      <c r="N1239">
        <f t="shared" si="59"/>
        <v>9.98</v>
      </c>
    </row>
    <row r="1240" spans="3:14" x14ac:dyDescent="0.25">
      <c r="C1240" t="str">
        <f>IF(COUNTBLANK(E1240:K1240) = 7,"",IF(AND(NOT(ISBLANK(E1240)),COUNTBLANK(E1240:K1240) = 6),"3 Delete",IF(ISBLANK(E1240),"2 Add",IF(SHA1Range(E1240:K1240) = "36e7420b33840bacc9f485613820e9e4afad7d48","0 Original","1 Modify"))))</f>
        <v>0 Original</v>
      </c>
      <c r="D1240" s="5" t="s">
        <v>3473</v>
      </c>
      <c r="E1240" s="3">
        <v>1975</v>
      </c>
      <c r="F1240" t="s">
        <v>1336</v>
      </c>
      <c r="G1240" t="s">
        <v>891</v>
      </c>
      <c r="H1240" s="9">
        <v>8.99</v>
      </c>
      <c r="I1240" s="3">
        <v>1</v>
      </c>
      <c r="J1240" s="5" t="s">
        <v>68</v>
      </c>
      <c r="K1240" s="15">
        <v>41864.367719907408</v>
      </c>
      <c r="L1240" s="20">
        <f t="shared" si="57"/>
        <v>41864</v>
      </c>
      <c r="M1240" t="str">
        <f t="shared" si="58"/>
        <v>08-2014</v>
      </c>
      <c r="N1240">
        <f t="shared" si="59"/>
        <v>8.99</v>
      </c>
    </row>
    <row r="1241" spans="3:14" x14ac:dyDescent="0.25">
      <c r="C1241" t="str">
        <f>IF(COUNTBLANK(E1241:K1241) = 7,"",IF(AND(NOT(ISBLANK(E1241)),COUNTBLANK(E1241:K1241) = 6),"3 Delete",IF(ISBLANK(E1241),"2 Add",IF(SHA1Range(E1241:K1241) = "d7e56731ac1d0e017a8cae54d5cb8779ceb7749d","0 Original","1 Modify"))))</f>
        <v>0 Original</v>
      </c>
      <c r="D1241" s="5" t="s">
        <v>3474</v>
      </c>
      <c r="E1241" s="3">
        <v>1976</v>
      </c>
      <c r="F1241" t="s">
        <v>1336</v>
      </c>
      <c r="G1241" t="s">
        <v>891</v>
      </c>
      <c r="H1241" s="9">
        <v>8.99</v>
      </c>
      <c r="I1241" s="3">
        <v>2</v>
      </c>
      <c r="J1241" s="5" t="s">
        <v>68</v>
      </c>
      <c r="K1241" s="15">
        <v>41864.367719907408</v>
      </c>
      <c r="L1241" s="20">
        <f t="shared" si="57"/>
        <v>41864</v>
      </c>
      <c r="M1241" t="str">
        <f t="shared" si="58"/>
        <v>08-2014</v>
      </c>
      <c r="N1241">
        <f t="shared" si="59"/>
        <v>17.98</v>
      </c>
    </row>
    <row r="1242" spans="3:14" x14ac:dyDescent="0.25">
      <c r="C1242" t="str">
        <f>IF(COUNTBLANK(E1242:K1242) = 7,"",IF(AND(NOT(ISBLANK(E1242)),COUNTBLANK(E1242:K1242) = 6),"3 Delete",IF(ISBLANK(E1242),"2 Add",IF(SHA1Range(E1242:K1242) = "b9389a863bb80fa6a49f000ff78c1091e915d87d","0 Original","1 Modify"))))</f>
        <v>0 Original</v>
      </c>
      <c r="D1242" s="5" t="s">
        <v>3475</v>
      </c>
      <c r="E1242" s="3">
        <v>1977</v>
      </c>
      <c r="F1242" t="s">
        <v>1336</v>
      </c>
      <c r="G1242" t="s">
        <v>869</v>
      </c>
      <c r="H1242" s="9">
        <v>4.99</v>
      </c>
      <c r="I1242" s="3">
        <v>1</v>
      </c>
      <c r="J1242" s="5" t="s">
        <v>68</v>
      </c>
      <c r="K1242" s="15">
        <v>41864.367719907408</v>
      </c>
      <c r="L1242" s="20">
        <f t="shared" si="57"/>
        <v>41864</v>
      </c>
      <c r="M1242" t="str">
        <f t="shared" si="58"/>
        <v>08-2014</v>
      </c>
      <c r="N1242">
        <f t="shared" si="59"/>
        <v>4.99</v>
      </c>
    </row>
    <row r="1243" spans="3:14" x14ac:dyDescent="0.25">
      <c r="C1243" t="str">
        <f>IF(COUNTBLANK(E1243:K1243) = 7,"",IF(AND(NOT(ISBLANK(E1243)),COUNTBLANK(E1243:K1243) = 6),"3 Delete",IF(ISBLANK(E1243),"2 Add",IF(SHA1Range(E1243:K1243) = "d7d93d0c4563c9dd163a160ed2769a273271f9fe","0 Original","1 Modify"))))</f>
        <v>0 Original</v>
      </c>
      <c r="D1243" s="5" t="s">
        <v>3476</v>
      </c>
      <c r="E1243" s="3">
        <v>1978</v>
      </c>
      <c r="F1243" t="s">
        <v>1336</v>
      </c>
      <c r="G1243" t="s">
        <v>570</v>
      </c>
      <c r="H1243" s="9">
        <v>6.99</v>
      </c>
      <c r="I1243" s="3">
        <v>1</v>
      </c>
      <c r="J1243" s="5" t="s">
        <v>68</v>
      </c>
      <c r="K1243" s="15">
        <v>41864.367719907408</v>
      </c>
      <c r="L1243" s="20">
        <f t="shared" si="57"/>
        <v>41864</v>
      </c>
      <c r="M1243" t="str">
        <f t="shared" si="58"/>
        <v>08-2014</v>
      </c>
      <c r="N1243">
        <f t="shared" si="59"/>
        <v>6.99</v>
      </c>
    </row>
    <row r="1244" spans="3:14" x14ac:dyDescent="0.25">
      <c r="C1244" t="str">
        <f>IF(COUNTBLANK(E1244:K1244) = 7,"",IF(AND(NOT(ISBLANK(E1244)),COUNTBLANK(E1244:K1244) = 6),"3 Delete",IF(ISBLANK(E1244),"2 Add",IF(SHA1Range(E1244:K1244) = "246b4fd2edeacc8be38923173c26dde4fb32ffc3","0 Original","1 Modify"))))</f>
        <v>0 Original</v>
      </c>
      <c r="D1244" s="5" t="s">
        <v>3477</v>
      </c>
      <c r="E1244" s="3">
        <v>1979</v>
      </c>
      <c r="F1244" t="s">
        <v>1336</v>
      </c>
      <c r="G1244" t="s">
        <v>690</v>
      </c>
      <c r="H1244" s="9">
        <v>7.99</v>
      </c>
      <c r="I1244" s="3">
        <v>1</v>
      </c>
      <c r="J1244" s="5" t="s">
        <v>68</v>
      </c>
      <c r="K1244" s="15">
        <v>41864.367719907408</v>
      </c>
      <c r="L1244" s="20">
        <f t="shared" si="57"/>
        <v>41864</v>
      </c>
      <c r="M1244" t="str">
        <f t="shared" si="58"/>
        <v>08-2014</v>
      </c>
      <c r="N1244">
        <f t="shared" si="59"/>
        <v>7.99</v>
      </c>
    </row>
    <row r="1245" spans="3:14" x14ac:dyDescent="0.25">
      <c r="C1245" t="str">
        <f>IF(COUNTBLANK(E1245:K1245) = 7,"",IF(AND(NOT(ISBLANK(E1245)),COUNTBLANK(E1245:K1245) = 6),"3 Delete",IF(ISBLANK(E1245),"2 Add",IF(SHA1Range(E1245:K1245) = "1ab6ee7e28200dc81a031163b38553a1b1fb85b9","0 Original","1 Modify"))))</f>
        <v>0 Original</v>
      </c>
      <c r="D1245" s="5" t="s">
        <v>3478</v>
      </c>
      <c r="E1245" s="3">
        <v>1980</v>
      </c>
      <c r="F1245" t="s">
        <v>1336</v>
      </c>
      <c r="G1245" t="s">
        <v>897</v>
      </c>
      <c r="H1245" s="9">
        <v>6.99</v>
      </c>
      <c r="I1245" s="3">
        <v>2</v>
      </c>
      <c r="J1245" s="5" t="s">
        <v>68</v>
      </c>
      <c r="K1245" s="15">
        <v>41864.367719907408</v>
      </c>
      <c r="L1245" s="20">
        <f t="shared" si="57"/>
        <v>41864</v>
      </c>
      <c r="M1245" t="str">
        <f t="shared" si="58"/>
        <v>08-2014</v>
      </c>
      <c r="N1245">
        <f t="shared" si="59"/>
        <v>13.98</v>
      </c>
    </row>
    <row r="1246" spans="3:14" x14ac:dyDescent="0.25">
      <c r="C1246" t="str">
        <f>IF(COUNTBLANK(E1246:K1246) = 7,"",IF(AND(NOT(ISBLANK(E1246)),COUNTBLANK(E1246:K1246) = 6),"3 Delete",IF(ISBLANK(E1246),"2 Add",IF(SHA1Range(E1246:K1246) = "1a086308ce871166a13c7c63724073022ede2172","0 Original","1 Modify"))))</f>
        <v>0 Original</v>
      </c>
      <c r="D1246" s="5" t="s">
        <v>3479</v>
      </c>
      <c r="E1246" s="3">
        <v>1981</v>
      </c>
      <c r="F1246" t="s">
        <v>1336</v>
      </c>
      <c r="G1246" t="s">
        <v>732</v>
      </c>
      <c r="H1246" s="9">
        <v>9.99</v>
      </c>
      <c r="I1246" s="3">
        <v>2</v>
      </c>
      <c r="J1246" s="5" t="s">
        <v>68</v>
      </c>
      <c r="K1246" s="15">
        <v>41864.367719907408</v>
      </c>
      <c r="L1246" s="20">
        <f t="shared" si="57"/>
        <v>41864</v>
      </c>
      <c r="M1246" t="str">
        <f t="shared" si="58"/>
        <v>08-2014</v>
      </c>
      <c r="N1246">
        <f t="shared" si="59"/>
        <v>19.98</v>
      </c>
    </row>
    <row r="1247" spans="3:14" x14ac:dyDescent="0.25">
      <c r="C1247" t="str">
        <f>IF(COUNTBLANK(E1247:K1247) = 7,"",IF(AND(NOT(ISBLANK(E1247)),COUNTBLANK(E1247:K1247) = 6),"3 Delete",IF(ISBLANK(E1247),"2 Add",IF(SHA1Range(E1247:K1247) = "bca46c3c72f670f324d51ba9c5b4521fb02b8047","0 Original","1 Modify"))))</f>
        <v>0 Original</v>
      </c>
      <c r="D1247" s="5" t="s">
        <v>3480</v>
      </c>
      <c r="E1247" s="3">
        <v>3518</v>
      </c>
      <c r="F1247" t="s">
        <v>1337</v>
      </c>
      <c r="G1247" t="s">
        <v>642</v>
      </c>
      <c r="H1247" s="9">
        <v>9.99</v>
      </c>
      <c r="I1247" s="3">
        <v>2</v>
      </c>
      <c r="J1247" s="5" t="s">
        <v>68</v>
      </c>
      <c r="K1247" s="15">
        <v>41865.143518518518</v>
      </c>
      <c r="L1247" s="20">
        <f t="shared" si="57"/>
        <v>41865</v>
      </c>
      <c r="M1247" t="str">
        <f t="shared" si="58"/>
        <v>08-2014</v>
      </c>
      <c r="N1247">
        <f t="shared" si="59"/>
        <v>19.98</v>
      </c>
    </row>
    <row r="1248" spans="3:14" x14ac:dyDescent="0.25">
      <c r="C1248" t="str">
        <f>IF(COUNTBLANK(E1248:K1248) = 7,"",IF(AND(NOT(ISBLANK(E1248)),COUNTBLANK(E1248:K1248) = 6),"3 Delete",IF(ISBLANK(E1248),"2 Add",IF(SHA1Range(E1248:K1248) = "fbbcb9f8b9ff55c22b1fdc86182bed2c5c4c4326","0 Original","1 Modify"))))</f>
        <v>0 Original</v>
      </c>
      <c r="D1248" s="5" t="s">
        <v>3481</v>
      </c>
      <c r="E1248" s="3">
        <v>3519</v>
      </c>
      <c r="F1248" t="s">
        <v>1337</v>
      </c>
      <c r="G1248" t="s">
        <v>749</v>
      </c>
      <c r="H1248" s="9">
        <v>5.99</v>
      </c>
      <c r="I1248" s="3">
        <v>2</v>
      </c>
      <c r="J1248" s="5" t="s">
        <v>68</v>
      </c>
      <c r="K1248" s="15">
        <v>41865.143518518518</v>
      </c>
      <c r="L1248" s="20">
        <f t="shared" si="57"/>
        <v>41865</v>
      </c>
      <c r="M1248" t="str">
        <f t="shared" si="58"/>
        <v>08-2014</v>
      </c>
      <c r="N1248">
        <f t="shared" si="59"/>
        <v>11.98</v>
      </c>
    </row>
    <row r="1249" spans="3:14" x14ac:dyDescent="0.25">
      <c r="C1249" t="str">
        <f>IF(COUNTBLANK(E1249:K1249) = 7,"",IF(AND(NOT(ISBLANK(E1249)),COUNTBLANK(E1249:K1249) = 6),"3 Delete",IF(ISBLANK(E1249),"2 Add",IF(SHA1Range(E1249:K1249) = "051c43abd53e29f6cc3238575e493c212d8d3225","0 Original","1 Modify"))))</f>
        <v>0 Original</v>
      </c>
      <c r="D1249" s="5" t="s">
        <v>3482</v>
      </c>
      <c r="E1249" s="3">
        <v>2685</v>
      </c>
      <c r="F1249" t="s">
        <v>1338</v>
      </c>
      <c r="G1249" t="s">
        <v>373</v>
      </c>
      <c r="H1249" s="9">
        <v>7.99</v>
      </c>
      <c r="I1249" s="3">
        <v>1</v>
      </c>
      <c r="J1249" s="5" t="s">
        <v>68</v>
      </c>
      <c r="K1249" s="15">
        <v>41865.204212962963</v>
      </c>
      <c r="L1249" s="20">
        <f t="shared" si="57"/>
        <v>41865</v>
      </c>
      <c r="M1249" t="str">
        <f t="shared" si="58"/>
        <v>08-2014</v>
      </c>
      <c r="N1249">
        <f t="shared" si="59"/>
        <v>7.99</v>
      </c>
    </row>
    <row r="1250" spans="3:14" x14ac:dyDescent="0.25">
      <c r="C1250" t="str">
        <f>IF(COUNTBLANK(E1250:K1250) = 7,"",IF(AND(NOT(ISBLANK(E1250)),COUNTBLANK(E1250:K1250) = 6),"3 Delete",IF(ISBLANK(E1250),"2 Add",IF(SHA1Range(E1250:K1250) = "82ae657eea7a64479bd02f81ab528e4ce665110a","0 Original","1 Modify"))))</f>
        <v>0 Original</v>
      </c>
      <c r="D1250" s="5" t="s">
        <v>3483</v>
      </c>
      <c r="E1250" s="3">
        <v>2686</v>
      </c>
      <c r="F1250" t="s">
        <v>1338</v>
      </c>
      <c r="G1250" t="s">
        <v>707</v>
      </c>
      <c r="H1250" s="9">
        <v>7.99</v>
      </c>
      <c r="I1250" s="3">
        <v>2</v>
      </c>
      <c r="J1250" s="5" t="s">
        <v>68</v>
      </c>
      <c r="K1250" s="15">
        <v>41865.204212962963</v>
      </c>
      <c r="L1250" s="20">
        <f t="shared" si="57"/>
        <v>41865</v>
      </c>
      <c r="M1250" t="str">
        <f t="shared" si="58"/>
        <v>08-2014</v>
      </c>
      <c r="N1250">
        <f t="shared" si="59"/>
        <v>15.98</v>
      </c>
    </row>
    <row r="1251" spans="3:14" x14ac:dyDescent="0.25">
      <c r="C1251" t="str">
        <f>IF(COUNTBLANK(E1251:K1251) = 7,"",IF(AND(NOT(ISBLANK(E1251)),COUNTBLANK(E1251:K1251) = 6),"3 Delete",IF(ISBLANK(E1251),"2 Add",IF(SHA1Range(E1251:K1251) = "b8f04d418e27adf630e01f152201d4edb0b7ccc7","0 Original","1 Modify"))))</f>
        <v>0 Original</v>
      </c>
      <c r="D1251" s="5" t="s">
        <v>3484</v>
      </c>
      <c r="E1251" s="3">
        <v>3293</v>
      </c>
      <c r="F1251" t="s">
        <v>1339</v>
      </c>
      <c r="G1251" t="s">
        <v>552</v>
      </c>
      <c r="H1251" s="9">
        <v>6.99</v>
      </c>
      <c r="I1251" s="3">
        <v>1</v>
      </c>
      <c r="J1251" s="5" t="s">
        <v>68</v>
      </c>
      <c r="K1251" s="15">
        <v>41865.22693287037</v>
      </c>
      <c r="L1251" s="20">
        <f t="shared" si="57"/>
        <v>41865</v>
      </c>
      <c r="M1251" t="str">
        <f t="shared" si="58"/>
        <v>08-2014</v>
      </c>
      <c r="N1251">
        <f t="shared" si="59"/>
        <v>6.99</v>
      </c>
    </row>
    <row r="1252" spans="3:14" x14ac:dyDescent="0.25">
      <c r="C1252" t="str">
        <f>IF(COUNTBLANK(E1252:K1252) = 7,"",IF(AND(NOT(ISBLANK(E1252)),COUNTBLANK(E1252:K1252) = 6),"3 Delete",IF(ISBLANK(E1252),"2 Add",IF(SHA1Range(E1252:K1252) = "c3bdeb88ecd6aabc9c0025437a7a62bc7acc0398","0 Original","1 Modify"))))</f>
        <v>0 Original</v>
      </c>
      <c r="D1252" s="5" t="s">
        <v>3485</v>
      </c>
      <c r="E1252" s="3">
        <v>3294</v>
      </c>
      <c r="F1252" t="s">
        <v>1339</v>
      </c>
      <c r="G1252" t="s">
        <v>749</v>
      </c>
      <c r="H1252" s="9">
        <v>5.99</v>
      </c>
      <c r="I1252" s="3">
        <v>1</v>
      </c>
      <c r="J1252" s="5" t="s">
        <v>68</v>
      </c>
      <c r="K1252" s="15">
        <v>41865.22693287037</v>
      </c>
      <c r="L1252" s="20">
        <f t="shared" si="57"/>
        <v>41865</v>
      </c>
      <c r="M1252" t="str">
        <f t="shared" si="58"/>
        <v>08-2014</v>
      </c>
      <c r="N1252">
        <f t="shared" si="59"/>
        <v>5.99</v>
      </c>
    </row>
    <row r="1253" spans="3:14" x14ac:dyDescent="0.25">
      <c r="C1253" t="str">
        <f>IF(COUNTBLANK(E1253:K1253) = 7,"",IF(AND(NOT(ISBLANK(E1253)),COUNTBLANK(E1253:K1253) = 6),"3 Delete",IF(ISBLANK(E1253),"2 Add",IF(SHA1Range(E1253:K1253) = "51d74d0954af5a5589a66eba82fe46861496dfcd","0 Original","1 Modify"))))</f>
        <v>0 Original</v>
      </c>
      <c r="D1253" s="5" t="s">
        <v>3486</v>
      </c>
      <c r="E1253" s="3">
        <v>3295</v>
      </c>
      <c r="F1253" t="s">
        <v>1339</v>
      </c>
      <c r="G1253" t="s">
        <v>948</v>
      </c>
      <c r="H1253" s="9">
        <v>4.99</v>
      </c>
      <c r="I1253" s="3">
        <v>1</v>
      </c>
      <c r="J1253" s="5" t="s">
        <v>68</v>
      </c>
      <c r="K1253" s="15">
        <v>41865.22693287037</v>
      </c>
      <c r="L1253" s="20">
        <f t="shared" si="57"/>
        <v>41865</v>
      </c>
      <c r="M1253" t="str">
        <f t="shared" si="58"/>
        <v>08-2014</v>
      </c>
      <c r="N1253">
        <f t="shared" si="59"/>
        <v>4.99</v>
      </c>
    </row>
    <row r="1254" spans="3:14" x14ac:dyDescent="0.25">
      <c r="C1254" t="str">
        <f>IF(COUNTBLANK(E1254:K1254) = 7,"",IF(AND(NOT(ISBLANK(E1254)),COUNTBLANK(E1254:K1254) = 6),"3 Delete",IF(ISBLANK(E1254),"2 Add",IF(SHA1Range(E1254:K1254) = "39b9068304a4a6275e8e9eb350061c099c97a71a","0 Original","1 Modify"))))</f>
        <v>0 Original</v>
      </c>
      <c r="D1254" s="5" t="s">
        <v>3487</v>
      </c>
      <c r="E1254" s="3">
        <v>1308</v>
      </c>
      <c r="F1254" t="s">
        <v>1340</v>
      </c>
      <c r="G1254" t="s">
        <v>642</v>
      </c>
      <c r="H1254" s="9">
        <v>9.99</v>
      </c>
      <c r="I1254" s="3">
        <v>1</v>
      </c>
      <c r="J1254" s="5" t="s">
        <v>68</v>
      </c>
      <c r="K1254" s="15">
        <v>41865.745219907411</v>
      </c>
      <c r="L1254" s="20">
        <f t="shared" si="57"/>
        <v>41865</v>
      </c>
      <c r="M1254" t="str">
        <f t="shared" si="58"/>
        <v>08-2014</v>
      </c>
      <c r="N1254">
        <f t="shared" si="59"/>
        <v>9.99</v>
      </c>
    </row>
    <row r="1255" spans="3:14" x14ac:dyDescent="0.25">
      <c r="C1255" t="str">
        <f>IF(COUNTBLANK(E1255:K1255) = 7,"",IF(AND(NOT(ISBLANK(E1255)),COUNTBLANK(E1255:K1255) = 6),"3 Delete",IF(ISBLANK(E1255),"2 Add",IF(SHA1Range(E1255:K1255) = "367d9c55fa631647817dddca67fbe70f9201d5b1","0 Original","1 Modify"))))</f>
        <v>0 Original</v>
      </c>
      <c r="D1255" s="5" t="s">
        <v>3488</v>
      </c>
      <c r="E1255" s="3">
        <v>1309</v>
      </c>
      <c r="F1255" t="s">
        <v>1340</v>
      </c>
      <c r="G1255" t="s">
        <v>596</v>
      </c>
      <c r="H1255" s="9">
        <v>7.99</v>
      </c>
      <c r="I1255" s="3">
        <v>1</v>
      </c>
      <c r="J1255" s="5" t="s">
        <v>68</v>
      </c>
      <c r="K1255" s="15">
        <v>41865.745219907411</v>
      </c>
      <c r="L1255" s="20">
        <f t="shared" si="57"/>
        <v>41865</v>
      </c>
      <c r="M1255" t="str">
        <f t="shared" si="58"/>
        <v>08-2014</v>
      </c>
      <c r="N1255">
        <f t="shared" si="59"/>
        <v>7.99</v>
      </c>
    </row>
    <row r="1256" spans="3:14" x14ac:dyDescent="0.25">
      <c r="C1256" t="str">
        <f>IF(COUNTBLANK(E1256:K1256) = 7,"",IF(AND(NOT(ISBLANK(E1256)),COUNTBLANK(E1256:K1256) = 6),"3 Delete",IF(ISBLANK(E1256),"2 Add",IF(SHA1Range(E1256:K1256) = "1c10ebcb675996ed4957eceb85fdfa7019ec7d82","0 Original","1 Modify"))))</f>
        <v>0 Original</v>
      </c>
      <c r="D1256" s="5" t="s">
        <v>3489</v>
      </c>
      <c r="E1256" s="3">
        <v>1310</v>
      </c>
      <c r="F1256" t="s">
        <v>1340</v>
      </c>
      <c r="G1256" t="s">
        <v>514</v>
      </c>
      <c r="H1256" s="9">
        <v>6.99</v>
      </c>
      <c r="I1256" s="3">
        <v>1</v>
      </c>
      <c r="J1256" s="5" t="s">
        <v>68</v>
      </c>
      <c r="K1256" s="15">
        <v>41865.745219907411</v>
      </c>
      <c r="L1256" s="20">
        <f t="shared" si="57"/>
        <v>41865</v>
      </c>
      <c r="M1256" t="str">
        <f t="shared" si="58"/>
        <v>08-2014</v>
      </c>
      <c r="N1256">
        <f t="shared" si="59"/>
        <v>6.99</v>
      </c>
    </row>
    <row r="1257" spans="3:14" x14ac:dyDescent="0.25">
      <c r="C1257" t="str">
        <f>IF(COUNTBLANK(E1257:K1257) = 7,"",IF(AND(NOT(ISBLANK(E1257)),COUNTBLANK(E1257:K1257) = 6),"3 Delete",IF(ISBLANK(E1257),"2 Add",IF(SHA1Range(E1257:K1257) = "9768f1d28bbc64e05457987d5402c9a2c9e75f00","0 Original","1 Modify"))))</f>
        <v>0 Original</v>
      </c>
      <c r="D1257" s="5" t="s">
        <v>3490</v>
      </c>
      <c r="E1257" s="3">
        <v>1311</v>
      </c>
      <c r="F1257" t="s">
        <v>1340</v>
      </c>
      <c r="G1257" t="s">
        <v>845</v>
      </c>
      <c r="H1257" s="9">
        <v>7.99</v>
      </c>
      <c r="I1257" s="3">
        <v>2</v>
      </c>
      <c r="J1257" s="5" t="s">
        <v>68</v>
      </c>
      <c r="K1257" s="15">
        <v>41865.745219907411</v>
      </c>
      <c r="L1257" s="20">
        <f t="shared" si="57"/>
        <v>41865</v>
      </c>
      <c r="M1257" t="str">
        <f t="shared" si="58"/>
        <v>08-2014</v>
      </c>
      <c r="N1257">
        <f t="shared" si="59"/>
        <v>15.98</v>
      </c>
    </row>
    <row r="1258" spans="3:14" x14ac:dyDescent="0.25">
      <c r="C1258" t="str">
        <f>IF(COUNTBLANK(E1258:K1258) = 7,"",IF(AND(NOT(ISBLANK(E1258)),COUNTBLANK(E1258:K1258) = 6),"3 Delete",IF(ISBLANK(E1258),"2 Add",IF(SHA1Range(E1258:K1258) = "4b1728d284a9c79562034361217b053bec71fd83","0 Original","1 Modify"))))</f>
        <v>0 Original</v>
      </c>
      <c r="D1258" s="5" t="s">
        <v>3491</v>
      </c>
      <c r="E1258" s="3">
        <v>1203</v>
      </c>
      <c r="F1258" t="s">
        <v>1341</v>
      </c>
      <c r="G1258" t="s">
        <v>693</v>
      </c>
      <c r="H1258" s="9">
        <v>7.99</v>
      </c>
      <c r="I1258" s="3">
        <v>2</v>
      </c>
      <c r="J1258" s="5" t="s">
        <v>68</v>
      </c>
      <c r="K1258" s="15">
        <v>41865.939479166664</v>
      </c>
      <c r="L1258" s="20">
        <f t="shared" si="57"/>
        <v>41865</v>
      </c>
      <c r="M1258" t="str">
        <f t="shared" si="58"/>
        <v>08-2014</v>
      </c>
      <c r="N1258">
        <f t="shared" si="59"/>
        <v>15.98</v>
      </c>
    </row>
    <row r="1259" spans="3:14" x14ac:dyDescent="0.25">
      <c r="C1259" t="str">
        <f>IF(COUNTBLANK(E1259:K1259) = 7,"",IF(AND(NOT(ISBLANK(E1259)),COUNTBLANK(E1259:K1259) = 6),"3 Delete",IF(ISBLANK(E1259),"2 Add",IF(SHA1Range(E1259:K1259) = "7b4f9e2b3d914992df6535931eb447a8dab670ea","0 Original","1 Modify"))))</f>
        <v>0 Original</v>
      </c>
      <c r="D1259" s="5" t="s">
        <v>3492</v>
      </c>
      <c r="E1259" s="3">
        <v>1204</v>
      </c>
      <c r="F1259" t="s">
        <v>1341</v>
      </c>
      <c r="G1259" t="s">
        <v>761</v>
      </c>
      <c r="H1259" s="9">
        <v>8.99</v>
      </c>
      <c r="I1259" s="3">
        <v>1</v>
      </c>
      <c r="J1259" s="5" t="s">
        <v>68</v>
      </c>
      <c r="K1259" s="15">
        <v>41865.939479166664</v>
      </c>
      <c r="L1259" s="20">
        <f t="shared" si="57"/>
        <v>41865</v>
      </c>
      <c r="M1259" t="str">
        <f t="shared" si="58"/>
        <v>08-2014</v>
      </c>
      <c r="N1259">
        <f t="shared" si="59"/>
        <v>8.99</v>
      </c>
    </row>
    <row r="1260" spans="3:14" x14ac:dyDescent="0.25">
      <c r="C1260" t="str">
        <f>IF(COUNTBLANK(E1260:K1260) = 7,"",IF(AND(NOT(ISBLANK(E1260)),COUNTBLANK(E1260:K1260) = 6),"3 Delete",IF(ISBLANK(E1260),"2 Add",IF(SHA1Range(E1260:K1260) = "65e05a82b29d8e75c5eb2a3fa2798ae521e9e40d","0 Original","1 Modify"))))</f>
        <v>0 Original</v>
      </c>
      <c r="D1260" s="5" t="s">
        <v>3493</v>
      </c>
      <c r="E1260" s="3">
        <v>3540</v>
      </c>
      <c r="F1260" t="s">
        <v>1342</v>
      </c>
      <c r="G1260" t="s">
        <v>400</v>
      </c>
      <c r="H1260" s="9">
        <v>4.99</v>
      </c>
      <c r="I1260" s="3">
        <v>1</v>
      </c>
      <c r="J1260" s="5" t="s">
        <v>68</v>
      </c>
      <c r="K1260" s="15">
        <v>41866.375590277778</v>
      </c>
      <c r="L1260" s="20">
        <f t="shared" si="57"/>
        <v>41866</v>
      </c>
      <c r="M1260" t="str">
        <f t="shared" si="58"/>
        <v>08-2014</v>
      </c>
      <c r="N1260">
        <f t="shared" si="59"/>
        <v>4.99</v>
      </c>
    </row>
    <row r="1261" spans="3:14" x14ac:dyDescent="0.25">
      <c r="C1261" t="str">
        <f>IF(COUNTBLANK(E1261:K1261) = 7,"",IF(AND(NOT(ISBLANK(E1261)),COUNTBLANK(E1261:K1261) = 6),"3 Delete",IF(ISBLANK(E1261),"2 Add",IF(SHA1Range(E1261:K1261) = "d6d143d825a414efa4f289f837f040d33f0a2c3d","0 Original","1 Modify"))))</f>
        <v>0 Original</v>
      </c>
      <c r="D1261" s="5" t="s">
        <v>3494</v>
      </c>
      <c r="E1261" s="3">
        <v>3541</v>
      </c>
      <c r="F1261" t="s">
        <v>1342</v>
      </c>
      <c r="G1261" t="s">
        <v>514</v>
      </c>
      <c r="H1261" s="9">
        <v>6.99</v>
      </c>
      <c r="I1261" s="3">
        <v>1</v>
      </c>
      <c r="J1261" s="5" t="s">
        <v>68</v>
      </c>
      <c r="K1261" s="15">
        <v>41866.375590277778</v>
      </c>
      <c r="L1261" s="20">
        <f t="shared" si="57"/>
        <v>41866</v>
      </c>
      <c r="M1261" t="str">
        <f t="shared" si="58"/>
        <v>08-2014</v>
      </c>
      <c r="N1261">
        <f t="shared" si="59"/>
        <v>6.99</v>
      </c>
    </row>
    <row r="1262" spans="3:14" x14ac:dyDescent="0.25">
      <c r="C1262" t="str">
        <f>IF(COUNTBLANK(E1262:K1262) = 7,"",IF(AND(NOT(ISBLANK(E1262)),COUNTBLANK(E1262:K1262) = 6),"3 Delete",IF(ISBLANK(E1262),"2 Add",IF(SHA1Range(E1262:K1262) = "fe35ce0f6042b38e983b890f799b233433006d97","0 Original","1 Modify"))))</f>
        <v>0 Original</v>
      </c>
      <c r="D1262" s="5" t="s">
        <v>3495</v>
      </c>
      <c r="E1262" s="3">
        <v>3542</v>
      </c>
      <c r="F1262" t="s">
        <v>1342</v>
      </c>
      <c r="G1262" t="s">
        <v>400</v>
      </c>
      <c r="H1262" s="9">
        <v>4.99</v>
      </c>
      <c r="I1262" s="3">
        <v>1</v>
      </c>
      <c r="J1262" s="5" t="s">
        <v>68</v>
      </c>
      <c r="K1262" s="15">
        <v>41866.375590277778</v>
      </c>
      <c r="L1262" s="20">
        <f t="shared" si="57"/>
        <v>41866</v>
      </c>
      <c r="M1262" t="str">
        <f t="shared" si="58"/>
        <v>08-2014</v>
      </c>
      <c r="N1262">
        <f t="shared" si="59"/>
        <v>4.99</v>
      </c>
    </row>
    <row r="1263" spans="3:14" x14ac:dyDescent="0.25">
      <c r="C1263" t="str">
        <f>IF(COUNTBLANK(E1263:K1263) = 7,"",IF(AND(NOT(ISBLANK(E1263)),COUNTBLANK(E1263:K1263) = 6),"3 Delete",IF(ISBLANK(E1263),"2 Add",IF(SHA1Range(E1263:K1263) = "afb02d374156145848832c08b349def288179ab2","0 Original","1 Modify"))))</f>
        <v>0 Original</v>
      </c>
      <c r="D1263" s="5" t="s">
        <v>3496</v>
      </c>
      <c r="E1263" s="3">
        <v>3543</v>
      </c>
      <c r="F1263" t="s">
        <v>1342</v>
      </c>
      <c r="G1263" t="s">
        <v>642</v>
      </c>
      <c r="H1263" s="9">
        <v>9.99</v>
      </c>
      <c r="I1263" s="3">
        <v>2</v>
      </c>
      <c r="J1263" s="5" t="s">
        <v>68</v>
      </c>
      <c r="K1263" s="15">
        <v>41866.375590277778</v>
      </c>
      <c r="L1263" s="20">
        <f t="shared" si="57"/>
        <v>41866</v>
      </c>
      <c r="M1263" t="str">
        <f t="shared" si="58"/>
        <v>08-2014</v>
      </c>
      <c r="N1263">
        <f t="shared" si="59"/>
        <v>19.98</v>
      </c>
    </row>
    <row r="1264" spans="3:14" x14ac:dyDescent="0.25">
      <c r="C1264" t="str">
        <f>IF(COUNTBLANK(E1264:K1264) = 7,"",IF(AND(NOT(ISBLANK(E1264)),COUNTBLANK(E1264:K1264) = 6),"3 Delete",IF(ISBLANK(E1264),"2 Add",IF(SHA1Range(E1264:K1264) = "7fda38472860ae09acbeec694f62f421cba8acbd","0 Original","1 Modify"))))</f>
        <v>0 Original</v>
      </c>
      <c r="D1264" s="5" t="s">
        <v>3497</v>
      </c>
      <c r="E1264" s="3">
        <v>3544</v>
      </c>
      <c r="F1264" t="s">
        <v>1342</v>
      </c>
      <c r="G1264" t="s">
        <v>707</v>
      </c>
      <c r="H1264" s="9">
        <v>7.99</v>
      </c>
      <c r="I1264" s="3">
        <v>1</v>
      </c>
      <c r="J1264" s="5" t="s">
        <v>68</v>
      </c>
      <c r="K1264" s="15">
        <v>41866.375590277778</v>
      </c>
      <c r="L1264" s="20">
        <f t="shared" si="57"/>
        <v>41866</v>
      </c>
      <c r="M1264" t="str">
        <f t="shared" si="58"/>
        <v>08-2014</v>
      </c>
      <c r="N1264">
        <f t="shared" si="59"/>
        <v>7.99</v>
      </c>
    </row>
    <row r="1265" spans="3:14" x14ac:dyDescent="0.25">
      <c r="C1265" t="str">
        <f>IF(COUNTBLANK(E1265:K1265) = 7,"",IF(AND(NOT(ISBLANK(E1265)),COUNTBLANK(E1265:K1265) = 6),"3 Delete",IF(ISBLANK(E1265),"2 Add",IF(SHA1Range(E1265:K1265) = "4ba2f9d1939ec397d0a530e43187b374a7b9e1e1","0 Original","1 Modify"))))</f>
        <v>0 Original</v>
      </c>
      <c r="D1265" s="5" t="s">
        <v>4198</v>
      </c>
      <c r="E1265" s="3">
        <v>216</v>
      </c>
      <c r="F1265" t="s">
        <v>1343</v>
      </c>
      <c r="G1265" t="s">
        <v>891</v>
      </c>
      <c r="H1265" s="9">
        <v>8.99</v>
      </c>
      <c r="I1265" s="3">
        <v>1</v>
      </c>
      <c r="J1265" s="5" t="s">
        <v>68</v>
      </c>
      <c r="K1265" s="15">
        <v>41867.750081018516</v>
      </c>
      <c r="L1265" s="20">
        <f t="shared" si="57"/>
        <v>41867</v>
      </c>
      <c r="M1265" t="str">
        <f t="shared" si="58"/>
        <v>08-2014</v>
      </c>
      <c r="N1265">
        <f t="shared" si="59"/>
        <v>8.99</v>
      </c>
    </row>
    <row r="1266" spans="3:14" x14ac:dyDescent="0.25">
      <c r="C1266" t="str">
        <f>IF(COUNTBLANK(E1266:K1266) = 7,"",IF(AND(NOT(ISBLANK(E1266)),COUNTBLANK(E1266:K1266) = 6),"3 Delete",IF(ISBLANK(E1266),"2 Add",IF(SHA1Range(E1266:K1266) = "f04eba973281bb9e0083d9e0dfe41c4b3b2aec0d","0 Original","1 Modify"))))</f>
        <v>0 Original</v>
      </c>
      <c r="D1266" s="5" t="s">
        <v>4199</v>
      </c>
      <c r="E1266" s="3">
        <v>217</v>
      </c>
      <c r="F1266" t="s">
        <v>1343</v>
      </c>
      <c r="G1266" t="s">
        <v>613</v>
      </c>
      <c r="H1266" s="9">
        <v>9.99</v>
      </c>
      <c r="I1266" s="3">
        <v>2</v>
      </c>
      <c r="J1266" s="5" t="s">
        <v>68</v>
      </c>
      <c r="K1266" s="15">
        <v>41867.750081018516</v>
      </c>
      <c r="L1266" s="20">
        <f t="shared" si="57"/>
        <v>41867</v>
      </c>
      <c r="M1266" t="str">
        <f t="shared" si="58"/>
        <v>08-2014</v>
      </c>
      <c r="N1266">
        <f t="shared" si="59"/>
        <v>19.98</v>
      </c>
    </row>
    <row r="1267" spans="3:14" x14ac:dyDescent="0.25">
      <c r="C1267" t="str">
        <f>IF(COUNTBLANK(E1267:K1267) = 7,"",IF(AND(NOT(ISBLANK(E1267)),COUNTBLANK(E1267:K1267) = 6),"3 Delete",IF(ISBLANK(E1267),"2 Add",IF(SHA1Range(E1267:K1267) = "b5ddf26e6299fbe8b457bddedeb8a5d8d2121c2f","0 Original","1 Modify"))))</f>
        <v>0 Original</v>
      </c>
      <c r="D1267" s="5" t="s">
        <v>4200</v>
      </c>
      <c r="E1267" s="3">
        <v>218</v>
      </c>
      <c r="F1267" t="s">
        <v>1343</v>
      </c>
      <c r="G1267" t="s">
        <v>680</v>
      </c>
      <c r="H1267" s="9">
        <v>8.99</v>
      </c>
      <c r="I1267" s="3">
        <v>2</v>
      </c>
      <c r="J1267" s="5" t="s">
        <v>68</v>
      </c>
      <c r="K1267" s="15">
        <v>41867.750081018516</v>
      </c>
      <c r="L1267" s="20">
        <f t="shared" si="57"/>
        <v>41867</v>
      </c>
      <c r="M1267" t="str">
        <f t="shared" si="58"/>
        <v>08-2014</v>
      </c>
      <c r="N1267">
        <f t="shared" si="59"/>
        <v>17.98</v>
      </c>
    </row>
    <row r="1268" spans="3:14" x14ac:dyDescent="0.25">
      <c r="C1268" t="str">
        <f>IF(COUNTBLANK(E1268:K1268) = 7,"",IF(AND(NOT(ISBLANK(E1268)),COUNTBLANK(E1268:K1268) = 6),"3 Delete",IF(ISBLANK(E1268),"2 Add",IF(SHA1Range(E1268:K1268) = "e11a15481b7c713b10a4a071224dbd222a92f5b9","0 Original","1 Modify"))))</f>
        <v>0 Original</v>
      </c>
      <c r="D1268" s="5" t="s">
        <v>3498</v>
      </c>
      <c r="E1268" s="3">
        <v>548</v>
      </c>
      <c r="F1268" t="s">
        <v>1344</v>
      </c>
      <c r="G1268" t="s">
        <v>872</v>
      </c>
      <c r="H1268" s="9">
        <v>8.99</v>
      </c>
      <c r="I1268" s="3">
        <v>3</v>
      </c>
      <c r="J1268" s="5" t="s">
        <v>68</v>
      </c>
      <c r="K1268" s="15">
        <v>41867.931539351855</v>
      </c>
      <c r="L1268" s="20">
        <f t="shared" si="57"/>
        <v>41867</v>
      </c>
      <c r="M1268" t="str">
        <f t="shared" si="58"/>
        <v>08-2014</v>
      </c>
      <c r="N1268">
        <f t="shared" si="59"/>
        <v>26.97</v>
      </c>
    </row>
    <row r="1269" spans="3:14" x14ac:dyDescent="0.25">
      <c r="C1269" t="str">
        <f>IF(COUNTBLANK(E1269:K1269) = 7,"",IF(AND(NOT(ISBLANK(E1269)),COUNTBLANK(E1269:K1269) = 6),"3 Delete",IF(ISBLANK(E1269),"2 Add",IF(SHA1Range(E1269:K1269) = "a61175e336fe9789381c2a07bf70d76962e579e6","0 Original","1 Modify"))))</f>
        <v>0 Original</v>
      </c>
      <c r="D1269" s="5" t="s">
        <v>3499</v>
      </c>
      <c r="E1269" s="3">
        <v>549</v>
      </c>
      <c r="F1269" t="s">
        <v>1344</v>
      </c>
      <c r="G1269" t="s">
        <v>722</v>
      </c>
      <c r="H1269" s="9">
        <v>6.99</v>
      </c>
      <c r="I1269" s="3">
        <v>2</v>
      </c>
      <c r="J1269" s="5" t="s">
        <v>68</v>
      </c>
      <c r="K1269" s="15">
        <v>41867.931539351855</v>
      </c>
      <c r="L1269" s="20">
        <f t="shared" si="57"/>
        <v>41867</v>
      </c>
      <c r="M1269" t="str">
        <f t="shared" si="58"/>
        <v>08-2014</v>
      </c>
      <c r="N1269">
        <f t="shared" si="59"/>
        <v>13.98</v>
      </c>
    </row>
    <row r="1270" spans="3:14" x14ac:dyDescent="0.25">
      <c r="C1270" t="str">
        <f>IF(COUNTBLANK(E1270:K1270) = 7,"",IF(AND(NOT(ISBLANK(E1270)),COUNTBLANK(E1270:K1270) = 6),"3 Delete",IF(ISBLANK(E1270),"2 Add",IF(SHA1Range(E1270:K1270) = "d524a3ba775bc8b7f6e5a8ac05ed4d77a731ae9e","0 Original","1 Modify"))))</f>
        <v>0 Original</v>
      </c>
      <c r="D1270" s="5" t="s">
        <v>3500</v>
      </c>
      <c r="E1270" s="3">
        <v>3006</v>
      </c>
      <c r="F1270" t="s">
        <v>1345</v>
      </c>
      <c r="G1270" t="s">
        <v>687</v>
      </c>
      <c r="H1270" s="9">
        <v>9.99</v>
      </c>
      <c r="I1270" s="3">
        <v>2</v>
      </c>
      <c r="J1270" s="5" t="s">
        <v>68</v>
      </c>
      <c r="K1270" s="15">
        <v>41868.356099537035</v>
      </c>
      <c r="L1270" s="20">
        <f t="shared" si="57"/>
        <v>41868</v>
      </c>
      <c r="M1270" t="str">
        <f t="shared" si="58"/>
        <v>08-2014</v>
      </c>
      <c r="N1270">
        <f t="shared" si="59"/>
        <v>19.98</v>
      </c>
    </row>
    <row r="1271" spans="3:14" x14ac:dyDescent="0.25">
      <c r="C1271" t="str">
        <f>IF(COUNTBLANK(E1271:K1271) = 7,"",IF(AND(NOT(ISBLANK(E1271)),COUNTBLANK(E1271:K1271) = 6),"3 Delete",IF(ISBLANK(E1271),"2 Add",IF(SHA1Range(E1271:K1271) = "646cea4fa6f6135f54f8c064d45fa48f2d68a7f3","0 Original","1 Modify"))))</f>
        <v>0 Original</v>
      </c>
      <c r="D1271" s="5" t="s">
        <v>3501</v>
      </c>
      <c r="E1271" s="3">
        <v>3007</v>
      </c>
      <c r="F1271" t="s">
        <v>1345</v>
      </c>
      <c r="G1271" t="s">
        <v>707</v>
      </c>
      <c r="H1271" s="9">
        <v>7.99</v>
      </c>
      <c r="I1271" s="3">
        <v>1</v>
      </c>
      <c r="J1271" s="5" t="s">
        <v>68</v>
      </c>
      <c r="K1271" s="15">
        <v>41868.356099537035</v>
      </c>
      <c r="L1271" s="20">
        <f t="shared" si="57"/>
        <v>41868</v>
      </c>
      <c r="M1271" t="str">
        <f t="shared" si="58"/>
        <v>08-2014</v>
      </c>
      <c r="N1271">
        <f t="shared" si="59"/>
        <v>7.99</v>
      </c>
    </row>
    <row r="1272" spans="3:14" x14ac:dyDescent="0.25">
      <c r="C1272" t="str">
        <f>IF(COUNTBLANK(E1272:K1272) = 7,"",IF(AND(NOT(ISBLANK(E1272)),COUNTBLANK(E1272:K1272) = 6),"3 Delete",IF(ISBLANK(E1272),"2 Add",IF(SHA1Range(E1272:K1272) = "aeb9263039425b65c83e4f0414ab4e87f723838e","0 Original","1 Modify"))))</f>
        <v>0 Original</v>
      </c>
      <c r="D1272" s="5" t="s">
        <v>3502</v>
      </c>
      <c r="E1272" s="3">
        <v>3008</v>
      </c>
      <c r="F1272" t="s">
        <v>1345</v>
      </c>
      <c r="G1272" t="s">
        <v>552</v>
      </c>
      <c r="H1272" s="9">
        <v>6.99</v>
      </c>
      <c r="I1272" s="3">
        <v>1</v>
      </c>
      <c r="J1272" s="5" t="s">
        <v>68</v>
      </c>
      <c r="K1272" s="15">
        <v>41868.356099537035</v>
      </c>
      <c r="L1272" s="20">
        <f t="shared" si="57"/>
        <v>41868</v>
      </c>
      <c r="M1272" t="str">
        <f t="shared" si="58"/>
        <v>08-2014</v>
      </c>
      <c r="N1272">
        <f t="shared" si="59"/>
        <v>6.99</v>
      </c>
    </row>
    <row r="1273" spans="3:14" x14ac:dyDescent="0.25">
      <c r="C1273" t="str">
        <f>IF(COUNTBLANK(E1273:K1273) = 7,"",IF(AND(NOT(ISBLANK(E1273)),COUNTBLANK(E1273:K1273) = 6),"3 Delete",IF(ISBLANK(E1273),"2 Add",IF(SHA1Range(E1273:K1273) = "3abe40e2aa77c654ca9acfd086333d7b3e660eb3","0 Original","1 Modify"))))</f>
        <v>0 Original</v>
      </c>
      <c r="D1273" s="5" t="s">
        <v>3503</v>
      </c>
      <c r="E1273" s="3">
        <v>3009</v>
      </c>
      <c r="F1273" t="s">
        <v>1345</v>
      </c>
      <c r="G1273" t="s">
        <v>400</v>
      </c>
      <c r="H1273" s="9">
        <v>4.99</v>
      </c>
      <c r="I1273" s="3">
        <v>1</v>
      </c>
      <c r="J1273" s="5" t="s">
        <v>68</v>
      </c>
      <c r="K1273" s="15">
        <v>41868.356099537035</v>
      </c>
      <c r="L1273" s="20">
        <f t="shared" si="57"/>
        <v>41868</v>
      </c>
      <c r="M1273" t="str">
        <f t="shared" si="58"/>
        <v>08-2014</v>
      </c>
      <c r="N1273">
        <f t="shared" si="59"/>
        <v>4.99</v>
      </c>
    </row>
    <row r="1274" spans="3:14" x14ac:dyDescent="0.25">
      <c r="C1274" t="str">
        <f>IF(COUNTBLANK(E1274:K1274) = 7,"",IF(AND(NOT(ISBLANK(E1274)),COUNTBLANK(E1274:K1274) = 6),"3 Delete",IF(ISBLANK(E1274),"2 Add",IF(SHA1Range(E1274:K1274) = "ccb678e4c5cf98c14958d9840d1efa6b536fc999","0 Original","1 Modify"))))</f>
        <v>0 Original</v>
      </c>
      <c r="D1274" s="5" t="s">
        <v>3504</v>
      </c>
      <c r="E1274" s="3">
        <v>3010</v>
      </c>
      <c r="F1274" t="s">
        <v>1345</v>
      </c>
      <c r="G1274" t="s">
        <v>579</v>
      </c>
      <c r="H1274" s="9">
        <v>9.99</v>
      </c>
      <c r="I1274" s="3">
        <v>2</v>
      </c>
      <c r="J1274" s="5" t="s">
        <v>68</v>
      </c>
      <c r="K1274" s="15">
        <v>41868.356099537035</v>
      </c>
      <c r="L1274" s="20">
        <f t="shared" si="57"/>
        <v>41868</v>
      </c>
      <c r="M1274" t="str">
        <f t="shared" si="58"/>
        <v>08-2014</v>
      </c>
      <c r="N1274">
        <f t="shared" si="59"/>
        <v>19.98</v>
      </c>
    </row>
    <row r="1275" spans="3:14" x14ac:dyDescent="0.25">
      <c r="C1275" t="str">
        <f>IF(COUNTBLANK(E1275:K1275) = 7,"",IF(AND(NOT(ISBLANK(E1275)),COUNTBLANK(E1275:K1275) = 6),"3 Delete",IF(ISBLANK(E1275),"2 Add",IF(SHA1Range(E1275:K1275) = "e800f8bd34fe5e9628d94306450f1e443d5eb809","0 Original","1 Modify"))))</f>
        <v>0 Original</v>
      </c>
      <c r="D1275" s="5" t="s">
        <v>3505</v>
      </c>
      <c r="E1275" s="3">
        <v>3011</v>
      </c>
      <c r="F1275" t="s">
        <v>1345</v>
      </c>
      <c r="G1275" t="s">
        <v>400</v>
      </c>
      <c r="H1275" s="9">
        <v>4.99</v>
      </c>
      <c r="I1275" s="3">
        <v>2</v>
      </c>
      <c r="J1275" s="5" t="s">
        <v>68</v>
      </c>
      <c r="K1275" s="15">
        <v>41868.356099537035</v>
      </c>
      <c r="L1275" s="20">
        <f t="shared" si="57"/>
        <v>41868</v>
      </c>
      <c r="M1275" t="str">
        <f t="shared" si="58"/>
        <v>08-2014</v>
      </c>
      <c r="N1275">
        <f t="shared" si="59"/>
        <v>9.98</v>
      </c>
    </row>
    <row r="1276" spans="3:14" x14ac:dyDescent="0.25">
      <c r="C1276" t="str">
        <f>IF(COUNTBLANK(E1276:K1276) = 7,"",IF(AND(NOT(ISBLANK(E1276)),COUNTBLANK(E1276:K1276) = 6),"3 Delete",IF(ISBLANK(E1276),"2 Add",IF(SHA1Range(E1276:K1276) = "220a555563db38dee91aa7dc7108739adaf43c79","0 Original","1 Modify"))))</f>
        <v>0 Original</v>
      </c>
      <c r="D1276" s="5" t="s">
        <v>3506</v>
      </c>
      <c r="E1276" s="3">
        <v>2721</v>
      </c>
      <c r="F1276" t="s">
        <v>1346</v>
      </c>
      <c r="G1276" t="s">
        <v>579</v>
      </c>
      <c r="H1276" s="9">
        <v>9.99</v>
      </c>
      <c r="I1276" s="3">
        <v>1</v>
      </c>
      <c r="J1276" s="5" t="s">
        <v>68</v>
      </c>
      <c r="K1276" s="15">
        <v>41868.797835648147</v>
      </c>
      <c r="L1276" s="20">
        <f t="shared" si="57"/>
        <v>41868</v>
      </c>
      <c r="M1276" t="str">
        <f t="shared" si="58"/>
        <v>08-2014</v>
      </c>
      <c r="N1276">
        <f t="shared" si="59"/>
        <v>9.99</v>
      </c>
    </row>
    <row r="1277" spans="3:14" x14ac:dyDescent="0.25">
      <c r="C1277" t="str">
        <f>IF(COUNTBLANK(E1277:K1277) = 7,"",IF(AND(NOT(ISBLANK(E1277)),COUNTBLANK(E1277:K1277) = 6),"3 Delete",IF(ISBLANK(E1277),"2 Add",IF(SHA1Range(E1277:K1277) = "4d32a84ac99fee22d3b8461b4b05f373a912c7be","0 Original","1 Modify"))))</f>
        <v>0 Original</v>
      </c>
      <c r="D1277" s="5" t="s">
        <v>3507</v>
      </c>
      <c r="E1277" s="3">
        <v>2722</v>
      </c>
      <c r="F1277" t="s">
        <v>1346</v>
      </c>
      <c r="G1277" t="s">
        <v>400</v>
      </c>
      <c r="H1277" s="9">
        <v>4.99</v>
      </c>
      <c r="I1277" s="3">
        <v>1</v>
      </c>
      <c r="J1277" s="5" t="s">
        <v>68</v>
      </c>
      <c r="K1277" s="15">
        <v>41868.797835648147</v>
      </c>
      <c r="L1277" s="20">
        <f t="shared" si="57"/>
        <v>41868</v>
      </c>
      <c r="M1277" t="str">
        <f t="shared" si="58"/>
        <v>08-2014</v>
      </c>
      <c r="N1277">
        <f t="shared" si="59"/>
        <v>4.99</v>
      </c>
    </row>
    <row r="1278" spans="3:14" x14ac:dyDescent="0.25">
      <c r="C1278" t="str">
        <f>IF(COUNTBLANK(E1278:K1278) = 7,"",IF(AND(NOT(ISBLANK(E1278)),COUNTBLANK(E1278:K1278) = 6),"3 Delete",IF(ISBLANK(E1278),"2 Add",IF(SHA1Range(E1278:K1278) = "4c0bfc3e3f45d441716877687b370f5445040ec2","0 Original","1 Modify"))))</f>
        <v>0 Original</v>
      </c>
      <c r="D1278" s="5" t="s">
        <v>3508</v>
      </c>
      <c r="E1278" s="3">
        <v>2723</v>
      </c>
      <c r="F1278" t="s">
        <v>1346</v>
      </c>
      <c r="G1278" t="s">
        <v>552</v>
      </c>
      <c r="H1278" s="9">
        <v>6.99</v>
      </c>
      <c r="I1278" s="3">
        <v>1</v>
      </c>
      <c r="J1278" s="5" t="s">
        <v>68</v>
      </c>
      <c r="K1278" s="15">
        <v>41868.797835648147</v>
      </c>
      <c r="L1278" s="20">
        <f t="shared" si="57"/>
        <v>41868</v>
      </c>
      <c r="M1278" t="str">
        <f t="shared" si="58"/>
        <v>08-2014</v>
      </c>
      <c r="N1278">
        <f t="shared" si="59"/>
        <v>6.99</v>
      </c>
    </row>
    <row r="1279" spans="3:14" x14ac:dyDescent="0.25">
      <c r="C1279" t="str">
        <f>IF(COUNTBLANK(E1279:K1279) = 7,"",IF(AND(NOT(ISBLANK(E1279)),COUNTBLANK(E1279:K1279) = 6),"3 Delete",IF(ISBLANK(E1279),"2 Add",IF(SHA1Range(E1279:K1279) = "304917676e08a497280686d1d402fbcea4ce0853","0 Original","1 Modify"))))</f>
        <v>0 Original</v>
      </c>
      <c r="D1279" s="5" t="s">
        <v>3509</v>
      </c>
      <c r="E1279" s="3">
        <v>737</v>
      </c>
      <c r="F1279" t="s">
        <v>1347</v>
      </c>
      <c r="G1279" t="s">
        <v>389</v>
      </c>
      <c r="H1279" s="9">
        <v>4.99</v>
      </c>
      <c r="I1279" s="3">
        <v>1</v>
      </c>
      <c r="J1279" s="5" t="s">
        <v>68</v>
      </c>
      <c r="K1279" s="15">
        <v>41869.105196759258</v>
      </c>
      <c r="L1279" s="20">
        <f t="shared" si="57"/>
        <v>41869</v>
      </c>
      <c r="M1279" t="str">
        <f t="shared" si="58"/>
        <v>08-2014</v>
      </c>
      <c r="N1279">
        <f t="shared" si="59"/>
        <v>4.99</v>
      </c>
    </row>
    <row r="1280" spans="3:14" x14ac:dyDescent="0.25">
      <c r="C1280" t="str">
        <f>IF(COUNTBLANK(E1280:K1280) = 7,"",IF(AND(NOT(ISBLANK(E1280)),COUNTBLANK(E1280:K1280) = 6),"3 Delete",IF(ISBLANK(E1280),"2 Add",IF(SHA1Range(E1280:K1280) = "3a4c71fdf20c540e08a04c4c9eba021b0e379cc5","0 Original","1 Modify"))))</f>
        <v>0 Original</v>
      </c>
      <c r="D1280" s="5" t="s">
        <v>3510</v>
      </c>
      <c r="E1280" s="3">
        <v>3052</v>
      </c>
      <c r="F1280" t="s">
        <v>1348</v>
      </c>
      <c r="G1280" t="s">
        <v>373</v>
      </c>
      <c r="H1280" s="9">
        <v>7.99</v>
      </c>
      <c r="I1280" s="3">
        <v>1</v>
      </c>
      <c r="J1280" s="5" t="s">
        <v>68</v>
      </c>
      <c r="K1280" s="15">
        <v>41869.1721412037</v>
      </c>
      <c r="L1280" s="20">
        <f t="shared" si="57"/>
        <v>41869</v>
      </c>
      <c r="M1280" t="str">
        <f t="shared" si="58"/>
        <v>08-2014</v>
      </c>
      <c r="N1280">
        <f t="shared" si="59"/>
        <v>7.99</v>
      </c>
    </row>
    <row r="1281" spans="3:14" x14ac:dyDescent="0.25">
      <c r="C1281" t="str">
        <f>IF(COUNTBLANK(E1281:K1281) = 7,"",IF(AND(NOT(ISBLANK(E1281)),COUNTBLANK(E1281:K1281) = 6),"3 Delete",IF(ISBLANK(E1281),"2 Add",IF(SHA1Range(E1281:K1281) = "77fb3d7526ffe868dd4762864497560035c3a38f","0 Original","1 Modify"))))</f>
        <v>0 Original</v>
      </c>
      <c r="D1281" s="5" t="s">
        <v>3511</v>
      </c>
      <c r="E1281" s="3">
        <v>3053</v>
      </c>
      <c r="F1281" t="s">
        <v>1348</v>
      </c>
      <c r="G1281" t="s">
        <v>687</v>
      </c>
      <c r="H1281" s="9">
        <v>9.99</v>
      </c>
      <c r="I1281" s="3">
        <v>2</v>
      </c>
      <c r="J1281" s="5" t="s">
        <v>68</v>
      </c>
      <c r="K1281" s="15">
        <v>41869.1721412037</v>
      </c>
      <c r="L1281" s="20">
        <f t="shared" si="57"/>
        <v>41869</v>
      </c>
      <c r="M1281" t="str">
        <f t="shared" si="58"/>
        <v>08-2014</v>
      </c>
      <c r="N1281">
        <f t="shared" si="59"/>
        <v>19.98</v>
      </c>
    </row>
    <row r="1282" spans="3:14" x14ac:dyDescent="0.25">
      <c r="C1282" t="str">
        <f>IF(COUNTBLANK(E1282:K1282) = 7,"",IF(AND(NOT(ISBLANK(E1282)),COUNTBLANK(E1282:K1282) = 6),"3 Delete",IF(ISBLANK(E1282),"2 Add",IF(SHA1Range(E1282:K1282) = "c3584419ba689959aad94f85f89335e161cff583","0 Original","1 Modify"))))</f>
        <v>0 Original</v>
      </c>
      <c r="D1282" s="5" t="s">
        <v>3512</v>
      </c>
      <c r="E1282" s="3">
        <v>3054</v>
      </c>
      <c r="F1282" t="s">
        <v>1348</v>
      </c>
      <c r="G1282" t="s">
        <v>552</v>
      </c>
      <c r="H1282" s="9">
        <v>6.99</v>
      </c>
      <c r="I1282" s="3">
        <v>1</v>
      </c>
      <c r="J1282" s="5" t="s">
        <v>68</v>
      </c>
      <c r="K1282" s="15">
        <v>41869.1721412037</v>
      </c>
      <c r="L1282" s="20">
        <f t="shared" si="57"/>
        <v>41869</v>
      </c>
      <c r="M1282" t="str">
        <f t="shared" si="58"/>
        <v>08-2014</v>
      </c>
      <c r="N1282">
        <f t="shared" si="59"/>
        <v>6.99</v>
      </c>
    </row>
    <row r="1283" spans="3:14" x14ac:dyDescent="0.25">
      <c r="C1283" t="str">
        <f>IF(COUNTBLANK(E1283:K1283) = 7,"",IF(AND(NOT(ISBLANK(E1283)),COUNTBLANK(E1283:K1283) = 6),"3 Delete",IF(ISBLANK(E1283),"2 Add",IF(SHA1Range(E1283:K1283) = "50bc5bbffba6a9f1584fa2d0caf47f38bc2f36a2","0 Original","1 Modify"))))</f>
        <v>0 Original</v>
      </c>
      <c r="D1283" s="5" t="s">
        <v>3513</v>
      </c>
      <c r="E1283" s="3">
        <v>2454</v>
      </c>
      <c r="F1283" t="s">
        <v>1349</v>
      </c>
      <c r="G1283" t="s">
        <v>552</v>
      </c>
      <c r="H1283" s="9">
        <v>6.99</v>
      </c>
      <c r="I1283" s="3">
        <v>1</v>
      </c>
      <c r="J1283" s="5" t="s">
        <v>68</v>
      </c>
      <c r="K1283" s="15">
        <v>41869.327060185184</v>
      </c>
      <c r="L1283" s="20">
        <f t="shared" ref="L1283:L1346" si="60">DATEVALUE(LEFT(F1283,10))</f>
        <v>41869</v>
      </c>
      <c r="M1283" t="str">
        <f t="shared" ref="M1283:M1346" si="61">TEXT(L1283,"mm-yyyy")</f>
        <v>08-2014</v>
      </c>
      <c r="N1283">
        <f t="shared" ref="N1283:N1346" si="62">H1283*I1283</f>
        <v>6.99</v>
      </c>
    </row>
    <row r="1284" spans="3:14" x14ac:dyDescent="0.25">
      <c r="C1284" t="str">
        <f>IF(COUNTBLANK(E1284:K1284) = 7,"",IF(AND(NOT(ISBLANK(E1284)),COUNTBLANK(E1284:K1284) = 6),"3 Delete",IF(ISBLANK(E1284),"2 Add",IF(SHA1Range(E1284:K1284) = "dfe5b2c9da8275c3c7b547729b894556a63af299","0 Original","1 Modify"))))</f>
        <v>0 Original</v>
      </c>
      <c r="D1284" s="5" t="s">
        <v>3514</v>
      </c>
      <c r="E1284" s="3">
        <v>2455</v>
      </c>
      <c r="F1284" t="s">
        <v>1349</v>
      </c>
      <c r="G1284" t="s">
        <v>373</v>
      </c>
      <c r="H1284" s="9">
        <v>7.99</v>
      </c>
      <c r="I1284" s="3">
        <v>2</v>
      </c>
      <c r="J1284" s="5" t="s">
        <v>68</v>
      </c>
      <c r="K1284" s="15">
        <v>41869.327060185184</v>
      </c>
      <c r="L1284" s="20">
        <f t="shared" si="60"/>
        <v>41869</v>
      </c>
      <c r="M1284" t="str">
        <f t="shared" si="61"/>
        <v>08-2014</v>
      </c>
      <c r="N1284">
        <f t="shared" si="62"/>
        <v>15.98</v>
      </c>
    </row>
    <row r="1285" spans="3:14" x14ac:dyDescent="0.25">
      <c r="C1285" t="str">
        <f>IF(COUNTBLANK(E1285:K1285) = 7,"",IF(AND(NOT(ISBLANK(E1285)),COUNTBLANK(E1285:K1285) = 6),"3 Delete",IF(ISBLANK(E1285),"2 Add",IF(SHA1Range(E1285:K1285) = "3362f257269c253ede37cfa6e6cff4da7aa986dd","0 Original","1 Modify"))))</f>
        <v>0 Original</v>
      </c>
      <c r="D1285" s="5" t="s">
        <v>3515</v>
      </c>
      <c r="E1285" s="3">
        <v>2456</v>
      </c>
      <c r="F1285" t="s">
        <v>1349</v>
      </c>
      <c r="G1285" t="s">
        <v>687</v>
      </c>
      <c r="H1285" s="9">
        <v>9.99</v>
      </c>
      <c r="I1285" s="3">
        <v>1</v>
      </c>
      <c r="J1285" s="5" t="s">
        <v>68</v>
      </c>
      <c r="K1285" s="15">
        <v>41869.327060185184</v>
      </c>
      <c r="L1285" s="20">
        <f t="shared" si="60"/>
        <v>41869</v>
      </c>
      <c r="M1285" t="str">
        <f t="shared" si="61"/>
        <v>08-2014</v>
      </c>
      <c r="N1285">
        <f t="shared" si="62"/>
        <v>9.99</v>
      </c>
    </row>
    <row r="1286" spans="3:14" x14ac:dyDescent="0.25">
      <c r="C1286" t="str">
        <f>IF(COUNTBLANK(E1286:K1286) = 7,"",IF(AND(NOT(ISBLANK(E1286)),COUNTBLANK(E1286:K1286) = 6),"3 Delete",IF(ISBLANK(E1286),"2 Add",IF(SHA1Range(E1286:K1286) = "26b4940e4b2a65d51a5fd7309e764e861895e96b","0 Original","1 Modify"))))</f>
        <v>0 Original</v>
      </c>
      <c r="D1286" s="5" t="s">
        <v>4201</v>
      </c>
      <c r="E1286" s="3">
        <v>881</v>
      </c>
      <c r="F1286" t="s">
        <v>1350</v>
      </c>
      <c r="G1286" t="s">
        <v>596</v>
      </c>
      <c r="H1286" s="9">
        <v>7.99</v>
      </c>
      <c r="I1286" s="3">
        <v>1</v>
      </c>
      <c r="J1286" s="5" t="s">
        <v>68</v>
      </c>
      <c r="K1286" s="15">
        <v>41869.373749999999</v>
      </c>
      <c r="L1286" s="20">
        <f t="shared" si="60"/>
        <v>41869</v>
      </c>
      <c r="M1286" t="str">
        <f t="shared" si="61"/>
        <v>08-2014</v>
      </c>
      <c r="N1286">
        <f t="shared" si="62"/>
        <v>7.99</v>
      </c>
    </row>
    <row r="1287" spans="3:14" x14ac:dyDescent="0.25">
      <c r="C1287" t="str">
        <f>IF(COUNTBLANK(E1287:K1287) = 7,"",IF(AND(NOT(ISBLANK(E1287)),COUNTBLANK(E1287:K1287) = 6),"3 Delete",IF(ISBLANK(E1287),"2 Add",IF(SHA1Range(E1287:K1287) = "abd09cb4fad7d9f77acbe2a33bba8894840fdb1e","0 Original","1 Modify"))))</f>
        <v>0 Original</v>
      </c>
      <c r="D1287" s="5" t="s">
        <v>4202</v>
      </c>
      <c r="E1287" s="3">
        <v>882</v>
      </c>
      <c r="F1287" t="s">
        <v>1350</v>
      </c>
      <c r="G1287" t="s">
        <v>684</v>
      </c>
      <c r="H1287" s="9">
        <v>8.99</v>
      </c>
      <c r="I1287" s="3">
        <v>1</v>
      </c>
      <c r="J1287" s="5" t="s">
        <v>68</v>
      </c>
      <c r="K1287" s="15">
        <v>41869.373749999999</v>
      </c>
      <c r="L1287" s="20">
        <f t="shared" si="60"/>
        <v>41869</v>
      </c>
      <c r="M1287" t="str">
        <f t="shared" si="61"/>
        <v>08-2014</v>
      </c>
      <c r="N1287">
        <f t="shared" si="62"/>
        <v>8.99</v>
      </c>
    </row>
    <row r="1288" spans="3:14" x14ac:dyDescent="0.25">
      <c r="C1288" t="str">
        <f>IF(COUNTBLANK(E1288:K1288) = 7,"",IF(AND(NOT(ISBLANK(E1288)),COUNTBLANK(E1288:K1288) = 6),"3 Delete",IF(ISBLANK(E1288),"2 Add",IF(SHA1Range(E1288:K1288) = "138d39063652fabbd64af3d9d470db264d5965a9","0 Original","1 Modify"))))</f>
        <v>0 Original</v>
      </c>
      <c r="D1288" s="5" t="s">
        <v>3516</v>
      </c>
      <c r="E1288" s="3">
        <v>2641</v>
      </c>
      <c r="F1288" t="s">
        <v>1351</v>
      </c>
      <c r="G1288" t="s">
        <v>687</v>
      </c>
      <c r="H1288" s="9">
        <v>9.99</v>
      </c>
      <c r="I1288" s="3">
        <v>2</v>
      </c>
      <c r="J1288" s="5" t="s">
        <v>68</v>
      </c>
      <c r="K1288" s="15">
        <v>41869.994050925925</v>
      </c>
      <c r="L1288" s="20">
        <f t="shared" si="60"/>
        <v>41869</v>
      </c>
      <c r="M1288" t="str">
        <f t="shared" si="61"/>
        <v>08-2014</v>
      </c>
      <c r="N1288">
        <f t="shared" si="62"/>
        <v>19.98</v>
      </c>
    </row>
    <row r="1289" spans="3:14" x14ac:dyDescent="0.25">
      <c r="C1289" t="str">
        <f>IF(COUNTBLANK(E1289:K1289) = 7,"",IF(AND(NOT(ISBLANK(E1289)),COUNTBLANK(E1289:K1289) = 6),"3 Delete",IF(ISBLANK(E1289),"2 Add",IF(SHA1Range(E1289:K1289) = "dc68600c40c56bdb0fe849cab19b15645f563b6e","0 Original","1 Modify"))))</f>
        <v>0 Original</v>
      </c>
      <c r="D1289" s="5" t="s">
        <v>3517</v>
      </c>
      <c r="E1289" s="3">
        <v>2387</v>
      </c>
      <c r="F1289" t="s">
        <v>1352</v>
      </c>
      <c r="G1289" t="s">
        <v>514</v>
      </c>
      <c r="H1289" s="9">
        <v>6.99</v>
      </c>
      <c r="I1289" s="3">
        <v>1</v>
      </c>
      <c r="J1289" s="5" t="s">
        <v>68</v>
      </c>
      <c r="K1289" s="15">
        <v>41870.348680555559</v>
      </c>
      <c r="L1289" s="20">
        <f t="shared" si="60"/>
        <v>41870</v>
      </c>
      <c r="M1289" t="str">
        <f t="shared" si="61"/>
        <v>08-2014</v>
      </c>
      <c r="N1289">
        <f t="shared" si="62"/>
        <v>6.99</v>
      </c>
    </row>
    <row r="1290" spans="3:14" x14ac:dyDescent="0.25">
      <c r="C1290" t="str">
        <f>IF(COUNTBLANK(E1290:K1290) = 7,"",IF(AND(NOT(ISBLANK(E1290)),COUNTBLANK(E1290:K1290) = 6),"3 Delete",IF(ISBLANK(E1290),"2 Add",IF(SHA1Range(E1290:K1290) = "7518c1527a2343da896cdc0c8537d07b724e2423","0 Original","1 Modify"))))</f>
        <v>0 Original</v>
      </c>
      <c r="D1290" s="5" t="s">
        <v>3518</v>
      </c>
      <c r="E1290" s="3">
        <v>2388</v>
      </c>
      <c r="F1290" t="s">
        <v>1352</v>
      </c>
      <c r="G1290" t="s">
        <v>400</v>
      </c>
      <c r="H1290" s="9">
        <v>4.99</v>
      </c>
      <c r="I1290" s="3">
        <v>1</v>
      </c>
      <c r="J1290" s="5" t="s">
        <v>68</v>
      </c>
      <c r="K1290" s="15">
        <v>41870.348680555559</v>
      </c>
      <c r="L1290" s="20">
        <f t="shared" si="60"/>
        <v>41870</v>
      </c>
      <c r="M1290" t="str">
        <f t="shared" si="61"/>
        <v>08-2014</v>
      </c>
      <c r="N1290">
        <f t="shared" si="62"/>
        <v>4.99</v>
      </c>
    </row>
    <row r="1291" spans="3:14" x14ac:dyDescent="0.25">
      <c r="C1291" t="str">
        <f>IF(COUNTBLANK(E1291:K1291) = 7,"",IF(AND(NOT(ISBLANK(E1291)),COUNTBLANK(E1291:K1291) = 6),"3 Delete",IF(ISBLANK(E1291),"2 Add",IF(SHA1Range(E1291:K1291) = "7fb4b73684612b1d365605f673716493ef5e7ebe","0 Original","1 Modify"))))</f>
        <v>0 Original</v>
      </c>
      <c r="D1291" s="5" t="s">
        <v>3519</v>
      </c>
      <c r="E1291" s="3">
        <v>2389</v>
      </c>
      <c r="F1291" t="s">
        <v>1352</v>
      </c>
      <c r="G1291" t="s">
        <v>552</v>
      </c>
      <c r="H1291" s="9">
        <v>6.99</v>
      </c>
      <c r="I1291" s="3">
        <v>1</v>
      </c>
      <c r="J1291" s="5" t="s">
        <v>68</v>
      </c>
      <c r="K1291" s="15">
        <v>41870.348680555559</v>
      </c>
      <c r="L1291" s="20">
        <f t="shared" si="60"/>
        <v>41870</v>
      </c>
      <c r="M1291" t="str">
        <f t="shared" si="61"/>
        <v>08-2014</v>
      </c>
      <c r="N1291">
        <f t="shared" si="62"/>
        <v>6.99</v>
      </c>
    </row>
    <row r="1292" spans="3:14" x14ac:dyDescent="0.25">
      <c r="C1292" t="str">
        <f>IF(COUNTBLANK(E1292:K1292) = 7,"",IF(AND(NOT(ISBLANK(E1292)),COUNTBLANK(E1292:K1292) = 6),"3 Delete",IF(ISBLANK(E1292),"2 Add",IF(SHA1Range(E1292:K1292) = "d3b2efe83f784ee55955fbf1525df691dcadbf09","0 Original","1 Modify"))))</f>
        <v>0 Original</v>
      </c>
      <c r="D1292" s="5" t="s">
        <v>3520</v>
      </c>
      <c r="E1292" s="3">
        <v>2390</v>
      </c>
      <c r="F1292" t="s">
        <v>1352</v>
      </c>
      <c r="G1292" t="s">
        <v>749</v>
      </c>
      <c r="H1292" s="9">
        <v>5.99</v>
      </c>
      <c r="I1292" s="3">
        <v>1</v>
      </c>
      <c r="J1292" s="5" t="s">
        <v>68</v>
      </c>
      <c r="K1292" s="15">
        <v>41870.348680555559</v>
      </c>
      <c r="L1292" s="20">
        <f t="shared" si="60"/>
        <v>41870</v>
      </c>
      <c r="M1292" t="str">
        <f t="shared" si="61"/>
        <v>08-2014</v>
      </c>
      <c r="N1292">
        <f t="shared" si="62"/>
        <v>5.99</v>
      </c>
    </row>
    <row r="1293" spans="3:14" x14ac:dyDescent="0.25">
      <c r="C1293" t="str">
        <f>IF(COUNTBLANK(E1293:K1293) = 7,"",IF(AND(NOT(ISBLANK(E1293)),COUNTBLANK(E1293:K1293) = 6),"3 Delete",IF(ISBLANK(E1293),"2 Add",IF(SHA1Range(E1293:K1293) = "4d127da384d24d1d955447be7867e1b77060960f","0 Original","1 Modify"))))</f>
        <v>0 Original</v>
      </c>
      <c r="D1293" s="5" t="s">
        <v>3521</v>
      </c>
      <c r="E1293" s="3">
        <v>1728</v>
      </c>
      <c r="F1293" t="s">
        <v>1353</v>
      </c>
      <c r="G1293" t="s">
        <v>771</v>
      </c>
      <c r="H1293" s="9">
        <v>9.99</v>
      </c>
      <c r="I1293" s="3">
        <v>2</v>
      </c>
      <c r="J1293" s="5" t="s">
        <v>68</v>
      </c>
      <c r="K1293" s="15">
        <v>41870.943136574075</v>
      </c>
      <c r="L1293" s="20">
        <f t="shared" si="60"/>
        <v>41870</v>
      </c>
      <c r="M1293" t="str">
        <f t="shared" si="61"/>
        <v>08-2014</v>
      </c>
      <c r="N1293">
        <f t="shared" si="62"/>
        <v>19.98</v>
      </c>
    </row>
    <row r="1294" spans="3:14" x14ac:dyDescent="0.25">
      <c r="C1294" t="str">
        <f>IF(COUNTBLANK(E1294:K1294) = 7,"",IF(AND(NOT(ISBLANK(E1294)),COUNTBLANK(E1294:K1294) = 6),"3 Delete",IF(ISBLANK(E1294),"2 Add",IF(SHA1Range(E1294:K1294) = "31995529a4c703020781345b4dd0273505ae6874","0 Original","1 Modify"))))</f>
        <v>0 Original</v>
      </c>
      <c r="D1294" s="5" t="s">
        <v>3522</v>
      </c>
      <c r="E1294" s="3">
        <v>1729</v>
      </c>
      <c r="F1294" t="s">
        <v>1353</v>
      </c>
      <c r="G1294" t="s">
        <v>820</v>
      </c>
      <c r="H1294" s="9">
        <v>9.99</v>
      </c>
      <c r="I1294" s="3">
        <v>1</v>
      </c>
      <c r="J1294" s="5" t="s">
        <v>68</v>
      </c>
      <c r="K1294" s="15">
        <v>41870.943136574075</v>
      </c>
      <c r="L1294" s="20">
        <f t="shared" si="60"/>
        <v>41870</v>
      </c>
      <c r="M1294" t="str">
        <f t="shared" si="61"/>
        <v>08-2014</v>
      </c>
      <c r="N1294">
        <f t="shared" si="62"/>
        <v>9.99</v>
      </c>
    </row>
    <row r="1295" spans="3:14" x14ac:dyDescent="0.25">
      <c r="C1295" t="str">
        <f>IF(COUNTBLANK(E1295:K1295) = 7,"",IF(AND(NOT(ISBLANK(E1295)),COUNTBLANK(E1295:K1295) = 6),"3 Delete",IF(ISBLANK(E1295),"2 Add",IF(SHA1Range(E1295:K1295) = "effa66d5231d39ff4145f86d817924c709e0c500","0 Original","1 Modify"))))</f>
        <v>0 Original</v>
      </c>
      <c r="D1295" s="5" t="s">
        <v>3523</v>
      </c>
      <c r="E1295" s="3">
        <v>968</v>
      </c>
      <c r="F1295" t="s">
        <v>1354</v>
      </c>
      <c r="G1295" t="s">
        <v>854</v>
      </c>
      <c r="H1295" s="9">
        <v>8.99</v>
      </c>
      <c r="I1295" s="3">
        <v>1</v>
      </c>
      <c r="J1295" s="5" t="s">
        <v>68</v>
      </c>
      <c r="K1295" s="15">
        <v>41870.956608796296</v>
      </c>
      <c r="L1295" s="20">
        <f t="shared" si="60"/>
        <v>41870</v>
      </c>
      <c r="M1295" t="str">
        <f t="shared" si="61"/>
        <v>08-2014</v>
      </c>
      <c r="N1295">
        <f t="shared" si="62"/>
        <v>8.99</v>
      </c>
    </row>
    <row r="1296" spans="3:14" x14ac:dyDescent="0.25">
      <c r="C1296" t="str">
        <f>IF(COUNTBLANK(E1296:K1296) = 7,"",IF(AND(NOT(ISBLANK(E1296)),COUNTBLANK(E1296:K1296) = 6),"3 Delete",IF(ISBLANK(E1296),"2 Add",IF(SHA1Range(E1296:K1296) = "0333f26e924af2f453e2bd1046055db057fc1514","0 Original","1 Modify"))))</f>
        <v>0 Original</v>
      </c>
      <c r="D1296" s="5" t="s">
        <v>3524</v>
      </c>
      <c r="E1296" s="3">
        <v>969</v>
      </c>
      <c r="F1296" t="s">
        <v>1354</v>
      </c>
      <c r="G1296" t="s">
        <v>690</v>
      </c>
      <c r="H1296" s="9">
        <v>7.99</v>
      </c>
      <c r="I1296" s="3">
        <v>1</v>
      </c>
      <c r="J1296" s="5" t="s">
        <v>68</v>
      </c>
      <c r="K1296" s="15">
        <v>41870.956608796296</v>
      </c>
      <c r="L1296" s="20">
        <f t="shared" si="60"/>
        <v>41870</v>
      </c>
      <c r="M1296" t="str">
        <f t="shared" si="61"/>
        <v>08-2014</v>
      </c>
      <c r="N1296">
        <f t="shared" si="62"/>
        <v>7.99</v>
      </c>
    </row>
    <row r="1297" spans="3:14" x14ac:dyDescent="0.25">
      <c r="C1297" t="str">
        <f>IF(COUNTBLANK(E1297:K1297) = 7,"",IF(AND(NOT(ISBLANK(E1297)),COUNTBLANK(E1297:K1297) = 6),"3 Delete",IF(ISBLANK(E1297),"2 Add",IF(SHA1Range(E1297:K1297) = "a749748cdccb548c24d707cfb417dd312feaa538","0 Original","1 Modify"))))</f>
        <v>0 Original</v>
      </c>
      <c r="D1297" s="5" t="s">
        <v>4203</v>
      </c>
      <c r="E1297" s="3">
        <v>215</v>
      </c>
      <c r="F1297" t="s">
        <v>1355</v>
      </c>
      <c r="G1297" t="s">
        <v>845</v>
      </c>
      <c r="H1297" s="9">
        <v>7.99</v>
      </c>
      <c r="I1297" s="3">
        <v>1</v>
      </c>
      <c r="J1297" s="5" t="s">
        <v>68</v>
      </c>
      <c r="K1297" s="15">
        <v>41871.37908564815</v>
      </c>
      <c r="L1297" s="20">
        <f t="shared" si="60"/>
        <v>41871</v>
      </c>
      <c r="M1297" t="str">
        <f t="shared" si="61"/>
        <v>08-2014</v>
      </c>
      <c r="N1297">
        <f t="shared" si="62"/>
        <v>7.99</v>
      </c>
    </row>
    <row r="1298" spans="3:14" x14ac:dyDescent="0.25">
      <c r="C1298" t="str">
        <f>IF(COUNTBLANK(E1298:K1298) = 7,"",IF(AND(NOT(ISBLANK(E1298)),COUNTBLANK(E1298:K1298) = 6),"3 Delete",IF(ISBLANK(E1298),"2 Add",IF(SHA1Range(E1298:K1298) = "161da1d67e60655cd5be75d9f618d36179b90b29","0 Original","1 Modify"))))</f>
        <v>0 Original</v>
      </c>
      <c r="D1298" s="5" t="s">
        <v>3525</v>
      </c>
      <c r="E1298" s="3">
        <v>3661</v>
      </c>
      <c r="F1298" t="s">
        <v>1356</v>
      </c>
      <c r="G1298" t="s">
        <v>373</v>
      </c>
      <c r="H1298" s="9">
        <v>7.99</v>
      </c>
      <c r="I1298" s="3">
        <v>2</v>
      </c>
      <c r="J1298" s="5" t="s">
        <v>68</v>
      </c>
      <c r="K1298" s="15">
        <v>41871.688530092593</v>
      </c>
      <c r="L1298" s="20">
        <f t="shared" si="60"/>
        <v>41871</v>
      </c>
      <c r="M1298" t="str">
        <f t="shared" si="61"/>
        <v>08-2014</v>
      </c>
      <c r="N1298">
        <f t="shared" si="62"/>
        <v>15.98</v>
      </c>
    </row>
    <row r="1299" spans="3:14" x14ac:dyDescent="0.25">
      <c r="C1299" t="str">
        <f>IF(COUNTBLANK(E1299:K1299) = 7,"",IF(AND(NOT(ISBLANK(E1299)),COUNTBLANK(E1299:K1299) = 6),"3 Delete",IF(ISBLANK(E1299),"2 Add",IF(SHA1Range(E1299:K1299) = "82fede3b2de9c595f97b12a555715da9dc482ec9","0 Original","1 Modify"))))</f>
        <v>0 Original</v>
      </c>
      <c r="D1299" s="5" t="s">
        <v>3526</v>
      </c>
      <c r="E1299" s="3">
        <v>3662</v>
      </c>
      <c r="F1299" t="s">
        <v>1356</v>
      </c>
      <c r="G1299" t="s">
        <v>707</v>
      </c>
      <c r="H1299" s="9">
        <v>7.99</v>
      </c>
      <c r="I1299" s="3">
        <v>2</v>
      </c>
      <c r="J1299" s="5" t="s">
        <v>68</v>
      </c>
      <c r="K1299" s="15">
        <v>41871.688530092593</v>
      </c>
      <c r="L1299" s="20">
        <f t="shared" si="60"/>
        <v>41871</v>
      </c>
      <c r="M1299" t="str">
        <f t="shared" si="61"/>
        <v>08-2014</v>
      </c>
      <c r="N1299">
        <f t="shared" si="62"/>
        <v>15.98</v>
      </c>
    </row>
    <row r="1300" spans="3:14" x14ac:dyDescent="0.25">
      <c r="C1300" t="str">
        <f>IF(COUNTBLANK(E1300:K1300) = 7,"",IF(AND(NOT(ISBLANK(E1300)),COUNTBLANK(E1300:K1300) = 6),"3 Delete",IF(ISBLANK(E1300),"2 Add",IF(SHA1Range(E1300:K1300) = "aba21a6352beac78f1a751a99e1b845cc3a3f778","0 Original","1 Modify"))))</f>
        <v>0 Original</v>
      </c>
      <c r="D1300" s="5" t="s">
        <v>3527</v>
      </c>
      <c r="E1300" s="3">
        <v>3663</v>
      </c>
      <c r="F1300" t="s">
        <v>1356</v>
      </c>
      <c r="G1300" t="s">
        <v>514</v>
      </c>
      <c r="H1300" s="9">
        <v>6.99</v>
      </c>
      <c r="I1300" s="3">
        <v>1</v>
      </c>
      <c r="J1300" s="5" t="s">
        <v>68</v>
      </c>
      <c r="K1300" s="15">
        <v>41871.688530092593</v>
      </c>
      <c r="L1300" s="20">
        <f t="shared" si="60"/>
        <v>41871</v>
      </c>
      <c r="M1300" t="str">
        <f t="shared" si="61"/>
        <v>08-2014</v>
      </c>
      <c r="N1300">
        <f t="shared" si="62"/>
        <v>6.99</v>
      </c>
    </row>
    <row r="1301" spans="3:14" x14ac:dyDescent="0.25">
      <c r="C1301" t="str">
        <f>IF(COUNTBLANK(E1301:K1301) = 7,"",IF(AND(NOT(ISBLANK(E1301)),COUNTBLANK(E1301:K1301) = 6),"3 Delete",IF(ISBLANK(E1301),"2 Add",IF(SHA1Range(E1301:K1301) = "4c5f39a079028ce57b68b3d25753264f87905a18","0 Original","1 Modify"))))</f>
        <v>0 Original</v>
      </c>
      <c r="D1301" s="5" t="s">
        <v>3528</v>
      </c>
      <c r="E1301" s="3">
        <v>3664</v>
      </c>
      <c r="F1301" t="s">
        <v>1356</v>
      </c>
      <c r="G1301" t="s">
        <v>707</v>
      </c>
      <c r="H1301" s="9">
        <v>7.99</v>
      </c>
      <c r="I1301" s="3">
        <v>2</v>
      </c>
      <c r="J1301" s="5" t="s">
        <v>68</v>
      </c>
      <c r="K1301" s="15">
        <v>41871.688530092593</v>
      </c>
      <c r="L1301" s="20">
        <f t="shared" si="60"/>
        <v>41871</v>
      </c>
      <c r="M1301" t="str">
        <f t="shared" si="61"/>
        <v>08-2014</v>
      </c>
      <c r="N1301">
        <f t="shared" si="62"/>
        <v>15.98</v>
      </c>
    </row>
    <row r="1302" spans="3:14" x14ac:dyDescent="0.25">
      <c r="C1302" t="str">
        <f>IF(COUNTBLANK(E1302:K1302) = 7,"",IF(AND(NOT(ISBLANK(E1302)),COUNTBLANK(E1302:K1302) = 6),"3 Delete",IF(ISBLANK(E1302),"2 Add",IF(SHA1Range(E1302:K1302) = "c72bf5a6f8e4c745aeb2f0d97e01b89f78359168","0 Original","1 Modify"))))</f>
        <v>0 Original</v>
      </c>
      <c r="D1302" s="5" t="s">
        <v>4204</v>
      </c>
      <c r="E1302" s="3">
        <v>847</v>
      </c>
      <c r="F1302" t="s">
        <v>1357</v>
      </c>
      <c r="G1302" t="s">
        <v>600</v>
      </c>
      <c r="H1302" s="9">
        <v>5.99</v>
      </c>
      <c r="I1302" s="3">
        <v>2</v>
      </c>
      <c r="J1302" s="5" t="s">
        <v>68</v>
      </c>
      <c r="K1302" s="15">
        <v>41871.788622685184</v>
      </c>
      <c r="L1302" s="20">
        <f t="shared" si="60"/>
        <v>41871</v>
      </c>
      <c r="M1302" t="str">
        <f t="shared" si="61"/>
        <v>08-2014</v>
      </c>
      <c r="N1302">
        <f t="shared" si="62"/>
        <v>11.98</v>
      </c>
    </row>
    <row r="1303" spans="3:14" x14ac:dyDescent="0.25">
      <c r="C1303" t="str">
        <f>IF(COUNTBLANK(E1303:K1303) = 7,"",IF(AND(NOT(ISBLANK(E1303)),COUNTBLANK(E1303:K1303) = 6),"3 Delete",IF(ISBLANK(E1303),"2 Add",IF(SHA1Range(E1303:K1303) = "c09030345e26921dc9651741ede225fc965776bf","0 Original","1 Modify"))))</f>
        <v>0 Original</v>
      </c>
      <c r="D1303" s="5" t="s">
        <v>4205</v>
      </c>
      <c r="E1303" s="3">
        <v>848</v>
      </c>
      <c r="F1303" t="s">
        <v>1357</v>
      </c>
      <c r="G1303" t="s">
        <v>697</v>
      </c>
      <c r="H1303" s="9">
        <v>5.99</v>
      </c>
      <c r="I1303" s="3">
        <v>1</v>
      </c>
      <c r="J1303" s="5" t="s">
        <v>68</v>
      </c>
      <c r="K1303" s="15">
        <v>41871.788622685184</v>
      </c>
      <c r="L1303" s="20">
        <f t="shared" si="60"/>
        <v>41871</v>
      </c>
      <c r="M1303" t="str">
        <f t="shared" si="61"/>
        <v>08-2014</v>
      </c>
      <c r="N1303">
        <f t="shared" si="62"/>
        <v>5.99</v>
      </c>
    </row>
    <row r="1304" spans="3:14" x14ac:dyDescent="0.25">
      <c r="C1304" t="str">
        <f>IF(COUNTBLANK(E1304:K1304) = 7,"",IF(AND(NOT(ISBLANK(E1304)),COUNTBLANK(E1304:K1304) = 6),"3 Delete",IF(ISBLANK(E1304),"2 Add",IF(SHA1Range(E1304:K1304) = "54e569030de956eb912ebf868593469c0740bbdb","0 Original","1 Modify"))))</f>
        <v>0 Original</v>
      </c>
      <c r="D1304" s="5" t="s">
        <v>4206</v>
      </c>
      <c r="E1304" s="3">
        <v>849</v>
      </c>
      <c r="F1304" t="s">
        <v>1357</v>
      </c>
      <c r="G1304" t="s">
        <v>869</v>
      </c>
      <c r="H1304" s="9">
        <v>4.99</v>
      </c>
      <c r="I1304" s="3">
        <v>2</v>
      </c>
      <c r="J1304" s="5" t="s">
        <v>68</v>
      </c>
      <c r="K1304" s="15">
        <v>41871.788622685184</v>
      </c>
      <c r="L1304" s="20">
        <f t="shared" si="60"/>
        <v>41871</v>
      </c>
      <c r="M1304" t="str">
        <f t="shared" si="61"/>
        <v>08-2014</v>
      </c>
      <c r="N1304">
        <f t="shared" si="62"/>
        <v>9.98</v>
      </c>
    </row>
    <row r="1305" spans="3:14" x14ac:dyDescent="0.25">
      <c r="C1305" t="str">
        <f>IF(COUNTBLANK(E1305:K1305) = 7,"",IF(AND(NOT(ISBLANK(E1305)),COUNTBLANK(E1305:K1305) = 6),"3 Delete",IF(ISBLANK(E1305),"2 Add",IF(SHA1Range(E1305:K1305) = "09961160f8876d35b4327017d2c7dccaf2a9265e","0 Original","1 Modify"))))</f>
        <v>0 Original</v>
      </c>
      <c r="D1305" s="5" t="s">
        <v>4207</v>
      </c>
      <c r="E1305" s="3">
        <v>850</v>
      </c>
      <c r="F1305" t="s">
        <v>1357</v>
      </c>
      <c r="G1305" t="s">
        <v>684</v>
      </c>
      <c r="H1305" s="9">
        <v>8.99</v>
      </c>
      <c r="I1305" s="3">
        <v>1</v>
      </c>
      <c r="J1305" s="5" t="s">
        <v>68</v>
      </c>
      <c r="K1305" s="15">
        <v>41871.788622685184</v>
      </c>
      <c r="L1305" s="20">
        <f t="shared" si="60"/>
        <v>41871</v>
      </c>
      <c r="M1305" t="str">
        <f t="shared" si="61"/>
        <v>08-2014</v>
      </c>
      <c r="N1305">
        <f t="shared" si="62"/>
        <v>8.99</v>
      </c>
    </row>
    <row r="1306" spans="3:14" x14ac:dyDescent="0.25">
      <c r="C1306" t="str">
        <f>IF(COUNTBLANK(E1306:K1306) = 7,"",IF(AND(NOT(ISBLANK(E1306)),COUNTBLANK(E1306:K1306) = 6),"3 Delete",IF(ISBLANK(E1306),"2 Add",IF(SHA1Range(E1306:K1306) = "b6d3ecfa29fb6fd05bc609e7463b4cb3abe9fe21","0 Original","1 Modify"))))</f>
        <v>0 Original</v>
      </c>
      <c r="D1306" s="5" t="s">
        <v>4208</v>
      </c>
      <c r="E1306" s="3">
        <v>851</v>
      </c>
      <c r="F1306" t="s">
        <v>1357</v>
      </c>
      <c r="G1306" t="s">
        <v>704</v>
      </c>
      <c r="H1306" s="9">
        <v>4.99</v>
      </c>
      <c r="I1306" s="3">
        <v>2</v>
      </c>
      <c r="J1306" s="5" t="s">
        <v>68</v>
      </c>
      <c r="K1306" s="15">
        <v>41871.788622685184</v>
      </c>
      <c r="L1306" s="20">
        <f t="shared" si="60"/>
        <v>41871</v>
      </c>
      <c r="M1306" t="str">
        <f t="shared" si="61"/>
        <v>08-2014</v>
      </c>
      <c r="N1306">
        <f t="shared" si="62"/>
        <v>9.98</v>
      </c>
    </row>
    <row r="1307" spans="3:14" x14ac:dyDescent="0.25">
      <c r="C1307" t="str">
        <f>IF(COUNTBLANK(E1307:K1307) = 7,"",IF(AND(NOT(ISBLANK(E1307)),COUNTBLANK(E1307:K1307) = 6),"3 Delete",IF(ISBLANK(E1307),"2 Add",IF(SHA1Range(E1307:K1307) = "baa0118fc832f60c22f5c3930a5529cc9faf5130","0 Original","1 Modify"))))</f>
        <v>0 Original</v>
      </c>
      <c r="D1307" s="5" t="s">
        <v>4209</v>
      </c>
      <c r="E1307" s="3">
        <v>852</v>
      </c>
      <c r="F1307" t="s">
        <v>1357</v>
      </c>
      <c r="G1307" t="s">
        <v>548</v>
      </c>
      <c r="H1307" s="9">
        <v>5.99</v>
      </c>
      <c r="I1307" s="3">
        <v>2</v>
      </c>
      <c r="J1307" s="5" t="s">
        <v>68</v>
      </c>
      <c r="K1307" s="15">
        <v>41871.788622685184</v>
      </c>
      <c r="L1307" s="20">
        <f t="shared" si="60"/>
        <v>41871</v>
      </c>
      <c r="M1307" t="str">
        <f t="shared" si="61"/>
        <v>08-2014</v>
      </c>
      <c r="N1307">
        <f t="shared" si="62"/>
        <v>11.98</v>
      </c>
    </row>
    <row r="1308" spans="3:14" x14ac:dyDescent="0.25">
      <c r="C1308" t="str">
        <f>IF(COUNTBLANK(E1308:K1308) = 7,"",IF(AND(NOT(ISBLANK(E1308)),COUNTBLANK(E1308:K1308) = 6),"3 Delete",IF(ISBLANK(E1308),"2 Add",IF(SHA1Range(E1308:K1308) = "95e24bd859794520f9035b56b7a56b9f1f8005ec","0 Original","1 Modify"))))</f>
        <v>0 Original</v>
      </c>
      <c r="D1308" s="5" t="s">
        <v>3529</v>
      </c>
      <c r="E1308" s="3">
        <v>2905</v>
      </c>
      <c r="F1308" t="s">
        <v>1358</v>
      </c>
      <c r="G1308" t="s">
        <v>749</v>
      </c>
      <c r="H1308" s="9">
        <v>5.99</v>
      </c>
      <c r="I1308" s="3">
        <v>2</v>
      </c>
      <c r="J1308" s="5" t="s">
        <v>68</v>
      </c>
      <c r="K1308" s="15">
        <v>41873.391168981485</v>
      </c>
      <c r="L1308" s="20">
        <f t="shared" si="60"/>
        <v>41873</v>
      </c>
      <c r="M1308" t="str">
        <f t="shared" si="61"/>
        <v>08-2014</v>
      </c>
      <c r="N1308">
        <f t="shared" si="62"/>
        <v>11.98</v>
      </c>
    </row>
    <row r="1309" spans="3:14" x14ac:dyDescent="0.25">
      <c r="C1309" t="str">
        <f>IF(COUNTBLANK(E1309:K1309) = 7,"",IF(AND(NOT(ISBLANK(E1309)),COUNTBLANK(E1309:K1309) = 6),"3 Delete",IF(ISBLANK(E1309),"2 Add",IF(SHA1Range(E1309:K1309) = "46d299af7d851654c1436a2af1510139ad11a5a3","0 Original","1 Modify"))))</f>
        <v>0 Original</v>
      </c>
      <c r="D1309" s="5" t="s">
        <v>3530</v>
      </c>
      <c r="E1309" s="3">
        <v>2906</v>
      </c>
      <c r="F1309" t="s">
        <v>1358</v>
      </c>
      <c r="G1309" t="s">
        <v>687</v>
      </c>
      <c r="H1309" s="9">
        <v>9.99</v>
      </c>
      <c r="I1309" s="3">
        <v>1</v>
      </c>
      <c r="J1309" s="5" t="s">
        <v>68</v>
      </c>
      <c r="K1309" s="15">
        <v>41873.391168981485</v>
      </c>
      <c r="L1309" s="20">
        <f t="shared" si="60"/>
        <v>41873</v>
      </c>
      <c r="M1309" t="str">
        <f t="shared" si="61"/>
        <v>08-2014</v>
      </c>
      <c r="N1309">
        <f t="shared" si="62"/>
        <v>9.99</v>
      </c>
    </row>
    <row r="1310" spans="3:14" x14ac:dyDescent="0.25">
      <c r="C1310" t="str">
        <f>IF(COUNTBLANK(E1310:K1310) = 7,"",IF(AND(NOT(ISBLANK(E1310)),COUNTBLANK(E1310:K1310) = 6),"3 Delete",IF(ISBLANK(E1310),"2 Add",IF(SHA1Range(E1310:K1310) = "818c5ab6b580dd6dde32ee26278c67bb07c127aa","0 Original","1 Modify"))))</f>
        <v>0 Original</v>
      </c>
      <c r="D1310" s="5" t="s">
        <v>3531</v>
      </c>
      <c r="E1310" s="3">
        <v>2907</v>
      </c>
      <c r="F1310" t="s">
        <v>1358</v>
      </c>
      <c r="G1310" t="s">
        <v>579</v>
      </c>
      <c r="H1310" s="9">
        <v>9.99</v>
      </c>
      <c r="I1310" s="3">
        <v>1</v>
      </c>
      <c r="J1310" s="5" t="s">
        <v>68</v>
      </c>
      <c r="K1310" s="15">
        <v>41873.391168981485</v>
      </c>
      <c r="L1310" s="20">
        <f t="shared" si="60"/>
        <v>41873</v>
      </c>
      <c r="M1310" t="str">
        <f t="shared" si="61"/>
        <v>08-2014</v>
      </c>
      <c r="N1310">
        <f t="shared" si="62"/>
        <v>9.99</v>
      </c>
    </row>
    <row r="1311" spans="3:14" x14ac:dyDescent="0.25">
      <c r="C1311" t="str">
        <f>IF(COUNTBLANK(E1311:K1311) = 7,"",IF(AND(NOT(ISBLANK(E1311)),COUNTBLANK(E1311:K1311) = 6),"3 Delete",IF(ISBLANK(E1311),"2 Add",IF(SHA1Range(E1311:K1311) = "352e0b603830bfc346f244f78a41cacddff62d5c","0 Original","1 Modify"))))</f>
        <v>0 Original</v>
      </c>
      <c r="D1311" s="5" t="s">
        <v>3532</v>
      </c>
      <c r="E1311" s="3">
        <v>2908</v>
      </c>
      <c r="F1311" t="s">
        <v>1358</v>
      </c>
      <c r="G1311" t="s">
        <v>642</v>
      </c>
      <c r="H1311" s="9">
        <v>9.99</v>
      </c>
      <c r="I1311" s="3">
        <v>1</v>
      </c>
      <c r="J1311" s="5" t="s">
        <v>68</v>
      </c>
      <c r="K1311" s="15">
        <v>41873.391168981485</v>
      </c>
      <c r="L1311" s="20">
        <f t="shared" si="60"/>
        <v>41873</v>
      </c>
      <c r="M1311" t="str">
        <f t="shared" si="61"/>
        <v>08-2014</v>
      </c>
      <c r="N1311">
        <f t="shared" si="62"/>
        <v>9.99</v>
      </c>
    </row>
    <row r="1312" spans="3:14" x14ac:dyDescent="0.25">
      <c r="C1312" t="str">
        <f>IF(COUNTBLANK(E1312:K1312) = 7,"",IF(AND(NOT(ISBLANK(E1312)),COUNTBLANK(E1312:K1312) = 6),"3 Delete",IF(ISBLANK(E1312),"2 Add",IF(SHA1Range(E1312:K1312) = "bac283a5e3af44e35bc8b050e20cdbd291a4b854","0 Original","1 Modify"))))</f>
        <v>0 Original</v>
      </c>
      <c r="D1312" s="5" t="s">
        <v>3533</v>
      </c>
      <c r="E1312" s="3">
        <v>2909</v>
      </c>
      <c r="F1312" t="s">
        <v>1358</v>
      </c>
      <c r="G1312" t="s">
        <v>579</v>
      </c>
      <c r="H1312" s="9">
        <v>9.99</v>
      </c>
      <c r="I1312" s="3">
        <v>1</v>
      </c>
      <c r="J1312" s="5" t="s">
        <v>68</v>
      </c>
      <c r="K1312" s="15">
        <v>41873.391168981485</v>
      </c>
      <c r="L1312" s="20">
        <f t="shared" si="60"/>
        <v>41873</v>
      </c>
      <c r="M1312" t="str">
        <f t="shared" si="61"/>
        <v>08-2014</v>
      </c>
      <c r="N1312">
        <f t="shared" si="62"/>
        <v>9.99</v>
      </c>
    </row>
    <row r="1313" spans="3:14" x14ac:dyDescent="0.25">
      <c r="C1313" t="str">
        <f>IF(COUNTBLANK(E1313:K1313) = 7,"",IF(AND(NOT(ISBLANK(E1313)),COUNTBLANK(E1313:K1313) = 6),"3 Delete",IF(ISBLANK(E1313),"2 Add",IF(SHA1Range(E1313:K1313) = "957159132cc797fe1c65cbbd68154c038f7dc7c5","0 Original","1 Modify"))))</f>
        <v>0 Original</v>
      </c>
      <c r="D1313" s="5" t="s">
        <v>3534</v>
      </c>
      <c r="E1313" s="3">
        <v>2910</v>
      </c>
      <c r="F1313" t="s">
        <v>1358</v>
      </c>
      <c r="G1313" t="s">
        <v>749</v>
      </c>
      <c r="H1313" s="9">
        <v>5.99</v>
      </c>
      <c r="I1313" s="3">
        <v>1</v>
      </c>
      <c r="J1313" s="5" t="s">
        <v>68</v>
      </c>
      <c r="K1313" s="15">
        <v>41873.391168981485</v>
      </c>
      <c r="L1313" s="20">
        <f t="shared" si="60"/>
        <v>41873</v>
      </c>
      <c r="M1313" t="str">
        <f t="shared" si="61"/>
        <v>08-2014</v>
      </c>
      <c r="N1313">
        <f t="shared" si="62"/>
        <v>5.99</v>
      </c>
    </row>
    <row r="1314" spans="3:14" x14ac:dyDescent="0.25">
      <c r="C1314" t="str">
        <f>IF(COUNTBLANK(E1314:K1314) = 7,"",IF(AND(NOT(ISBLANK(E1314)),COUNTBLANK(E1314:K1314) = 6),"3 Delete",IF(ISBLANK(E1314),"2 Add",IF(SHA1Range(E1314:K1314) = "d28aa580d6a4d1d57e34e4cbba76080409b7d5d3","0 Original","1 Modify"))))</f>
        <v>0 Original</v>
      </c>
      <c r="D1314" s="5" t="s">
        <v>3535</v>
      </c>
      <c r="E1314" s="3">
        <v>2911</v>
      </c>
      <c r="F1314" t="s">
        <v>1358</v>
      </c>
      <c r="G1314" t="s">
        <v>948</v>
      </c>
      <c r="H1314" s="9">
        <v>4.99</v>
      </c>
      <c r="I1314" s="3">
        <v>2</v>
      </c>
      <c r="J1314" s="5" t="s">
        <v>68</v>
      </c>
      <c r="K1314" s="15">
        <v>41873.391168981485</v>
      </c>
      <c r="L1314" s="20">
        <f t="shared" si="60"/>
        <v>41873</v>
      </c>
      <c r="M1314" t="str">
        <f t="shared" si="61"/>
        <v>08-2014</v>
      </c>
      <c r="N1314">
        <f t="shared" si="62"/>
        <v>9.98</v>
      </c>
    </row>
    <row r="1315" spans="3:14" x14ac:dyDescent="0.25">
      <c r="C1315" t="str">
        <f>IF(COUNTBLANK(E1315:K1315) = 7,"",IF(AND(NOT(ISBLANK(E1315)),COUNTBLANK(E1315:K1315) = 6),"3 Delete",IF(ISBLANK(E1315),"2 Add",IF(SHA1Range(E1315:K1315) = "d89787a67fe4c4d5d690289427e121a7b68e0f00","0 Original","1 Modify"))))</f>
        <v>0 Original</v>
      </c>
      <c r="D1315" s="5" t="s">
        <v>3536</v>
      </c>
      <c r="E1315" s="3">
        <v>3654</v>
      </c>
      <c r="F1315" t="s">
        <v>1359</v>
      </c>
      <c r="G1315" t="s">
        <v>579</v>
      </c>
      <c r="H1315" s="9">
        <v>9.99</v>
      </c>
      <c r="I1315" s="3">
        <v>2</v>
      </c>
      <c r="J1315" s="5" t="s">
        <v>68</v>
      </c>
      <c r="K1315" s="15">
        <v>41873.453148148146</v>
      </c>
      <c r="L1315" s="20">
        <f t="shared" si="60"/>
        <v>41873</v>
      </c>
      <c r="M1315" t="str">
        <f t="shared" si="61"/>
        <v>08-2014</v>
      </c>
      <c r="N1315">
        <f t="shared" si="62"/>
        <v>19.98</v>
      </c>
    </row>
    <row r="1316" spans="3:14" x14ac:dyDescent="0.25">
      <c r="C1316" t="str">
        <f>IF(COUNTBLANK(E1316:K1316) = 7,"",IF(AND(NOT(ISBLANK(E1316)),COUNTBLANK(E1316:K1316) = 6),"3 Delete",IF(ISBLANK(E1316),"2 Add",IF(SHA1Range(E1316:K1316) = "114d54065d2963ddc4550371e8e883cb19ab4f14","0 Original","1 Modify"))))</f>
        <v>0 Original</v>
      </c>
      <c r="D1316" s="5" t="s">
        <v>3537</v>
      </c>
      <c r="E1316" s="3">
        <v>588</v>
      </c>
      <c r="F1316" t="s">
        <v>1360</v>
      </c>
      <c r="G1316" t="s">
        <v>426</v>
      </c>
      <c r="H1316" s="9">
        <v>8.99</v>
      </c>
      <c r="I1316" s="3">
        <v>2</v>
      </c>
      <c r="J1316" s="5" t="s">
        <v>68</v>
      </c>
      <c r="K1316" s="15">
        <v>41874.869293981479</v>
      </c>
      <c r="L1316" s="20">
        <f t="shared" si="60"/>
        <v>41874</v>
      </c>
      <c r="M1316" t="str">
        <f t="shared" si="61"/>
        <v>08-2014</v>
      </c>
      <c r="N1316">
        <f t="shared" si="62"/>
        <v>17.98</v>
      </c>
    </row>
    <row r="1317" spans="3:14" x14ac:dyDescent="0.25">
      <c r="C1317" t="str">
        <f>IF(COUNTBLANK(E1317:K1317) = 7,"",IF(AND(NOT(ISBLANK(E1317)),COUNTBLANK(E1317:K1317) = 6),"3 Delete",IF(ISBLANK(E1317),"2 Add",IF(SHA1Range(E1317:K1317) = "62e393ce64d7f688b75c3b7bdecfceadc4e7fd79","0 Original","1 Modify"))))</f>
        <v>0 Original</v>
      </c>
      <c r="D1317" s="5" t="s">
        <v>3538</v>
      </c>
      <c r="E1317" s="3">
        <v>2411</v>
      </c>
      <c r="F1317" t="s">
        <v>1361</v>
      </c>
      <c r="G1317" t="s">
        <v>687</v>
      </c>
      <c r="H1317" s="9">
        <v>9.99</v>
      </c>
      <c r="I1317" s="3">
        <v>1</v>
      </c>
      <c r="J1317" s="5" t="s">
        <v>68</v>
      </c>
      <c r="K1317" s="15">
        <v>41874.928923611114</v>
      </c>
      <c r="L1317" s="20">
        <f t="shared" si="60"/>
        <v>41874</v>
      </c>
      <c r="M1317" t="str">
        <f t="shared" si="61"/>
        <v>08-2014</v>
      </c>
      <c r="N1317">
        <f t="shared" si="62"/>
        <v>9.99</v>
      </c>
    </row>
    <row r="1318" spans="3:14" x14ac:dyDescent="0.25">
      <c r="C1318" t="str">
        <f>IF(COUNTBLANK(E1318:K1318) = 7,"",IF(AND(NOT(ISBLANK(E1318)),COUNTBLANK(E1318:K1318) = 6),"3 Delete",IF(ISBLANK(E1318),"2 Add",IF(SHA1Range(E1318:K1318) = "070a0a1898c29bb4e452e35b72bbd236971c4289","0 Original","1 Modify"))))</f>
        <v>0 Original</v>
      </c>
      <c r="D1318" s="5" t="s">
        <v>4210</v>
      </c>
      <c r="E1318" s="3">
        <v>180</v>
      </c>
      <c r="F1318" t="s">
        <v>1362</v>
      </c>
      <c r="G1318" t="s">
        <v>556</v>
      </c>
      <c r="H1318" s="9">
        <v>5.99</v>
      </c>
      <c r="I1318" s="3">
        <v>2</v>
      </c>
      <c r="J1318" s="5" t="s">
        <v>68</v>
      </c>
      <c r="K1318" s="15">
        <v>41875.153298611112</v>
      </c>
      <c r="L1318" s="20">
        <f t="shared" si="60"/>
        <v>41875</v>
      </c>
      <c r="M1318" t="str">
        <f t="shared" si="61"/>
        <v>08-2014</v>
      </c>
      <c r="N1318">
        <f t="shared" si="62"/>
        <v>11.98</v>
      </c>
    </row>
    <row r="1319" spans="3:14" x14ac:dyDescent="0.25">
      <c r="C1319" t="str">
        <f>IF(COUNTBLANK(E1319:K1319) = 7,"",IF(AND(NOT(ISBLANK(E1319)),COUNTBLANK(E1319:K1319) = 6),"3 Delete",IF(ISBLANK(E1319),"2 Add",IF(SHA1Range(E1319:K1319) = "08e8a42f3c1532a1168b6b1a631efce3035cc744","0 Original","1 Modify"))))</f>
        <v>0 Original</v>
      </c>
      <c r="D1319" s="5" t="s">
        <v>4211</v>
      </c>
      <c r="E1319" s="3">
        <v>181</v>
      </c>
      <c r="F1319" t="s">
        <v>1362</v>
      </c>
      <c r="G1319" t="s">
        <v>891</v>
      </c>
      <c r="H1319" s="9">
        <v>8.99</v>
      </c>
      <c r="I1319" s="3">
        <v>2</v>
      </c>
      <c r="J1319" s="5" t="s">
        <v>68</v>
      </c>
      <c r="K1319" s="15">
        <v>41875.153298611112</v>
      </c>
      <c r="L1319" s="20">
        <f t="shared" si="60"/>
        <v>41875</v>
      </c>
      <c r="M1319" t="str">
        <f t="shared" si="61"/>
        <v>08-2014</v>
      </c>
      <c r="N1319">
        <f t="shared" si="62"/>
        <v>17.98</v>
      </c>
    </row>
    <row r="1320" spans="3:14" x14ac:dyDescent="0.25">
      <c r="C1320" t="str">
        <f>IF(COUNTBLANK(E1320:K1320) = 7,"",IF(AND(NOT(ISBLANK(E1320)),COUNTBLANK(E1320:K1320) = 6),"3 Delete",IF(ISBLANK(E1320),"2 Add",IF(SHA1Range(E1320:K1320) = "169d4df525a068ebb2db5a41b5039a719ae48a00","0 Original","1 Modify"))))</f>
        <v>0 Original</v>
      </c>
      <c r="D1320" s="5" t="s">
        <v>4212</v>
      </c>
      <c r="E1320" s="3">
        <v>182</v>
      </c>
      <c r="F1320" t="s">
        <v>1362</v>
      </c>
      <c r="G1320" t="s">
        <v>610</v>
      </c>
      <c r="H1320" s="9">
        <v>9.99</v>
      </c>
      <c r="I1320" s="3">
        <v>2</v>
      </c>
      <c r="J1320" s="5" t="s">
        <v>68</v>
      </c>
      <c r="K1320" s="15">
        <v>41875.153298611112</v>
      </c>
      <c r="L1320" s="20">
        <f t="shared" si="60"/>
        <v>41875</v>
      </c>
      <c r="M1320" t="str">
        <f t="shared" si="61"/>
        <v>08-2014</v>
      </c>
      <c r="N1320">
        <f t="shared" si="62"/>
        <v>19.98</v>
      </c>
    </row>
    <row r="1321" spans="3:14" x14ac:dyDescent="0.25">
      <c r="C1321" t="str">
        <f>IF(COUNTBLANK(E1321:K1321) = 7,"",IF(AND(NOT(ISBLANK(E1321)),COUNTBLANK(E1321:K1321) = 6),"3 Delete",IF(ISBLANK(E1321),"2 Add",IF(SHA1Range(E1321:K1321) = "6ae72a24958325da18c8bb15d90308d8cfe8fbdd","0 Original","1 Modify"))))</f>
        <v>0 Original</v>
      </c>
      <c r="D1321" s="5" t="s">
        <v>4213</v>
      </c>
      <c r="E1321" s="3">
        <v>183</v>
      </c>
      <c r="F1321" t="s">
        <v>1362</v>
      </c>
      <c r="G1321" t="s">
        <v>570</v>
      </c>
      <c r="H1321" s="9">
        <v>6.99</v>
      </c>
      <c r="I1321" s="3">
        <v>2</v>
      </c>
      <c r="J1321" s="5" t="s">
        <v>68</v>
      </c>
      <c r="K1321" s="15">
        <v>41875.153298611112</v>
      </c>
      <c r="L1321" s="20">
        <f t="shared" si="60"/>
        <v>41875</v>
      </c>
      <c r="M1321" t="str">
        <f t="shared" si="61"/>
        <v>08-2014</v>
      </c>
      <c r="N1321">
        <f t="shared" si="62"/>
        <v>13.98</v>
      </c>
    </row>
    <row r="1322" spans="3:14" x14ac:dyDescent="0.25">
      <c r="C1322" t="str">
        <f>IF(COUNTBLANK(E1322:K1322) = 7,"",IF(AND(NOT(ISBLANK(E1322)),COUNTBLANK(E1322:K1322) = 6),"3 Delete",IF(ISBLANK(E1322),"2 Add",IF(SHA1Range(E1322:K1322) = "8ce687a1a59926909c893ed4d6e0d431b824df10","0 Original","1 Modify"))))</f>
        <v>0 Original</v>
      </c>
      <c r="D1322" s="5" t="s">
        <v>4214</v>
      </c>
      <c r="E1322" s="3">
        <v>184</v>
      </c>
      <c r="F1322" t="s">
        <v>1362</v>
      </c>
      <c r="G1322" t="s">
        <v>638</v>
      </c>
      <c r="H1322" s="9">
        <v>6.99</v>
      </c>
      <c r="I1322" s="3">
        <v>1</v>
      </c>
      <c r="J1322" s="5" t="s">
        <v>68</v>
      </c>
      <c r="K1322" s="15">
        <v>41875.153298611112</v>
      </c>
      <c r="L1322" s="20">
        <f t="shared" si="60"/>
        <v>41875</v>
      </c>
      <c r="M1322" t="str">
        <f t="shared" si="61"/>
        <v>08-2014</v>
      </c>
      <c r="N1322">
        <f t="shared" si="62"/>
        <v>6.99</v>
      </c>
    </row>
    <row r="1323" spans="3:14" x14ac:dyDescent="0.25">
      <c r="C1323" t="str">
        <f>IF(COUNTBLANK(E1323:K1323) = 7,"",IF(AND(NOT(ISBLANK(E1323)),COUNTBLANK(E1323:K1323) = 6),"3 Delete",IF(ISBLANK(E1323),"2 Add",IF(SHA1Range(E1323:K1323) = "6f16e7ac9489f40d56146c8c581c87fde9f072c3","0 Original","1 Modify"))))</f>
        <v>0 Original</v>
      </c>
      <c r="D1323" s="5" t="s">
        <v>4215</v>
      </c>
      <c r="E1323" s="3">
        <v>185</v>
      </c>
      <c r="F1323" t="s">
        <v>1362</v>
      </c>
      <c r="G1323" t="s">
        <v>432</v>
      </c>
      <c r="H1323" s="9">
        <v>8.99</v>
      </c>
      <c r="I1323" s="3">
        <v>1</v>
      </c>
      <c r="J1323" s="5" t="s">
        <v>68</v>
      </c>
      <c r="K1323" s="15">
        <v>41875.153298611112</v>
      </c>
      <c r="L1323" s="20">
        <f t="shared" si="60"/>
        <v>41875</v>
      </c>
      <c r="M1323" t="str">
        <f t="shared" si="61"/>
        <v>08-2014</v>
      </c>
      <c r="N1323">
        <f t="shared" si="62"/>
        <v>8.99</v>
      </c>
    </row>
    <row r="1324" spans="3:14" x14ac:dyDescent="0.25">
      <c r="C1324" t="str">
        <f>IF(COUNTBLANK(E1324:K1324) = 7,"",IF(AND(NOT(ISBLANK(E1324)),COUNTBLANK(E1324:K1324) = 6),"3 Delete",IF(ISBLANK(E1324),"2 Add",IF(SHA1Range(E1324:K1324) = "6472933f648659dc10138030bff252b0d9739c52","0 Original","1 Modify"))))</f>
        <v>0 Original</v>
      </c>
      <c r="D1324" s="5" t="s">
        <v>4216</v>
      </c>
      <c r="E1324" s="3">
        <v>599</v>
      </c>
      <c r="F1324" t="s">
        <v>1363</v>
      </c>
      <c r="G1324" t="s">
        <v>788</v>
      </c>
      <c r="H1324" s="9">
        <v>5.99</v>
      </c>
      <c r="I1324" s="3">
        <v>1</v>
      </c>
      <c r="J1324" s="5" t="s">
        <v>68</v>
      </c>
      <c r="K1324" s="15">
        <v>41875.872349537036</v>
      </c>
      <c r="L1324" s="20">
        <f t="shared" si="60"/>
        <v>41875</v>
      </c>
      <c r="M1324" t="str">
        <f t="shared" si="61"/>
        <v>08-2014</v>
      </c>
      <c r="N1324">
        <f t="shared" si="62"/>
        <v>5.99</v>
      </c>
    </row>
    <row r="1325" spans="3:14" x14ac:dyDescent="0.25">
      <c r="C1325" t="str">
        <f>IF(COUNTBLANK(E1325:K1325) = 7,"",IF(AND(NOT(ISBLANK(E1325)),COUNTBLANK(E1325:K1325) = 6),"3 Delete",IF(ISBLANK(E1325),"2 Add",IF(SHA1Range(E1325:K1325) = "ff586c6291ad6a0b8768b8e5df240b7d30f8d5c8","0 Original","1 Modify"))))</f>
        <v>0 Original</v>
      </c>
      <c r="D1325" s="5" t="s">
        <v>4217</v>
      </c>
      <c r="E1325" s="3">
        <v>600</v>
      </c>
      <c r="F1325" t="s">
        <v>1363</v>
      </c>
      <c r="G1325" t="s">
        <v>952</v>
      </c>
      <c r="H1325" s="9">
        <v>9.99</v>
      </c>
      <c r="I1325" s="3">
        <v>1</v>
      </c>
      <c r="J1325" s="5" t="s">
        <v>68</v>
      </c>
      <c r="K1325" s="15">
        <v>41875.872349537036</v>
      </c>
      <c r="L1325" s="20">
        <f t="shared" si="60"/>
        <v>41875</v>
      </c>
      <c r="M1325" t="str">
        <f t="shared" si="61"/>
        <v>08-2014</v>
      </c>
      <c r="N1325">
        <f t="shared" si="62"/>
        <v>9.99</v>
      </c>
    </row>
    <row r="1326" spans="3:14" x14ac:dyDescent="0.25">
      <c r="C1326" t="str">
        <f>IF(COUNTBLANK(E1326:K1326) = 7,"",IF(AND(NOT(ISBLANK(E1326)),COUNTBLANK(E1326:K1326) = 6),"3 Delete",IF(ISBLANK(E1326),"2 Add",IF(SHA1Range(E1326:K1326) = "792bdabc50eb630a1dac0d8678d0632c6851a109","0 Original","1 Modify"))))</f>
        <v>0 Original</v>
      </c>
      <c r="D1326" s="5" t="s">
        <v>4218</v>
      </c>
      <c r="E1326" s="3">
        <v>601</v>
      </c>
      <c r="F1326" t="s">
        <v>1363</v>
      </c>
      <c r="G1326" t="s">
        <v>735</v>
      </c>
      <c r="H1326" s="9">
        <v>4.99</v>
      </c>
      <c r="I1326" s="3">
        <v>1</v>
      </c>
      <c r="J1326" s="5" t="s">
        <v>68</v>
      </c>
      <c r="K1326" s="15">
        <v>41875.872349537036</v>
      </c>
      <c r="L1326" s="20">
        <f t="shared" si="60"/>
        <v>41875</v>
      </c>
      <c r="M1326" t="str">
        <f t="shared" si="61"/>
        <v>08-2014</v>
      </c>
      <c r="N1326">
        <f t="shared" si="62"/>
        <v>4.99</v>
      </c>
    </row>
    <row r="1327" spans="3:14" x14ac:dyDescent="0.25">
      <c r="C1327" t="str">
        <f>IF(COUNTBLANK(E1327:K1327) = 7,"",IF(AND(NOT(ISBLANK(E1327)),COUNTBLANK(E1327:K1327) = 6),"3 Delete",IF(ISBLANK(E1327),"2 Add",IF(SHA1Range(E1327:K1327) = "9824f65ffc1fd2921e4ca9d524e5b7cc906c534d","0 Original","1 Modify"))))</f>
        <v>0 Original</v>
      </c>
      <c r="D1327" s="5" t="s">
        <v>4219</v>
      </c>
      <c r="E1327" s="3">
        <v>44</v>
      </c>
      <c r="F1327" t="s">
        <v>1364</v>
      </c>
      <c r="G1327" t="s">
        <v>423</v>
      </c>
      <c r="H1327" s="9">
        <v>4.99</v>
      </c>
      <c r="I1327" s="3">
        <v>1</v>
      </c>
      <c r="J1327" s="5" t="s">
        <v>68</v>
      </c>
      <c r="K1327" s="15">
        <v>41875.879293981481</v>
      </c>
      <c r="L1327" s="20">
        <f t="shared" si="60"/>
        <v>41875</v>
      </c>
      <c r="M1327" t="str">
        <f t="shared" si="61"/>
        <v>08-2014</v>
      </c>
      <c r="N1327">
        <f t="shared" si="62"/>
        <v>4.99</v>
      </c>
    </row>
    <row r="1328" spans="3:14" x14ac:dyDescent="0.25">
      <c r="C1328" t="str">
        <f>IF(COUNTBLANK(E1328:K1328) = 7,"",IF(AND(NOT(ISBLANK(E1328)),COUNTBLANK(E1328:K1328) = 6),"3 Delete",IF(ISBLANK(E1328),"2 Add",IF(SHA1Range(E1328:K1328) = "c616c24c717846593066e980aa3adb8f24c3e0fc","0 Original","1 Modify"))))</f>
        <v>0 Original</v>
      </c>
      <c r="D1328" s="5" t="s">
        <v>4220</v>
      </c>
      <c r="E1328" s="3">
        <v>45</v>
      </c>
      <c r="F1328" t="s">
        <v>1364</v>
      </c>
      <c r="G1328" t="s">
        <v>909</v>
      </c>
      <c r="H1328" s="9">
        <v>5.99</v>
      </c>
      <c r="I1328" s="3">
        <v>1</v>
      </c>
      <c r="J1328" s="5" t="s">
        <v>68</v>
      </c>
      <c r="K1328" s="15">
        <v>41875.879293981481</v>
      </c>
      <c r="L1328" s="20">
        <f t="shared" si="60"/>
        <v>41875</v>
      </c>
      <c r="M1328" t="str">
        <f t="shared" si="61"/>
        <v>08-2014</v>
      </c>
      <c r="N1328">
        <f t="shared" si="62"/>
        <v>5.99</v>
      </c>
    </row>
    <row r="1329" spans="3:14" x14ac:dyDescent="0.25">
      <c r="C1329" t="str">
        <f>IF(COUNTBLANK(E1329:K1329) = 7,"",IF(AND(NOT(ISBLANK(E1329)),COUNTBLANK(E1329:K1329) = 6),"3 Delete",IF(ISBLANK(E1329),"2 Add",IF(SHA1Range(E1329:K1329) = "1a3a0b057386f36c0629a6663a712c1db1d05620","0 Original","1 Modify"))))</f>
        <v>0 Original</v>
      </c>
      <c r="D1329" s="5" t="s">
        <v>4221</v>
      </c>
      <c r="E1329" s="3">
        <v>46</v>
      </c>
      <c r="F1329" t="s">
        <v>1364</v>
      </c>
      <c r="G1329" t="s">
        <v>432</v>
      </c>
      <c r="H1329" s="9">
        <v>8.99</v>
      </c>
      <c r="I1329" s="3">
        <v>2</v>
      </c>
      <c r="J1329" s="5" t="s">
        <v>68</v>
      </c>
      <c r="K1329" s="15">
        <v>41875.879293981481</v>
      </c>
      <c r="L1329" s="20">
        <f t="shared" si="60"/>
        <v>41875</v>
      </c>
      <c r="M1329" t="str">
        <f t="shared" si="61"/>
        <v>08-2014</v>
      </c>
      <c r="N1329">
        <f t="shared" si="62"/>
        <v>17.98</v>
      </c>
    </row>
    <row r="1330" spans="3:14" x14ac:dyDescent="0.25">
      <c r="C1330" t="str">
        <f>IF(COUNTBLANK(E1330:K1330) = 7,"",IF(AND(NOT(ISBLANK(E1330)),COUNTBLANK(E1330:K1330) = 6),"3 Delete",IF(ISBLANK(E1330),"2 Add",IF(SHA1Range(E1330:K1330) = "3fa0f403adc13f3d82a0fd1c540dcf9dbf0de72a","0 Original","1 Modify"))))</f>
        <v>0 Original</v>
      </c>
      <c r="D1330" s="5" t="s">
        <v>3539</v>
      </c>
      <c r="E1330" s="3">
        <v>1746</v>
      </c>
      <c r="F1330" t="s">
        <v>1365</v>
      </c>
      <c r="G1330" t="s">
        <v>732</v>
      </c>
      <c r="H1330" s="9">
        <v>9.99</v>
      </c>
      <c r="I1330" s="3">
        <v>1</v>
      </c>
      <c r="J1330" s="5" t="s">
        <v>68</v>
      </c>
      <c r="K1330" s="15">
        <v>41876.419039351851</v>
      </c>
      <c r="L1330" s="20">
        <f t="shared" si="60"/>
        <v>41876</v>
      </c>
      <c r="M1330" t="str">
        <f t="shared" si="61"/>
        <v>08-2014</v>
      </c>
      <c r="N1330">
        <f t="shared" si="62"/>
        <v>9.99</v>
      </c>
    </row>
    <row r="1331" spans="3:14" x14ac:dyDescent="0.25">
      <c r="C1331" t="str">
        <f>IF(COUNTBLANK(E1331:K1331) = 7,"",IF(AND(NOT(ISBLANK(E1331)),COUNTBLANK(E1331:K1331) = 6),"3 Delete",IF(ISBLANK(E1331),"2 Add",IF(SHA1Range(E1331:K1331) = "f1ce47a4cc1da163a10896e2e40152b05f7ce211","0 Original","1 Modify"))))</f>
        <v>0 Original</v>
      </c>
      <c r="D1331" s="5" t="s">
        <v>3540</v>
      </c>
      <c r="E1331" s="3">
        <v>1747</v>
      </c>
      <c r="F1331" t="s">
        <v>1365</v>
      </c>
      <c r="G1331" t="s">
        <v>891</v>
      </c>
      <c r="H1331" s="9">
        <v>8.99</v>
      </c>
      <c r="I1331" s="3">
        <v>2</v>
      </c>
      <c r="J1331" s="5" t="s">
        <v>68</v>
      </c>
      <c r="K1331" s="15">
        <v>41876.419039351851</v>
      </c>
      <c r="L1331" s="20">
        <f t="shared" si="60"/>
        <v>41876</v>
      </c>
      <c r="M1331" t="str">
        <f t="shared" si="61"/>
        <v>08-2014</v>
      </c>
      <c r="N1331">
        <f t="shared" si="62"/>
        <v>17.98</v>
      </c>
    </row>
    <row r="1332" spans="3:14" x14ac:dyDescent="0.25">
      <c r="C1332" t="str">
        <f>IF(COUNTBLANK(E1332:K1332) = 7,"",IF(AND(NOT(ISBLANK(E1332)),COUNTBLANK(E1332:K1332) = 6),"3 Delete",IF(ISBLANK(E1332),"2 Add",IF(SHA1Range(E1332:K1332) = "6bf30b4311303fde375a83d76d82c26ecc4e6599","0 Original","1 Modify"))))</f>
        <v>0 Original</v>
      </c>
      <c r="D1332" s="5" t="s">
        <v>3541</v>
      </c>
      <c r="E1332" s="3">
        <v>1748</v>
      </c>
      <c r="F1332" t="s">
        <v>1365</v>
      </c>
      <c r="G1332" t="s">
        <v>684</v>
      </c>
      <c r="H1332" s="9">
        <v>8.99</v>
      </c>
      <c r="I1332" s="3">
        <v>1</v>
      </c>
      <c r="J1332" s="5" t="s">
        <v>68</v>
      </c>
      <c r="K1332" s="15">
        <v>41876.419039351851</v>
      </c>
      <c r="L1332" s="20">
        <f t="shared" si="60"/>
        <v>41876</v>
      </c>
      <c r="M1332" t="str">
        <f t="shared" si="61"/>
        <v>08-2014</v>
      </c>
      <c r="N1332">
        <f t="shared" si="62"/>
        <v>8.99</v>
      </c>
    </row>
    <row r="1333" spans="3:14" x14ac:dyDescent="0.25">
      <c r="C1333" t="str">
        <f>IF(COUNTBLANK(E1333:K1333) = 7,"",IF(AND(NOT(ISBLANK(E1333)),COUNTBLANK(E1333:K1333) = 6),"3 Delete",IF(ISBLANK(E1333),"2 Add",IF(SHA1Range(E1333:K1333) = "d856346b454c09e32e5080f01bad36cbf7cb2434","0 Original","1 Modify"))))</f>
        <v>0 Original</v>
      </c>
      <c r="D1333" s="5" t="s">
        <v>3542</v>
      </c>
      <c r="E1333" s="3">
        <v>1749</v>
      </c>
      <c r="F1333" t="s">
        <v>1365</v>
      </c>
      <c r="G1333" t="s">
        <v>514</v>
      </c>
      <c r="H1333" s="9">
        <v>6.99</v>
      </c>
      <c r="I1333" s="3">
        <v>1</v>
      </c>
      <c r="J1333" s="5" t="s">
        <v>68</v>
      </c>
      <c r="K1333" s="15">
        <v>41876.419039351851</v>
      </c>
      <c r="L1333" s="20">
        <f t="shared" si="60"/>
        <v>41876</v>
      </c>
      <c r="M1333" t="str">
        <f t="shared" si="61"/>
        <v>08-2014</v>
      </c>
      <c r="N1333">
        <f t="shared" si="62"/>
        <v>6.99</v>
      </c>
    </row>
    <row r="1334" spans="3:14" x14ac:dyDescent="0.25">
      <c r="C1334" t="str">
        <f>IF(COUNTBLANK(E1334:K1334) = 7,"",IF(AND(NOT(ISBLANK(E1334)),COUNTBLANK(E1334:K1334) = 6),"3 Delete",IF(ISBLANK(E1334),"2 Add",IF(SHA1Range(E1334:K1334) = "4ad2eefff63f9efb3be6f7e3781d58ac9e2ab17e","0 Original","1 Modify"))))</f>
        <v>0 Original</v>
      </c>
      <c r="D1334" s="5" t="s">
        <v>3543</v>
      </c>
      <c r="E1334" s="3">
        <v>1468</v>
      </c>
      <c r="F1334" t="s">
        <v>1366</v>
      </c>
      <c r="G1334" t="s">
        <v>671</v>
      </c>
      <c r="H1334" s="9">
        <v>6.99</v>
      </c>
      <c r="I1334" s="3">
        <v>2</v>
      </c>
      <c r="J1334" s="5" t="s">
        <v>68</v>
      </c>
      <c r="K1334" s="15">
        <v>41876.993715277778</v>
      </c>
      <c r="L1334" s="20">
        <f t="shared" si="60"/>
        <v>41876</v>
      </c>
      <c r="M1334" t="str">
        <f t="shared" si="61"/>
        <v>08-2014</v>
      </c>
      <c r="N1334">
        <f t="shared" si="62"/>
        <v>13.98</v>
      </c>
    </row>
    <row r="1335" spans="3:14" x14ac:dyDescent="0.25">
      <c r="C1335" t="str">
        <f>IF(COUNTBLANK(E1335:K1335) = 7,"",IF(AND(NOT(ISBLANK(E1335)),COUNTBLANK(E1335:K1335) = 6),"3 Delete",IF(ISBLANK(E1335),"2 Add",IF(SHA1Range(E1335:K1335) = "ff0542a1a874d25f579fdb19df0e3ba31e948fc1","0 Original","1 Modify"))))</f>
        <v>0 Original</v>
      </c>
      <c r="D1335" s="5" t="s">
        <v>3544</v>
      </c>
      <c r="E1335" s="3">
        <v>1469</v>
      </c>
      <c r="F1335" t="s">
        <v>1366</v>
      </c>
      <c r="G1335" t="s">
        <v>610</v>
      </c>
      <c r="H1335" s="9">
        <v>9.99</v>
      </c>
      <c r="I1335" s="3">
        <v>1</v>
      </c>
      <c r="J1335" s="5" t="s">
        <v>68</v>
      </c>
      <c r="K1335" s="15">
        <v>41876.993715277778</v>
      </c>
      <c r="L1335" s="20">
        <f t="shared" si="60"/>
        <v>41876</v>
      </c>
      <c r="M1335" t="str">
        <f t="shared" si="61"/>
        <v>08-2014</v>
      </c>
      <c r="N1335">
        <f t="shared" si="62"/>
        <v>9.99</v>
      </c>
    </row>
    <row r="1336" spans="3:14" x14ac:dyDescent="0.25">
      <c r="C1336" t="str">
        <f>IF(COUNTBLANK(E1336:K1336) = 7,"",IF(AND(NOT(ISBLANK(E1336)),COUNTBLANK(E1336:K1336) = 6),"3 Delete",IF(ISBLANK(E1336),"2 Add",IF(SHA1Range(E1336:K1336) = "c04f8bafdc7d1999aa83ae3398ae3466c0c1a7f0","0 Original","1 Modify"))))</f>
        <v>0 Original</v>
      </c>
      <c r="D1336" s="5" t="s">
        <v>3545</v>
      </c>
      <c r="E1336" s="3">
        <v>1470</v>
      </c>
      <c r="F1336" t="s">
        <v>1366</v>
      </c>
      <c r="G1336" t="s">
        <v>560</v>
      </c>
      <c r="H1336" s="9">
        <v>8.99</v>
      </c>
      <c r="I1336" s="3">
        <v>1</v>
      </c>
      <c r="J1336" s="5" t="s">
        <v>68</v>
      </c>
      <c r="K1336" s="15">
        <v>41876.993715277778</v>
      </c>
      <c r="L1336" s="20">
        <f t="shared" si="60"/>
        <v>41876</v>
      </c>
      <c r="M1336" t="str">
        <f t="shared" si="61"/>
        <v>08-2014</v>
      </c>
      <c r="N1336">
        <f t="shared" si="62"/>
        <v>8.99</v>
      </c>
    </row>
    <row r="1337" spans="3:14" x14ac:dyDescent="0.25">
      <c r="C1337" t="str">
        <f>IF(COUNTBLANK(E1337:K1337) = 7,"",IF(AND(NOT(ISBLANK(E1337)),COUNTBLANK(E1337:K1337) = 6),"3 Delete",IF(ISBLANK(E1337),"2 Add",IF(SHA1Range(E1337:K1337) = "9c84531c32e48e83b824ade0eabdd207369c662f","0 Original","1 Modify"))))</f>
        <v>0 Original</v>
      </c>
      <c r="D1337" s="5" t="s">
        <v>3546</v>
      </c>
      <c r="E1337" s="3">
        <v>1471</v>
      </c>
      <c r="F1337" t="s">
        <v>1366</v>
      </c>
      <c r="G1337" t="s">
        <v>845</v>
      </c>
      <c r="H1337" s="9">
        <v>7.99</v>
      </c>
      <c r="I1337" s="3">
        <v>1</v>
      </c>
      <c r="J1337" s="5" t="s">
        <v>68</v>
      </c>
      <c r="K1337" s="15">
        <v>41876.993715277778</v>
      </c>
      <c r="L1337" s="20">
        <f t="shared" si="60"/>
        <v>41876</v>
      </c>
      <c r="M1337" t="str">
        <f t="shared" si="61"/>
        <v>08-2014</v>
      </c>
      <c r="N1337">
        <f t="shared" si="62"/>
        <v>7.99</v>
      </c>
    </row>
    <row r="1338" spans="3:14" x14ac:dyDescent="0.25">
      <c r="C1338" t="str">
        <f>IF(COUNTBLANK(E1338:K1338) = 7,"",IF(AND(NOT(ISBLANK(E1338)),COUNTBLANK(E1338:K1338) = 6),"3 Delete",IF(ISBLANK(E1338),"2 Add",IF(SHA1Range(E1338:K1338) = "57fa2e61f0344a469682682f1f7622236d26bdc0","0 Original","1 Modify"))))</f>
        <v>0 Original</v>
      </c>
      <c r="D1338" s="5" t="s">
        <v>3547</v>
      </c>
      <c r="E1338" s="3">
        <v>2391</v>
      </c>
      <c r="F1338" t="s">
        <v>1367</v>
      </c>
      <c r="G1338" t="s">
        <v>400</v>
      </c>
      <c r="H1338" s="9">
        <v>4.99</v>
      </c>
      <c r="I1338" s="3">
        <v>1</v>
      </c>
      <c r="J1338" s="5" t="s">
        <v>68</v>
      </c>
      <c r="K1338" s="15">
        <v>41877.451805555553</v>
      </c>
      <c r="L1338" s="20">
        <f t="shared" si="60"/>
        <v>41877</v>
      </c>
      <c r="M1338" t="str">
        <f t="shared" si="61"/>
        <v>08-2014</v>
      </c>
      <c r="N1338">
        <f t="shared" si="62"/>
        <v>4.99</v>
      </c>
    </row>
    <row r="1339" spans="3:14" x14ac:dyDescent="0.25">
      <c r="C1339" t="str">
        <f>IF(COUNTBLANK(E1339:K1339) = 7,"",IF(AND(NOT(ISBLANK(E1339)),COUNTBLANK(E1339:K1339) = 6),"3 Delete",IF(ISBLANK(E1339),"2 Add",IF(SHA1Range(E1339:K1339) = "d0f0d739e5aeed6c08c595e2c07bd2b924b1d907","0 Original","1 Modify"))))</f>
        <v>0 Original</v>
      </c>
      <c r="D1339" s="5" t="s">
        <v>3548</v>
      </c>
      <c r="E1339" s="3">
        <v>2392</v>
      </c>
      <c r="F1339" t="s">
        <v>1367</v>
      </c>
      <c r="G1339" t="s">
        <v>400</v>
      </c>
      <c r="H1339" s="9">
        <v>4.99</v>
      </c>
      <c r="I1339" s="3">
        <v>1</v>
      </c>
      <c r="J1339" s="5" t="s">
        <v>68</v>
      </c>
      <c r="K1339" s="15">
        <v>41877.451805555553</v>
      </c>
      <c r="L1339" s="20">
        <f t="shared" si="60"/>
        <v>41877</v>
      </c>
      <c r="M1339" t="str">
        <f t="shared" si="61"/>
        <v>08-2014</v>
      </c>
      <c r="N1339">
        <f t="shared" si="62"/>
        <v>4.99</v>
      </c>
    </row>
    <row r="1340" spans="3:14" x14ac:dyDescent="0.25">
      <c r="C1340" t="str">
        <f>IF(COUNTBLANK(E1340:K1340) = 7,"",IF(AND(NOT(ISBLANK(E1340)),COUNTBLANK(E1340:K1340) = 6),"3 Delete",IF(ISBLANK(E1340),"2 Add",IF(SHA1Range(E1340:K1340) = "0affc797ce9a0ccd3e014785f11eb12c0f434097","0 Original","1 Modify"))))</f>
        <v>0 Original</v>
      </c>
      <c r="D1340" s="5" t="s">
        <v>3549</v>
      </c>
      <c r="E1340" s="3">
        <v>2974</v>
      </c>
      <c r="F1340" t="s">
        <v>1368</v>
      </c>
      <c r="G1340" t="s">
        <v>687</v>
      </c>
      <c r="H1340" s="9">
        <v>9.99</v>
      </c>
      <c r="I1340" s="3">
        <v>1</v>
      </c>
      <c r="J1340" s="5" t="s">
        <v>68</v>
      </c>
      <c r="K1340" s="15">
        <v>41877.512499999997</v>
      </c>
      <c r="L1340" s="20">
        <f t="shared" si="60"/>
        <v>41877</v>
      </c>
      <c r="M1340" t="str">
        <f t="shared" si="61"/>
        <v>08-2014</v>
      </c>
      <c r="N1340">
        <f t="shared" si="62"/>
        <v>9.99</v>
      </c>
    </row>
    <row r="1341" spans="3:14" x14ac:dyDescent="0.25">
      <c r="C1341" t="str">
        <f>IF(COUNTBLANK(E1341:K1341) = 7,"",IF(AND(NOT(ISBLANK(E1341)),COUNTBLANK(E1341:K1341) = 6),"3 Delete",IF(ISBLANK(E1341),"2 Add",IF(SHA1Range(E1341:K1341) = "8a5257e0f8de5055b4d0cf7f432e62c083cd6442","0 Original","1 Modify"))))</f>
        <v>0 Original</v>
      </c>
      <c r="D1341" s="5" t="s">
        <v>3550</v>
      </c>
      <c r="E1341" s="3">
        <v>2975</v>
      </c>
      <c r="F1341" t="s">
        <v>1368</v>
      </c>
      <c r="G1341" t="s">
        <v>514</v>
      </c>
      <c r="H1341" s="9">
        <v>6.99</v>
      </c>
      <c r="I1341" s="3">
        <v>1</v>
      </c>
      <c r="J1341" s="5" t="s">
        <v>68</v>
      </c>
      <c r="K1341" s="15">
        <v>41877.512499999997</v>
      </c>
      <c r="L1341" s="20">
        <f t="shared" si="60"/>
        <v>41877</v>
      </c>
      <c r="M1341" t="str">
        <f t="shared" si="61"/>
        <v>08-2014</v>
      </c>
      <c r="N1341">
        <f t="shared" si="62"/>
        <v>6.99</v>
      </c>
    </row>
    <row r="1342" spans="3:14" x14ac:dyDescent="0.25">
      <c r="C1342" t="str">
        <f>IF(COUNTBLANK(E1342:K1342) = 7,"",IF(AND(NOT(ISBLANK(E1342)),COUNTBLANK(E1342:K1342) = 6),"3 Delete",IF(ISBLANK(E1342),"2 Add",IF(SHA1Range(E1342:K1342) = "c57997c25e3030684db754a2fa0c61686c9a7fef","0 Original","1 Modify"))))</f>
        <v>0 Original</v>
      </c>
      <c r="D1342" s="5" t="s">
        <v>3551</v>
      </c>
      <c r="E1342" s="3">
        <v>2976</v>
      </c>
      <c r="F1342" t="s">
        <v>1368</v>
      </c>
      <c r="G1342" t="s">
        <v>948</v>
      </c>
      <c r="H1342" s="9">
        <v>4.99</v>
      </c>
      <c r="I1342" s="3">
        <v>1</v>
      </c>
      <c r="J1342" s="5" t="s">
        <v>68</v>
      </c>
      <c r="K1342" s="15">
        <v>41877.512499999997</v>
      </c>
      <c r="L1342" s="20">
        <f t="shared" si="60"/>
        <v>41877</v>
      </c>
      <c r="M1342" t="str">
        <f t="shared" si="61"/>
        <v>08-2014</v>
      </c>
      <c r="N1342">
        <f t="shared" si="62"/>
        <v>4.99</v>
      </c>
    </row>
    <row r="1343" spans="3:14" x14ac:dyDescent="0.25">
      <c r="C1343" t="str">
        <f>IF(COUNTBLANK(E1343:K1343) = 7,"",IF(AND(NOT(ISBLANK(E1343)),COUNTBLANK(E1343:K1343) = 6),"3 Delete",IF(ISBLANK(E1343),"2 Add",IF(SHA1Range(E1343:K1343) = "9cb9fb4ffcb6bb886f99c48cfc378267088860ef","0 Original","1 Modify"))))</f>
        <v>0 Original</v>
      </c>
      <c r="D1343" s="5" t="s">
        <v>3552</v>
      </c>
      <c r="E1343" s="3">
        <v>2977</v>
      </c>
      <c r="F1343" t="s">
        <v>1368</v>
      </c>
      <c r="G1343" t="s">
        <v>687</v>
      </c>
      <c r="H1343" s="9">
        <v>9.99</v>
      </c>
      <c r="I1343" s="3">
        <v>2</v>
      </c>
      <c r="J1343" s="5" t="s">
        <v>68</v>
      </c>
      <c r="K1343" s="15">
        <v>41877.512499999997</v>
      </c>
      <c r="L1343" s="20">
        <f t="shared" si="60"/>
        <v>41877</v>
      </c>
      <c r="M1343" t="str">
        <f t="shared" si="61"/>
        <v>08-2014</v>
      </c>
      <c r="N1343">
        <f t="shared" si="62"/>
        <v>19.98</v>
      </c>
    </row>
    <row r="1344" spans="3:14" x14ac:dyDescent="0.25">
      <c r="C1344" t="str">
        <f>IF(COUNTBLANK(E1344:K1344) = 7,"",IF(AND(NOT(ISBLANK(E1344)),COUNTBLANK(E1344:K1344) = 6),"3 Delete",IF(ISBLANK(E1344),"2 Add",IF(SHA1Range(E1344:K1344) = "e450ac116894688f253c6804a7fd226719056f0f","0 Original","1 Modify"))))</f>
        <v>0 Original</v>
      </c>
      <c r="D1344" s="5" t="s">
        <v>3553</v>
      </c>
      <c r="E1344" s="3">
        <v>2978</v>
      </c>
      <c r="F1344" t="s">
        <v>1368</v>
      </c>
      <c r="G1344" t="s">
        <v>749</v>
      </c>
      <c r="H1344" s="9">
        <v>5.99</v>
      </c>
      <c r="I1344" s="3">
        <v>1</v>
      </c>
      <c r="J1344" s="5" t="s">
        <v>68</v>
      </c>
      <c r="K1344" s="15">
        <v>41877.512499999997</v>
      </c>
      <c r="L1344" s="20">
        <f t="shared" si="60"/>
        <v>41877</v>
      </c>
      <c r="M1344" t="str">
        <f t="shared" si="61"/>
        <v>08-2014</v>
      </c>
      <c r="N1344">
        <f t="shared" si="62"/>
        <v>5.99</v>
      </c>
    </row>
    <row r="1345" spans="3:14" x14ac:dyDescent="0.25">
      <c r="C1345" t="str">
        <f>IF(COUNTBLANK(E1345:K1345) = 7,"",IF(AND(NOT(ISBLANK(E1345)),COUNTBLANK(E1345:K1345) = 6),"3 Delete",IF(ISBLANK(E1345),"2 Add",IF(SHA1Range(E1345:K1345) = "6ef49a924596d67fe8bcf7c2bef1050096e40c8f","0 Original","1 Modify"))))</f>
        <v>0 Original</v>
      </c>
      <c r="D1345" s="5" t="s">
        <v>3554</v>
      </c>
      <c r="E1345" s="3">
        <v>1687</v>
      </c>
      <c r="F1345" t="s">
        <v>1369</v>
      </c>
      <c r="G1345" t="s">
        <v>657</v>
      </c>
      <c r="H1345" s="9">
        <v>9.99</v>
      </c>
      <c r="I1345" s="3">
        <v>1</v>
      </c>
      <c r="J1345" s="5" t="s">
        <v>68</v>
      </c>
      <c r="K1345" s="15">
        <v>41877.610474537039</v>
      </c>
      <c r="L1345" s="20">
        <f t="shared" si="60"/>
        <v>41877</v>
      </c>
      <c r="M1345" t="str">
        <f t="shared" si="61"/>
        <v>08-2014</v>
      </c>
      <c r="N1345">
        <f t="shared" si="62"/>
        <v>9.99</v>
      </c>
    </row>
    <row r="1346" spans="3:14" x14ac:dyDescent="0.25">
      <c r="C1346" t="str">
        <f>IF(COUNTBLANK(E1346:K1346) = 7,"",IF(AND(NOT(ISBLANK(E1346)),COUNTBLANK(E1346:K1346) = 6),"3 Delete",IF(ISBLANK(E1346),"2 Add",IF(SHA1Range(E1346:K1346) = "a00a58b26fbf3d0ba062d848149bc3b4d36ffccc","0 Original","1 Modify"))))</f>
        <v>0 Original</v>
      </c>
      <c r="D1346" s="5" t="s">
        <v>3555</v>
      </c>
      <c r="E1346" s="3">
        <v>1688</v>
      </c>
      <c r="F1346" t="s">
        <v>1369</v>
      </c>
      <c r="G1346" t="s">
        <v>845</v>
      </c>
      <c r="H1346" s="9">
        <v>7.99</v>
      </c>
      <c r="I1346" s="3">
        <v>1</v>
      </c>
      <c r="J1346" s="5" t="s">
        <v>68</v>
      </c>
      <c r="K1346" s="15">
        <v>41877.610474537039</v>
      </c>
      <c r="L1346" s="20">
        <f t="shared" si="60"/>
        <v>41877</v>
      </c>
      <c r="M1346" t="str">
        <f t="shared" si="61"/>
        <v>08-2014</v>
      </c>
      <c r="N1346">
        <f t="shared" si="62"/>
        <v>7.99</v>
      </c>
    </row>
    <row r="1347" spans="3:14" x14ac:dyDescent="0.25">
      <c r="C1347" t="str">
        <f>IF(COUNTBLANK(E1347:K1347) = 7,"",IF(AND(NOT(ISBLANK(E1347)),COUNTBLANK(E1347:K1347) = 6),"3 Delete",IF(ISBLANK(E1347),"2 Add",IF(SHA1Range(E1347:K1347) = "afc00cdadc7e1104d15b186b672fc6416cc6568c","0 Original","1 Modify"))))</f>
        <v>0 Original</v>
      </c>
      <c r="D1347" s="5" t="s">
        <v>3556</v>
      </c>
      <c r="E1347" s="3">
        <v>1615</v>
      </c>
      <c r="F1347" t="s">
        <v>1370</v>
      </c>
      <c r="G1347" t="s">
        <v>749</v>
      </c>
      <c r="H1347" s="9">
        <v>5.99</v>
      </c>
      <c r="I1347" s="3">
        <v>1</v>
      </c>
      <c r="J1347" s="5" t="s">
        <v>68</v>
      </c>
      <c r="K1347" s="15">
        <v>41878.198229166665</v>
      </c>
      <c r="L1347" s="20">
        <f t="shared" ref="L1347:L1410" si="63">DATEVALUE(LEFT(F1347,10))</f>
        <v>41878</v>
      </c>
      <c r="M1347" t="str">
        <f t="shared" ref="M1347:M1410" si="64">TEXT(L1347,"mm-yyyy")</f>
        <v>08-2014</v>
      </c>
      <c r="N1347">
        <f t="shared" ref="N1347:N1410" si="65">H1347*I1347</f>
        <v>5.99</v>
      </c>
    </row>
    <row r="1348" spans="3:14" x14ac:dyDescent="0.25">
      <c r="C1348" t="str">
        <f>IF(COUNTBLANK(E1348:K1348) = 7,"",IF(AND(NOT(ISBLANK(E1348)),COUNTBLANK(E1348:K1348) = 6),"3 Delete",IF(ISBLANK(E1348),"2 Add",IF(SHA1Range(E1348:K1348) = "c5140f445624ce0cb0fb9a59963b665e43243e4d","0 Original","1 Modify"))))</f>
        <v>0 Original</v>
      </c>
      <c r="D1348" s="5" t="s">
        <v>3557</v>
      </c>
      <c r="E1348" s="3">
        <v>1616</v>
      </c>
      <c r="F1348" t="s">
        <v>1370</v>
      </c>
      <c r="G1348" t="s">
        <v>761</v>
      </c>
      <c r="H1348" s="9">
        <v>8.99</v>
      </c>
      <c r="I1348" s="3">
        <v>1</v>
      </c>
      <c r="J1348" s="5" t="s">
        <v>68</v>
      </c>
      <c r="K1348" s="15">
        <v>41878.198229166665</v>
      </c>
      <c r="L1348" s="20">
        <f t="shared" si="63"/>
        <v>41878</v>
      </c>
      <c r="M1348" t="str">
        <f t="shared" si="64"/>
        <v>08-2014</v>
      </c>
      <c r="N1348">
        <f t="shared" si="65"/>
        <v>8.99</v>
      </c>
    </row>
    <row r="1349" spans="3:14" x14ac:dyDescent="0.25">
      <c r="C1349" t="str">
        <f>IF(COUNTBLANK(E1349:K1349) = 7,"",IF(AND(NOT(ISBLANK(E1349)),COUNTBLANK(E1349:K1349) = 6),"3 Delete",IF(ISBLANK(E1349),"2 Add",IF(SHA1Range(E1349:K1349) = "e1bbaa6f33df27ac2fc87939f02264c08e30ab2d","0 Original","1 Modify"))))</f>
        <v>0 Original</v>
      </c>
      <c r="D1349" s="5" t="s">
        <v>3558</v>
      </c>
      <c r="E1349" s="3">
        <v>1617</v>
      </c>
      <c r="F1349" t="s">
        <v>1370</v>
      </c>
      <c r="G1349" t="s">
        <v>891</v>
      </c>
      <c r="H1349" s="9">
        <v>8.99</v>
      </c>
      <c r="I1349" s="3">
        <v>1</v>
      </c>
      <c r="J1349" s="5" t="s">
        <v>68</v>
      </c>
      <c r="K1349" s="15">
        <v>41878.198229166665</v>
      </c>
      <c r="L1349" s="20">
        <f t="shared" si="63"/>
        <v>41878</v>
      </c>
      <c r="M1349" t="str">
        <f t="shared" si="64"/>
        <v>08-2014</v>
      </c>
      <c r="N1349">
        <f t="shared" si="65"/>
        <v>8.99</v>
      </c>
    </row>
    <row r="1350" spans="3:14" x14ac:dyDescent="0.25">
      <c r="C1350" t="str">
        <f>IF(COUNTBLANK(E1350:K1350) = 7,"",IF(AND(NOT(ISBLANK(E1350)),COUNTBLANK(E1350:K1350) = 6),"3 Delete",IF(ISBLANK(E1350),"2 Add",IF(SHA1Range(E1350:K1350) = "78827034577ed322595020f97b7966a84432c8aa","0 Original","1 Modify"))))</f>
        <v>0 Original</v>
      </c>
      <c r="D1350" s="5" t="s">
        <v>3559</v>
      </c>
      <c r="E1350" s="3">
        <v>1618</v>
      </c>
      <c r="F1350" t="s">
        <v>1370</v>
      </c>
      <c r="G1350" t="s">
        <v>935</v>
      </c>
      <c r="H1350" s="9">
        <v>6.99</v>
      </c>
      <c r="I1350" s="3">
        <v>2</v>
      </c>
      <c r="J1350" s="5" t="s">
        <v>68</v>
      </c>
      <c r="K1350" s="15">
        <v>41878.198229166665</v>
      </c>
      <c r="L1350" s="20">
        <f t="shared" si="63"/>
        <v>41878</v>
      </c>
      <c r="M1350" t="str">
        <f t="shared" si="64"/>
        <v>08-2014</v>
      </c>
      <c r="N1350">
        <f t="shared" si="65"/>
        <v>13.98</v>
      </c>
    </row>
    <row r="1351" spans="3:14" x14ac:dyDescent="0.25">
      <c r="C1351" t="str">
        <f>IF(COUNTBLANK(E1351:K1351) = 7,"",IF(AND(NOT(ISBLANK(E1351)),COUNTBLANK(E1351:K1351) = 6),"3 Delete",IF(ISBLANK(E1351),"2 Add",IF(SHA1Range(E1351:K1351) = "80f19fac0ffa8722090c31de6d6ff47a28f264a0","0 Original","1 Modify"))))</f>
        <v>0 Original</v>
      </c>
      <c r="D1351" s="5" t="s">
        <v>3560</v>
      </c>
      <c r="E1351" s="3">
        <v>1619</v>
      </c>
      <c r="F1351" t="s">
        <v>1370</v>
      </c>
      <c r="G1351" t="s">
        <v>945</v>
      </c>
      <c r="H1351" s="9">
        <v>4.99</v>
      </c>
      <c r="I1351" s="3">
        <v>1</v>
      </c>
      <c r="J1351" s="5" t="s">
        <v>68</v>
      </c>
      <c r="K1351" s="15">
        <v>41878.198229166665</v>
      </c>
      <c r="L1351" s="20">
        <f t="shared" si="63"/>
        <v>41878</v>
      </c>
      <c r="M1351" t="str">
        <f t="shared" si="64"/>
        <v>08-2014</v>
      </c>
      <c r="N1351">
        <f t="shared" si="65"/>
        <v>4.99</v>
      </c>
    </row>
    <row r="1352" spans="3:14" x14ac:dyDescent="0.25">
      <c r="C1352" t="str">
        <f>IF(COUNTBLANK(E1352:K1352) = 7,"",IF(AND(NOT(ISBLANK(E1352)),COUNTBLANK(E1352:K1352) = 6),"3 Delete",IF(ISBLANK(E1352),"2 Add",IF(SHA1Range(E1352:K1352) = "eca640c2bec991e78c5a66e6d8ff3b28d689c831","0 Original","1 Modify"))))</f>
        <v>0 Original</v>
      </c>
      <c r="D1352" s="5" t="s">
        <v>3561</v>
      </c>
      <c r="E1352" s="3">
        <v>1620</v>
      </c>
      <c r="F1352" t="s">
        <v>1370</v>
      </c>
      <c r="G1352" t="s">
        <v>732</v>
      </c>
      <c r="H1352" s="9">
        <v>9.99</v>
      </c>
      <c r="I1352" s="3">
        <v>1</v>
      </c>
      <c r="J1352" s="5" t="s">
        <v>68</v>
      </c>
      <c r="K1352" s="15">
        <v>41878.198229166665</v>
      </c>
      <c r="L1352" s="20">
        <f t="shared" si="63"/>
        <v>41878</v>
      </c>
      <c r="M1352" t="str">
        <f t="shared" si="64"/>
        <v>08-2014</v>
      </c>
      <c r="N1352">
        <f t="shared" si="65"/>
        <v>9.99</v>
      </c>
    </row>
    <row r="1353" spans="3:14" x14ac:dyDescent="0.25">
      <c r="C1353" t="str">
        <f>IF(COUNTBLANK(E1353:K1353) = 7,"",IF(AND(NOT(ISBLANK(E1353)),COUNTBLANK(E1353:K1353) = 6),"3 Delete",IF(ISBLANK(E1353),"2 Add",IF(SHA1Range(E1353:K1353) = "db446f24d0ff8d27a0e5ae180fd1d6307173b288","0 Original","1 Modify"))))</f>
        <v>0 Original</v>
      </c>
      <c r="D1353" s="5" t="s">
        <v>3562</v>
      </c>
      <c r="E1353" s="3">
        <v>1621</v>
      </c>
      <c r="F1353" t="s">
        <v>1370</v>
      </c>
      <c r="G1353" t="s">
        <v>935</v>
      </c>
      <c r="H1353" s="9">
        <v>6.99</v>
      </c>
      <c r="I1353" s="3">
        <v>1</v>
      </c>
      <c r="J1353" s="5" t="s">
        <v>68</v>
      </c>
      <c r="K1353" s="15">
        <v>41878.198229166665</v>
      </c>
      <c r="L1353" s="20">
        <f t="shared" si="63"/>
        <v>41878</v>
      </c>
      <c r="M1353" t="str">
        <f t="shared" si="64"/>
        <v>08-2014</v>
      </c>
      <c r="N1353">
        <f t="shared" si="65"/>
        <v>6.99</v>
      </c>
    </row>
    <row r="1354" spans="3:14" x14ac:dyDescent="0.25">
      <c r="C1354" t="str">
        <f>IF(COUNTBLANK(E1354:K1354) = 7,"",IF(AND(NOT(ISBLANK(E1354)),COUNTBLANK(E1354:K1354) = 6),"3 Delete",IF(ISBLANK(E1354),"2 Add",IF(SHA1Range(E1354:K1354) = "998950e369ba27de6509ca4ccc0215d940ee578c","0 Original","1 Modify"))))</f>
        <v>0 Original</v>
      </c>
      <c r="D1354" s="5" t="s">
        <v>3563</v>
      </c>
      <c r="E1354" s="3">
        <v>1916</v>
      </c>
      <c r="F1354" t="s">
        <v>1371</v>
      </c>
      <c r="G1354" t="s">
        <v>396</v>
      </c>
      <c r="H1354" s="9">
        <v>8.99</v>
      </c>
      <c r="I1354" s="3">
        <v>1</v>
      </c>
      <c r="J1354" s="5" t="s">
        <v>68</v>
      </c>
      <c r="K1354" s="15">
        <v>41878.509456018517</v>
      </c>
      <c r="L1354" s="20">
        <f t="shared" si="63"/>
        <v>41878</v>
      </c>
      <c r="M1354" t="str">
        <f t="shared" si="64"/>
        <v>08-2014</v>
      </c>
      <c r="N1354">
        <f t="shared" si="65"/>
        <v>8.99</v>
      </c>
    </row>
    <row r="1355" spans="3:14" x14ac:dyDescent="0.25">
      <c r="C1355" t="str">
        <f>IF(COUNTBLANK(E1355:K1355) = 7,"",IF(AND(NOT(ISBLANK(E1355)),COUNTBLANK(E1355:K1355) = 6),"3 Delete",IF(ISBLANK(E1355),"2 Add",IF(SHA1Range(E1355:K1355) = "4b078cee4c4aa0a1a2d63b7ac8c9eba28a6795a1","0 Original","1 Modify"))))</f>
        <v>0 Original</v>
      </c>
      <c r="D1355" s="5" t="s">
        <v>3564</v>
      </c>
      <c r="E1355" s="3">
        <v>1917</v>
      </c>
      <c r="F1355" t="s">
        <v>1371</v>
      </c>
      <c r="G1355" t="s">
        <v>642</v>
      </c>
      <c r="H1355" s="9">
        <v>9.99</v>
      </c>
      <c r="I1355" s="3">
        <v>1</v>
      </c>
      <c r="J1355" s="5" t="s">
        <v>68</v>
      </c>
      <c r="K1355" s="15">
        <v>41878.509456018517</v>
      </c>
      <c r="L1355" s="20">
        <f t="shared" si="63"/>
        <v>41878</v>
      </c>
      <c r="M1355" t="str">
        <f t="shared" si="64"/>
        <v>08-2014</v>
      </c>
      <c r="N1355">
        <f t="shared" si="65"/>
        <v>9.99</v>
      </c>
    </row>
    <row r="1356" spans="3:14" x14ac:dyDescent="0.25">
      <c r="C1356" t="str">
        <f>IF(COUNTBLANK(E1356:K1356) = 7,"",IF(AND(NOT(ISBLANK(E1356)),COUNTBLANK(E1356:K1356) = 6),"3 Delete",IF(ISBLANK(E1356),"2 Add",IF(SHA1Range(E1356:K1356) = "c0c89b68d4b500af3c70f771001a991137b3c777","0 Original","1 Modify"))))</f>
        <v>0 Original</v>
      </c>
      <c r="D1356" s="5" t="s">
        <v>3565</v>
      </c>
      <c r="E1356" s="3">
        <v>1918</v>
      </c>
      <c r="F1356" t="s">
        <v>1371</v>
      </c>
      <c r="G1356" t="s">
        <v>528</v>
      </c>
      <c r="H1356" s="9">
        <v>5.99</v>
      </c>
      <c r="I1356" s="3">
        <v>1</v>
      </c>
      <c r="J1356" s="5" t="s">
        <v>68</v>
      </c>
      <c r="K1356" s="15">
        <v>41878.509456018517</v>
      </c>
      <c r="L1356" s="20">
        <f t="shared" si="63"/>
        <v>41878</v>
      </c>
      <c r="M1356" t="str">
        <f t="shared" si="64"/>
        <v>08-2014</v>
      </c>
      <c r="N1356">
        <f t="shared" si="65"/>
        <v>5.99</v>
      </c>
    </row>
    <row r="1357" spans="3:14" x14ac:dyDescent="0.25">
      <c r="C1357" t="str">
        <f>IF(COUNTBLANK(E1357:K1357) = 7,"",IF(AND(NOT(ISBLANK(E1357)),COUNTBLANK(E1357:K1357) = 6),"3 Delete",IF(ISBLANK(E1357),"2 Add",IF(SHA1Range(E1357:K1357) = "0a313c422922b395c052ae83914ede114fd68f49","0 Original","1 Modify"))))</f>
        <v>0 Original</v>
      </c>
      <c r="D1357" s="5" t="s">
        <v>3566</v>
      </c>
      <c r="E1357" s="3">
        <v>1919</v>
      </c>
      <c r="F1357" t="s">
        <v>1371</v>
      </c>
      <c r="G1357" t="s">
        <v>926</v>
      </c>
      <c r="H1357" s="9">
        <v>9.99</v>
      </c>
      <c r="I1357" s="3">
        <v>1</v>
      </c>
      <c r="J1357" s="5" t="s">
        <v>68</v>
      </c>
      <c r="K1357" s="15">
        <v>41878.509456018517</v>
      </c>
      <c r="L1357" s="20">
        <f t="shared" si="63"/>
        <v>41878</v>
      </c>
      <c r="M1357" t="str">
        <f t="shared" si="64"/>
        <v>08-2014</v>
      </c>
      <c r="N1357">
        <f t="shared" si="65"/>
        <v>9.99</v>
      </c>
    </row>
    <row r="1358" spans="3:14" x14ac:dyDescent="0.25">
      <c r="C1358" t="str">
        <f>IF(COUNTBLANK(E1358:K1358) = 7,"",IF(AND(NOT(ISBLANK(E1358)),COUNTBLANK(E1358:K1358) = 6),"3 Delete",IF(ISBLANK(E1358),"2 Add",IF(SHA1Range(E1358:K1358) = "3b23ab60c22650e12555cdefb1969739e498a1f9","0 Original","1 Modify"))))</f>
        <v>0 Original</v>
      </c>
      <c r="D1358" s="5" t="s">
        <v>3567</v>
      </c>
      <c r="E1358" s="3">
        <v>2854</v>
      </c>
      <c r="F1358" t="s">
        <v>1372</v>
      </c>
      <c r="G1358" t="s">
        <v>514</v>
      </c>
      <c r="H1358" s="9">
        <v>6.99</v>
      </c>
      <c r="I1358" s="3">
        <v>1</v>
      </c>
      <c r="J1358" s="5" t="s">
        <v>68</v>
      </c>
      <c r="K1358" s="15">
        <v>41879.452488425923</v>
      </c>
      <c r="L1358" s="20">
        <f t="shared" si="63"/>
        <v>41879</v>
      </c>
      <c r="M1358" t="str">
        <f t="shared" si="64"/>
        <v>08-2014</v>
      </c>
      <c r="N1358">
        <f t="shared" si="65"/>
        <v>6.99</v>
      </c>
    </row>
    <row r="1359" spans="3:14" x14ac:dyDescent="0.25">
      <c r="C1359" t="str">
        <f>IF(COUNTBLANK(E1359:K1359) = 7,"",IF(AND(NOT(ISBLANK(E1359)),COUNTBLANK(E1359:K1359) = 6),"3 Delete",IF(ISBLANK(E1359),"2 Add",IF(SHA1Range(E1359:K1359) = "a85dd989136bd088277eefe2a67346295cb3ade0","0 Original","1 Modify"))))</f>
        <v>0 Original</v>
      </c>
      <c r="D1359" s="5" t="s">
        <v>3568</v>
      </c>
      <c r="E1359" s="3">
        <v>2855</v>
      </c>
      <c r="F1359" t="s">
        <v>1372</v>
      </c>
      <c r="G1359" t="s">
        <v>552</v>
      </c>
      <c r="H1359" s="9">
        <v>6.99</v>
      </c>
      <c r="I1359" s="3">
        <v>2</v>
      </c>
      <c r="J1359" s="5" t="s">
        <v>68</v>
      </c>
      <c r="K1359" s="15">
        <v>41879.452488425923</v>
      </c>
      <c r="L1359" s="20">
        <f t="shared" si="63"/>
        <v>41879</v>
      </c>
      <c r="M1359" t="str">
        <f t="shared" si="64"/>
        <v>08-2014</v>
      </c>
      <c r="N1359">
        <f t="shared" si="65"/>
        <v>13.98</v>
      </c>
    </row>
    <row r="1360" spans="3:14" x14ac:dyDescent="0.25">
      <c r="C1360" t="str">
        <f>IF(COUNTBLANK(E1360:K1360) = 7,"",IF(AND(NOT(ISBLANK(E1360)),COUNTBLANK(E1360:K1360) = 6),"3 Delete",IF(ISBLANK(E1360),"2 Add",IF(SHA1Range(E1360:K1360) = "515266e1c661fcf76bf138787ae285f1b550d6d3","0 Original","1 Modify"))))</f>
        <v>0 Original</v>
      </c>
      <c r="D1360" s="5" t="s">
        <v>3569</v>
      </c>
      <c r="E1360" s="3">
        <v>2856</v>
      </c>
      <c r="F1360" t="s">
        <v>1372</v>
      </c>
      <c r="G1360" t="s">
        <v>707</v>
      </c>
      <c r="H1360" s="9">
        <v>7.99</v>
      </c>
      <c r="I1360" s="3">
        <v>2</v>
      </c>
      <c r="J1360" s="5" t="s">
        <v>68</v>
      </c>
      <c r="K1360" s="15">
        <v>41879.452488425923</v>
      </c>
      <c r="L1360" s="20">
        <f t="shared" si="63"/>
        <v>41879</v>
      </c>
      <c r="M1360" t="str">
        <f t="shared" si="64"/>
        <v>08-2014</v>
      </c>
      <c r="N1360">
        <f t="shared" si="65"/>
        <v>15.98</v>
      </c>
    </row>
    <row r="1361" spans="3:14" x14ac:dyDescent="0.25">
      <c r="C1361" t="str">
        <f>IF(COUNTBLANK(E1361:K1361) = 7,"",IF(AND(NOT(ISBLANK(E1361)),COUNTBLANK(E1361:K1361) = 6),"3 Delete",IF(ISBLANK(E1361),"2 Add",IF(SHA1Range(E1361:K1361) = "983baa86e5dda65fe5f5f4d55a4aef11e229a0f1","0 Original","1 Modify"))))</f>
        <v>0 Original</v>
      </c>
      <c r="D1361" s="5" t="s">
        <v>3570</v>
      </c>
      <c r="E1361" s="3">
        <v>2857</v>
      </c>
      <c r="F1361" t="s">
        <v>1372</v>
      </c>
      <c r="G1361" t="s">
        <v>373</v>
      </c>
      <c r="H1361" s="9">
        <v>7.99</v>
      </c>
      <c r="I1361" s="3">
        <v>2</v>
      </c>
      <c r="J1361" s="5" t="s">
        <v>68</v>
      </c>
      <c r="K1361" s="15">
        <v>41879.452488425923</v>
      </c>
      <c r="L1361" s="20">
        <f t="shared" si="63"/>
        <v>41879</v>
      </c>
      <c r="M1361" t="str">
        <f t="shared" si="64"/>
        <v>08-2014</v>
      </c>
      <c r="N1361">
        <f t="shared" si="65"/>
        <v>15.98</v>
      </c>
    </row>
    <row r="1362" spans="3:14" x14ac:dyDescent="0.25">
      <c r="C1362" t="str">
        <f>IF(COUNTBLANK(E1362:K1362) = 7,"",IF(AND(NOT(ISBLANK(E1362)),COUNTBLANK(E1362:K1362) = 6),"3 Delete",IF(ISBLANK(E1362),"2 Add",IF(SHA1Range(E1362:K1362) = "b362414ed7036755f7909ea0bfed5dbcdb34aa41","0 Original","1 Modify"))))</f>
        <v>0 Original</v>
      </c>
      <c r="D1362" s="5" t="s">
        <v>3571</v>
      </c>
      <c r="E1362" s="3">
        <v>3812</v>
      </c>
      <c r="F1362" t="s">
        <v>1373</v>
      </c>
      <c r="G1362" t="s">
        <v>400</v>
      </c>
      <c r="H1362" s="9">
        <v>4.99</v>
      </c>
      <c r="I1362" s="3">
        <v>1</v>
      </c>
      <c r="J1362" s="5" t="s">
        <v>68</v>
      </c>
      <c r="K1362" s="15">
        <v>41879.752905092595</v>
      </c>
      <c r="L1362" s="20">
        <f t="shared" si="63"/>
        <v>41879</v>
      </c>
      <c r="M1362" t="str">
        <f t="shared" si="64"/>
        <v>08-2014</v>
      </c>
      <c r="N1362">
        <f t="shared" si="65"/>
        <v>4.99</v>
      </c>
    </row>
    <row r="1363" spans="3:14" x14ac:dyDescent="0.25">
      <c r="C1363" t="str">
        <f>IF(COUNTBLANK(E1363:K1363) = 7,"",IF(AND(NOT(ISBLANK(E1363)),COUNTBLANK(E1363:K1363) = 6),"3 Delete",IF(ISBLANK(E1363),"2 Add",IF(SHA1Range(E1363:K1363) = "241dd86af22a4744e833cfb739c716fd7d34d2ae","0 Original","1 Modify"))))</f>
        <v>0 Original</v>
      </c>
      <c r="D1363" s="5" t="s">
        <v>3572</v>
      </c>
      <c r="E1363" s="3">
        <v>3813</v>
      </c>
      <c r="F1363" t="s">
        <v>1373</v>
      </c>
      <c r="G1363" t="s">
        <v>400</v>
      </c>
      <c r="H1363" s="9">
        <v>4.99</v>
      </c>
      <c r="I1363" s="3">
        <v>1</v>
      </c>
      <c r="J1363" s="5" t="s">
        <v>68</v>
      </c>
      <c r="K1363" s="15">
        <v>41879.752905092595</v>
      </c>
      <c r="L1363" s="20">
        <f t="shared" si="63"/>
        <v>41879</v>
      </c>
      <c r="M1363" t="str">
        <f t="shared" si="64"/>
        <v>08-2014</v>
      </c>
      <c r="N1363">
        <f t="shared" si="65"/>
        <v>4.99</v>
      </c>
    </row>
    <row r="1364" spans="3:14" x14ac:dyDescent="0.25">
      <c r="C1364" t="str">
        <f>IF(COUNTBLANK(E1364:K1364) = 7,"",IF(AND(NOT(ISBLANK(E1364)),COUNTBLANK(E1364:K1364) = 6),"3 Delete",IF(ISBLANK(E1364),"2 Add",IF(SHA1Range(E1364:K1364) = "de970ff660629b05ed114ffbcdfec15d97e8c22b","0 Original","1 Modify"))))</f>
        <v>0 Original</v>
      </c>
      <c r="D1364" s="5" t="s">
        <v>3573</v>
      </c>
      <c r="E1364" s="3">
        <v>3814</v>
      </c>
      <c r="F1364" t="s">
        <v>1373</v>
      </c>
      <c r="G1364" t="s">
        <v>400</v>
      </c>
      <c r="H1364" s="9">
        <v>4.99</v>
      </c>
      <c r="I1364" s="3">
        <v>1</v>
      </c>
      <c r="J1364" s="5" t="s">
        <v>68</v>
      </c>
      <c r="K1364" s="15">
        <v>41879.752905092595</v>
      </c>
      <c r="L1364" s="20">
        <f t="shared" si="63"/>
        <v>41879</v>
      </c>
      <c r="M1364" t="str">
        <f t="shared" si="64"/>
        <v>08-2014</v>
      </c>
      <c r="N1364">
        <f t="shared" si="65"/>
        <v>4.99</v>
      </c>
    </row>
    <row r="1365" spans="3:14" x14ac:dyDescent="0.25">
      <c r="C1365" t="str">
        <f>IF(COUNTBLANK(E1365:K1365) = 7,"",IF(AND(NOT(ISBLANK(E1365)),COUNTBLANK(E1365:K1365) = 6),"3 Delete",IF(ISBLANK(E1365),"2 Add",IF(SHA1Range(E1365:K1365) = "5da6f285c46083c0df067cba48b7721b7c6dee45","0 Original","1 Modify"))))</f>
        <v>0 Original</v>
      </c>
      <c r="D1365" s="5" t="s">
        <v>3574</v>
      </c>
      <c r="E1365" s="3">
        <v>3815</v>
      </c>
      <c r="F1365" t="s">
        <v>1373</v>
      </c>
      <c r="G1365" t="s">
        <v>687</v>
      </c>
      <c r="H1365" s="9">
        <v>9.99</v>
      </c>
      <c r="I1365" s="3">
        <v>2</v>
      </c>
      <c r="J1365" s="5" t="s">
        <v>68</v>
      </c>
      <c r="K1365" s="15">
        <v>41879.752905092595</v>
      </c>
      <c r="L1365" s="20">
        <f t="shared" si="63"/>
        <v>41879</v>
      </c>
      <c r="M1365" t="str">
        <f t="shared" si="64"/>
        <v>08-2014</v>
      </c>
      <c r="N1365">
        <f t="shared" si="65"/>
        <v>19.98</v>
      </c>
    </row>
    <row r="1366" spans="3:14" x14ac:dyDescent="0.25">
      <c r="C1366" t="str">
        <f>IF(COUNTBLANK(E1366:K1366) = 7,"",IF(AND(NOT(ISBLANK(E1366)),COUNTBLANK(E1366:K1366) = 6),"3 Delete",IF(ISBLANK(E1366),"2 Add",IF(SHA1Range(E1366:K1366) = "97f376fc15bd202cf88d60c74673376e6a28dadb","0 Original","1 Modify"))))</f>
        <v>0 Original</v>
      </c>
      <c r="D1366" s="5" t="s">
        <v>3575</v>
      </c>
      <c r="E1366" s="3">
        <v>2532</v>
      </c>
      <c r="F1366" t="s">
        <v>1374</v>
      </c>
      <c r="G1366" t="s">
        <v>400</v>
      </c>
      <c r="H1366" s="9">
        <v>4.99</v>
      </c>
      <c r="I1366" s="3">
        <v>1</v>
      </c>
      <c r="J1366" s="5" t="s">
        <v>68</v>
      </c>
      <c r="K1366" s="15">
        <v>41880.463645833333</v>
      </c>
      <c r="L1366" s="20">
        <f t="shared" si="63"/>
        <v>41880</v>
      </c>
      <c r="M1366" t="str">
        <f t="shared" si="64"/>
        <v>08-2014</v>
      </c>
      <c r="N1366">
        <f t="shared" si="65"/>
        <v>4.99</v>
      </c>
    </row>
    <row r="1367" spans="3:14" x14ac:dyDescent="0.25">
      <c r="C1367" t="str">
        <f>IF(COUNTBLANK(E1367:K1367) = 7,"",IF(AND(NOT(ISBLANK(E1367)),COUNTBLANK(E1367:K1367) = 6),"3 Delete",IF(ISBLANK(E1367),"2 Add",IF(SHA1Range(E1367:K1367) = "0c956e9976c36c62d8adad8e3c04ce21bcdb195c","0 Original","1 Modify"))))</f>
        <v>0 Original</v>
      </c>
      <c r="D1367" s="5" t="s">
        <v>3576</v>
      </c>
      <c r="E1367" s="3">
        <v>2533</v>
      </c>
      <c r="F1367" t="s">
        <v>1374</v>
      </c>
      <c r="G1367" t="s">
        <v>514</v>
      </c>
      <c r="H1367" s="9">
        <v>6.99</v>
      </c>
      <c r="I1367" s="3">
        <v>1</v>
      </c>
      <c r="J1367" s="5" t="s">
        <v>68</v>
      </c>
      <c r="K1367" s="15">
        <v>41880.463645833333</v>
      </c>
      <c r="L1367" s="20">
        <f t="shared" si="63"/>
        <v>41880</v>
      </c>
      <c r="M1367" t="str">
        <f t="shared" si="64"/>
        <v>08-2014</v>
      </c>
      <c r="N1367">
        <f t="shared" si="65"/>
        <v>6.99</v>
      </c>
    </row>
    <row r="1368" spans="3:14" x14ac:dyDescent="0.25">
      <c r="C1368" t="str">
        <f>IF(COUNTBLANK(E1368:K1368) = 7,"",IF(AND(NOT(ISBLANK(E1368)),COUNTBLANK(E1368:K1368) = 6),"3 Delete",IF(ISBLANK(E1368),"2 Add",IF(SHA1Range(E1368:K1368) = "4ecbbe4831cda0a197c3f285bcfdc2fca38ef12d","0 Original","1 Modify"))))</f>
        <v>0 Original</v>
      </c>
      <c r="D1368" s="5" t="s">
        <v>3577</v>
      </c>
      <c r="E1368" s="3">
        <v>2534</v>
      </c>
      <c r="F1368" t="s">
        <v>1374</v>
      </c>
      <c r="G1368" t="s">
        <v>373</v>
      </c>
      <c r="H1368" s="9">
        <v>7.99</v>
      </c>
      <c r="I1368" s="3">
        <v>2</v>
      </c>
      <c r="J1368" s="5" t="s">
        <v>68</v>
      </c>
      <c r="K1368" s="15">
        <v>41880.463645833333</v>
      </c>
      <c r="L1368" s="20">
        <f t="shared" si="63"/>
        <v>41880</v>
      </c>
      <c r="M1368" t="str">
        <f t="shared" si="64"/>
        <v>08-2014</v>
      </c>
      <c r="N1368">
        <f t="shared" si="65"/>
        <v>15.98</v>
      </c>
    </row>
    <row r="1369" spans="3:14" x14ac:dyDescent="0.25">
      <c r="C1369" t="str">
        <f>IF(COUNTBLANK(E1369:K1369) = 7,"",IF(AND(NOT(ISBLANK(E1369)),COUNTBLANK(E1369:K1369) = 6),"3 Delete",IF(ISBLANK(E1369),"2 Add",IF(SHA1Range(E1369:K1369) = "fb3e65abeace812e05d215216f113ce16df0625e","0 Original","1 Modify"))))</f>
        <v>0 Original</v>
      </c>
      <c r="D1369" s="5" t="s">
        <v>3578</v>
      </c>
      <c r="E1369" s="3">
        <v>2535</v>
      </c>
      <c r="F1369" t="s">
        <v>1374</v>
      </c>
      <c r="G1369" t="s">
        <v>400</v>
      </c>
      <c r="H1369" s="9">
        <v>4.99</v>
      </c>
      <c r="I1369" s="3">
        <v>1</v>
      </c>
      <c r="J1369" s="5" t="s">
        <v>68</v>
      </c>
      <c r="K1369" s="15">
        <v>41880.463645833333</v>
      </c>
      <c r="L1369" s="20">
        <f t="shared" si="63"/>
        <v>41880</v>
      </c>
      <c r="M1369" t="str">
        <f t="shared" si="64"/>
        <v>08-2014</v>
      </c>
      <c r="N1369">
        <f t="shared" si="65"/>
        <v>4.99</v>
      </c>
    </row>
    <row r="1370" spans="3:14" x14ac:dyDescent="0.25">
      <c r="C1370" t="str">
        <f>IF(COUNTBLANK(E1370:K1370) = 7,"",IF(AND(NOT(ISBLANK(E1370)),COUNTBLANK(E1370:K1370) = 6),"3 Delete",IF(ISBLANK(E1370),"2 Add",IF(SHA1Range(E1370:K1370) = "92a160b539f6d52fe43e94433ca8ac1fd98e7975","0 Original","1 Modify"))))</f>
        <v>0 Original</v>
      </c>
      <c r="D1370" s="5" t="s">
        <v>3579</v>
      </c>
      <c r="E1370" s="3">
        <v>2536</v>
      </c>
      <c r="F1370" t="s">
        <v>1374</v>
      </c>
      <c r="G1370" t="s">
        <v>579</v>
      </c>
      <c r="H1370" s="9">
        <v>9.99</v>
      </c>
      <c r="I1370" s="3">
        <v>1</v>
      </c>
      <c r="J1370" s="5" t="s">
        <v>68</v>
      </c>
      <c r="K1370" s="15">
        <v>41880.463645833333</v>
      </c>
      <c r="L1370" s="20">
        <f t="shared" si="63"/>
        <v>41880</v>
      </c>
      <c r="M1370" t="str">
        <f t="shared" si="64"/>
        <v>08-2014</v>
      </c>
      <c r="N1370">
        <f t="shared" si="65"/>
        <v>9.99</v>
      </c>
    </row>
    <row r="1371" spans="3:14" x14ac:dyDescent="0.25">
      <c r="C1371" t="str">
        <f>IF(COUNTBLANK(E1371:K1371) = 7,"",IF(AND(NOT(ISBLANK(E1371)),COUNTBLANK(E1371:K1371) = 6),"3 Delete",IF(ISBLANK(E1371),"2 Add",IF(SHA1Range(E1371:K1371) = "8e66c1b8f3d7c2e71060cb95c46bf75d0b296109","0 Original","1 Modify"))))</f>
        <v>0 Original</v>
      </c>
      <c r="D1371" s="5" t="s">
        <v>4222</v>
      </c>
      <c r="E1371" s="3">
        <v>791</v>
      </c>
      <c r="F1371" t="s">
        <v>1375</v>
      </c>
      <c r="G1371" t="s">
        <v>482</v>
      </c>
      <c r="H1371" s="9">
        <v>8.99</v>
      </c>
      <c r="I1371" s="3">
        <v>1</v>
      </c>
      <c r="J1371" s="5" t="s">
        <v>68</v>
      </c>
      <c r="K1371" s="15">
        <v>41880.804386574076</v>
      </c>
      <c r="L1371" s="20">
        <f t="shared" si="63"/>
        <v>41880</v>
      </c>
      <c r="M1371" t="str">
        <f t="shared" si="64"/>
        <v>08-2014</v>
      </c>
      <c r="N1371">
        <f t="shared" si="65"/>
        <v>8.99</v>
      </c>
    </row>
    <row r="1372" spans="3:14" x14ac:dyDescent="0.25">
      <c r="C1372" t="str">
        <f>IF(COUNTBLANK(E1372:K1372) = 7,"",IF(AND(NOT(ISBLANK(E1372)),COUNTBLANK(E1372:K1372) = 6),"3 Delete",IF(ISBLANK(E1372),"2 Add",IF(SHA1Range(E1372:K1372) = "f6fadff83037680058b0f76bf709eafe9fff579e","0 Original","1 Modify"))))</f>
        <v>0 Original</v>
      </c>
      <c r="D1372" s="5" t="s">
        <v>4223</v>
      </c>
      <c r="E1372" s="3">
        <v>792</v>
      </c>
      <c r="F1372" t="s">
        <v>1375</v>
      </c>
      <c r="G1372" t="s">
        <v>585</v>
      </c>
      <c r="H1372" s="9">
        <v>9.99</v>
      </c>
      <c r="I1372" s="3">
        <v>1</v>
      </c>
      <c r="J1372" s="5" t="s">
        <v>68</v>
      </c>
      <c r="K1372" s="15">
        <v>41880.804386574076</v>
      </c>
      <c r="L1372" s="20">
        <f t="shared" si="63"/>
        <v>41880</v>
      </c>
      <c r="M1372" t="str">
        <f t="shared" si="64"/>
        <v>08-2014</v>
      </c>
      <c r="N1372">
        <f t="shared" si="65"/>
        <v>9.99</v>
      </c>
    </row>
    <row r="1373" spans="3:14" x14ac:dyDescent="0.25">
      <c r="C1373" t="str">
        <f>IF(COUNTBLANK(E1373:K1373) = 7,"",IF(AND(NOT(ISBLANK(E1373)),COUNTBLANK(E1373:K1373) = 6),"3 Delete",IF(ISBLANK(E1373),"2 Add",IF(SHA1Range(E1373:K1373) = "4c7c21e92a019ed529b5c48ed7723b4ecd5a22cb","0 Original","1 Modify"))))</f>
        <v>0 Original</v>
      </c>
      <c r="D1373" s="5" t="s">
        <v>3580</v>
      </c>
      <c r="E1373" s="3">
        <v>3019</v>
      </c>
      <c r="F1373" t="s">
        <v>1376</v>
      </c>
      <c r="G1373" t="s">
        <v>642</v>
      </c>
      <c r="H1373" s="9">
        <v>9.99</v>
      </c>
      <c r="I1373" s="3">
        <v>1</v>
      </c>
      <c r="J1373" s="5" t="s">
        <v>68</v>
      </c>
      <c r="K1373" s="15">
        <v>41881.062048611115</v>
      </c>
      <c r="L1373" s="20">
        <f t="shared" si="63"/>
        <v>41881</v>
      </c>
      <c r="M1373" t="str">
        <f t="shared" si="64"/>
        <v>08-2014</v>
      </c>
      <c r="N1373">
        <f t="shared" si="65"/>
        <v>9.99</v>
      </c>
    </row>
    <row r="1374" spans="3:14" x14ac:dyDescent="0.25">
      <c r="C1374" t="str">
        <f>IF(COUNTBLANK(E1374:K1374) = 7,"",IF(AND(NOT(ISBLANK(E1374)),COUNTBLANK(E1374:K1374) = 6),"3 Delete",IF(ISBLANK(E1374),"2 Add",IF(SHA1Range(E1374:K1374) = "dea9b60a59f9928731a709b041ad600c91beb268","0 Original","1 Modify"))))</f>
        <v>0 Original</v>
      </c>
      <c r="D1374" s="5" t="s">
        <v>3581</v>
      </c>
      <c r="E1374" s="3">
        <v>3020</v>
      </c>
      <c r="F1374" t="s">
        <v>1376</v>
      </c>
      <c r="G1374" t="s">
        <v>579</v>
      </c>
      <c r="H1374" s="9">
        <v>9.99</v>
      </c>
      <c r="I1374" s="3">
        <v>1</v>
      </c>
      <c r="J1374" s="5" t="s">
        <v>68</v>
      </c>
      <c r="K1374" s="15">
        <v>41881.062048611115</v>
      </c>
      <c r="L1374" s="20">
        <f t="shared" si="63"/>
        <v>41881</v>
      </c>
      <c r="M1374" t="str">
        <f t="shared" si="64"/>
        <v>08-2014</v>
      </c>
      <c r="N1374">
        <f t="shared" si="65"/>
        <v>9.99</v>
      </c>
    </row>
    <row r="1375" spans="3:14" x14ac:dyDescent="0.25">
      <c r="C1375" t="str">
        <f>IF(COUNTBLANK(E1375:K1375) = 7,"",IF(AND(NOT(ISBLANK(E1375)),COUNTBLANK(E1375:K1375) = 6),"3 Delete",IF(ISBLANK(E1375),"2 Add",IF(SHA1Range(E1375:K1375) = "b84e6d9706e25e59d84e59d4b86b289966108297","0 Original","1 Modify"))))</f>
        <v>0 Original</v>
      </c>
      <c r="D1375" s="5" t="s">
        <v>3582</v>
      </c>
      <c r="E1375" s="3">
        <v>2642</v>
      </c>
      <c r="F1375" t="s">
        <v>1377</v>
      </c>
      <c r="G1375" t="s">
        <v>373</v>
      </c>
      <c r="H1375" s="9">
        <v>7.99</v>
      </c>
      <c r="I1375" s="3">
        <v>1</v>
      </c>
      <c r="J1375" s="5" t="s">
        <v>68</v>
      </c>
      <c r="K1375" s="15">
        <v>41881.071527777778</v>
      </c>
      <c r="L1375" s="20">
        <f t="shared" si="63"/>
        <v>41881</v>
      </c>
      <c r="M1375" t="str">
        <f t="shared" si="64"/>
        <v>08-2014</v>
      </c>
      <c r="N1375">
        <f t="shared" si="65"/>
        <v>7.99</v>
      </c>
    </row>
    <row r="1376" spans="3:14" x14ac:dyDescent="0.25">
      <c r="C1376" t="str">
        <f>IF(COUNTBLANK(E1376:K1376) = 7,"",IF(AND(NOT(ISBLANK(E1376)),COUNTBLANK(E1376:K1376) = 6),"3 Delete",IF(ISBLANK(E1376),"2 Add",IF(SHA1Range(E1376:K1376) = "200c9c667e624953465d747b62638d4e022d16b7","0 Original","1 Modify"))))</f>
        <v>0 Original</v>
      </c>
      <c r="D1376" s="5" t="s">
        <v>3583</v>
      </c>
      <c r="E1376" s="3">
        <v>2643</v>
      </c>
      <c r="F1376" t="s">
        <v>1377</v>
      </c>
      <c r="G1376" t="s">
        <v>579</v>
      </c>
      <c r="H1376" s="9">
        <v>9.99</v>
      </c>
      <c r="I1376" s="3">
        <v>2</v>
      </c>
      <c r="J1376" s="5" t="s">
        <v>68</v>
      </c>
      <c r="K1376" s="15">
        <v>41881.071527777778</v>
      </c>
      <c r="L1376" s="20">
        <f t="shared" si="63"/>
        <v>41881</v>
      </c>
      <c r="M1376" t="str">
        <f t="shared" si="64"/>
        <v>08-2014</v>
      </c>
      <c r="N1376">
        <f t="shared" si="65"/>
        <v>19.98</v>
      </c>
    </row>
    <row r="1377" spans="3:14" x14ac:dyDescent="0.25">
      <c r="C1377" t="str">
        <f>IF(COUNTBLANK(E1377:K1377) = 7,"",IF(AND(NOT(ISBLANK(E1377)),COUNTBLANK(E1377:K1377) = 6),"3 Delete",IF(ISBLANK(E1377),"2 Add",IF(SHA1Range(E1377:K1377) = "922c1d058cf6796b9cb53f05a7bc7882ed4b2dc9","0 Original","1 Modify"))))</f>
        <v>0 Original</v>
      </c>
      <c r="D1377" s="5" t="s">
        <v>3584</v>
      </c>
      <c r="E1377" s="3">
        <v>2644</v>
      </c>
      <c r="F1377" t="s">
        <v>1377</v>
      </c>
      <c r="G1377" t="s">
        <v>400</v>
      </c>
      <c r="H1377" s="9">
        <v>4.99</v>
      </c>
      <c r="I1377" s="3">
        <v>1</v>
      </c>
      <c r="J1377" s="5" t="s">
        <v>68</v>
      </c>
      <c r="K1377" s="15">
        <v>41881.071527777778</v>
      </c>
      <c r="L1377" s="20">
        <f t="shared" si="63"/>
        <v>41881</v>
      </c>
      <c r="M1377" t="str">
        <f t="shared" si="64"/>
        <v>08-2014</v>
      </c>
      <c r="N1377">
        <f t="shared" si="65"/>
        <v>4.99</v>
      </c>
    </row>
    <row r="1378" spans="3:14" x14ac:dyDescent="0.25">
      <c r="C1378" t="str">
        <f>IF(COUNTBLANK(E1378:K1378) = 7,"",IF(AND(NOT(ISBLANK(E1378)),COUNTBLANK(E1378:K1378) = 6),"3 Delete",IF(ISBLANK(E1378),"2 Add",IF(SHA1Range(E1378:K1378) = "0647a9bc23542fd8cbeb860daf86d4621b27d82a","0 Original","1 Modify"))))</f>
        <v>0 Original</v>
      </c>
      <c r="D1378" s="5" t="s">
        <v>3585</v>
      </c>
      <c r="E1378" s="3">
        <v>3406</v>
      </c>
      <c r="F1378" t="s">
        <v>1378</v>
      </c>
      <c r="G1378" t="s">
        <v>373</v>
      </c>
      <c r="H1378" s="9">
        <v>7.99</v>
      </c>
      <c r="I1378" s="3">
        <v>1</v>
      </c>
      <c r="J1378" s="5" t="s">
        <v>68</v>
      </c>
      <c r="K1378" s="15">
        <v>41881.578125</v>
      </c>
      <c r="L1378" s="20">
        <f t="shared" si="63"/>
        <v>41881</v>
      </c>
      <c r="M1378" t="str">
        <f t="shared" si="64"/>
        <v>08-2014</v>
      </c>
      <c r="N1378">
        <f t="shared" si="65"/>
        <v>7.99</v>
      </c>
    </row>
    <row r="1379" spans="3:14" x14ac:dyDescent="0.25">
      <c r="C1379" t="str">
        <f>IF(COUNTBLANK(E1379:K1379) = 7,"",IF(AND(NOT(ISBLANK(E1379)),COUNTBLANK(E1379:K1379) = 6),"3 Delete",IF(ISBLANK(E1379),"2 Add",IF(SHA1Range(E1379:K1379) = "788b3ce2748542a9f2fd67c26173a5c68f64b110","0 Original","1 Modify"))))</f>
        <v>0 Original</v>
      </c>
      <c r="D1379" s="5" t="s">
        <v>3586</v>
      </c>
      <c r="E1379" s="3">
        <v>3407</v>
      </c>
      <c r="F1379" t="s">
        <v>1378</v>
      </c>
      <c r="G1379" t="s">
        <v>642</v>
      </c>
      <c r="H1379" s="9">
        <v>9.99</v>
      </c>
      <c r="I1379" s="3">
        <v>2</v>
      </c>
      <c r="J1379" s="5" t="s">
        <v>68</v>
      </c>
      <c r="K1379" s="15">
        <v>41881.578125</v>
      </c>
      <c r="L1379" s="20">
        <f t="shared" si="63"/>
        <v>41881</v>
      </c>
      <c r="M1379" t="str">
        <f t="shared" si="64"/>
        <v>08-2014</v>
      </c>
      <c r="N1379">
        <f t="shared" si="65"/>
        <v>19.98</v>
      </c>
    </row>
    <row r="1380" spans="3:14" x14ac:dyDescent="0.25">
      <c r="C1380" t="str">
        <f>IF(COUNTBLANK(E1380:K1380) = 7,"",IF(AND(NOT(ISBLANK(E1380)),COUNTBLANK(E1380:K1380) = 6),"3 Delete",IF(ISBLANK(E1380),"2 Add",IF(SHA1Range(E1380:K1380) = "87c2031f9ac9b97534b8493c81d2c6a56c1d6ec6","0 Original","1 Modify"))))</f>
        <v>0 Original</v>
      </c>
      <c r="D1380" s="5" t="s">
        <v>3587</v>
      </c>
      <c r="E1380" s="3">
        <v>3673</v>
      </c>
      <c r="F1380" t="s">
        <v>1379</v>
      </c>
      <c r="G1380" t="s">
        <v>749</v>
      </c>
      <c r="H1380" s="9">
        <v>5.99</v>
      </c>
      <c r="I1380" s="3">
        <v>1</v>
      </c>
      <c r="J1380" s="5" t="s">
        <v>68</v>
      </c>
      <c r="K1380" s="15">
        <v>41882.152129629627</v>
      </c>
      <c r="L1380" s="20">
        <f t="shared" si="63"/>
        <v>41882</v>
      </c>
      <c r="M1380" t="str">
        <f t="shared" si="64"/>
        <v>08-2014</v>
      </c>
      <c r="N1380">
        <f t="shared" si="65"/>
        <v>5.99</v>
      </c>
    </row>
    <row r="1381" spans="3:14" x14ac:dyDescent="0.25">
      <c r="C1381" t="str">
        <f>IF(COUNTBLANK(E1381:K1381) = 7,"",IF(AND(NOT(ISBLANK(E1381)),COUNTBLANK(E1381:K1381) = 6),"3 Delete",IF(ISBLANK(E1381),"2 Add",IF(SHA1Range(E1381:K1381) = "062b0e65bedbe7ebf5c697fdd549454e5b88cce1","0 Original","1 Modify"))))</f>
        <v>0 Original</v>
      </c>
      <c r="D1381" s="5" t="s">
        <v>3588</v>
      </c>
      <c r="E1381" s="3">
        <v>3674</v>
      </c>
      <c r="F1381" t="s">
        <v>1379</v>
      </c>
      <c r="G1381" t="s">
        <v>707</v>
      </c>
      <c r="H1381" s="9">
        <v>7.99</v>
      </c>
      <c r="I1381" s="3">
        <v>1</v>
      </c>
      <c r="J1381" s="5" t="s">
        <v>68</v>
      </c>
      <c r="K1381" s="15">
        <v>41882.152129629627</v>
      </c>
      <c r="L1381" s="20">
        <f t="shared" si="63"/>
        <v>41882</v>
      </c>
      <c r="M1381" t="str">
        <f t="shared" si="64"/>
        <v>08-2014</v>
      </c>
      <c r="N1381">
        <f t="shared" si="65"/>
        <v>7.99</v>
      </c>
    </row>
    <row r="1382" spans="3:14" x14ac:dyDescent="0.25">
      <c r="C1382" t="str">
        <f>IF(COUNTBLANK(E1382:K1382) = 7,"",IF(AND(NOT(ISBLANK(E1382)),COUNTBLANK(E1382:K1382) = 6),"3 Delete",IF(ISBLANK(E1382),"2 Add",IF(SHA1Range(E1382:K1382) = "adc7a7d3ead936057c17a47079f645c1cb0091de","0 Original","1 Modify"))))</f>
        <v>0 Original</v>
      </c>
      <c r="D1382" s="5" t="s">
        <v>3589</v>
      </c>
      <c r="E1382" s="3">
        <v>3675</v>
      </c>
      <c r="F1382" t="s">
        <v>1379</v>
      </c>
      <c r="G1382" t="s">
        <v>749</v>
      </c>
      <c r="H1382" s="9">
        <v>5.99</v>
      </c>
      <c r="I1382" s="3">
        <v>1</v>
      </c>
      <c r="J1382" s="5" t="s">
        <v>68</v>
      </c>
      <c r="K1382" s="15">
        <v>41882.152129629627</v>
      </c>
      <c r="L1382" s="20">
        <f t="shared" si="63"/>
        <v>41882</v>
      </c>
      <c r="M1382" t="str">
        <f t="shared" si="64"/>
        <v>08-2014</v>
      </c>
      <c r="N1382">
        <f t="shared" si="65"/>
        <v>5.99</v>
      </c>
    </row>
    <row r="1383" spans="3:14" x14ac:dyDescent="0.25">
      <c r="C1383" t="str">
        <f>IF(COUNTBLANK(E1383:K1383) = 7,"",IF(AND(NOT(ISBLANK(E1383)),COUNTBLANK(E1383:K1383) = 6),"3 Delete",IF(ISBLANK(E1383),"2 Add",IF(SHA1Range(E1383:K1383) = "7cfdbde52ab4f359b00979da7f757e7021ba8479","0 Original","1 Modify"))))</f>
        <v>0 Original</v>
      </c>
      <c r="D1383" s="5" t="s">
        <v>3590</v>
      </c>
      <c r="E1383" s="3">
        <v>2942</v>
      </c>
      <c r="F1383" t="s">
        <v>1380</v>
      </c>
      <c r="G1383" t="s">
        <v>642</v>
      </c>
      <c r="H1383" s="9">
        <v>9.99</v>
      </c>
      <c r="I1383" s="3">
        <v>1</v>
      </c>
      <c r="J1383" s="5" t="s">
        <v>68</v>
      </c>
      <c r="K1383" s="15">
        <v>41882.214212962965</v>
      </c>
      <c r="L1383" s="20">
        <f t="shared" si="63"/>
        <v>41882</v>
      </c>
      <c r="M1383" t="str">
        <f t="shared" si="64"/>
        <v>08-2014</v>
      </c>
      <c r="N1383">
        <f t="shared" si="65"/>
        <v>9.99</v>
      </c>
    </row>
    <row r="1384" spans="3:14" x14ac:dyDescent="0.25">
      <c r="C1384" t="str">
        <f>IF(COUNTBLANK(E1384:K1384) = 7,"",IF(AND(NOT(ISBLANK(E1384)),COUNTBLANK(E1384:K1384) = 6),"3 Delete",IF(ISBLANK(E1384),"2 Add",IF(SHA1Range(E1384:K1384) = "a724e4bb254837a169dedb33210149ca83eecb1d","0 Original","1 Modify"))))</f>
        <v>0 Original</v>
      </c>
      <c r="D1384" s="5" t="s">
        <v>4224</v>
      </c>
      <c r="E1384" s="3">
        <v>170</v>
      </c>
      <c r="F1384" t="s">
        <v>1381</v>
      </c>
      <c r="G1384" t="s">
        <v>566</v>
      </c>
      <c r="H1384" s="9">
        <v>6.99</v>
      </c>
      <c r="I1384" s="3">
        <v>1</v>
      </c>
      <c r="J1384" s="5" t="s">
        <v>68</v>
      </c>
      <c r="K1384" s="15">
        <v>41882.226053240738</v>
      </c>
      <c r="L1384" s="20">
        <f t="shared" si="63"/>
        <v>41882</v>
      </c>
      <c r="M1384" t="str">
        <f t="shared" si="64"/>
        <v>08-2014</v>
      </c>
      <c r="N1384">
        <f t="shared" si="65"/>
        <v>6.99</v>
      </c>
    </row>
    <row r="1385" spans="3:14" x14ac:dyDescent="0.25">
      <c r="C1385" t="str">
        <f>IF(COUNTBLANK(E1385:K1385) = 7,"",IF(AND(NOT(ISBLANK(E1385)),COUNTBLANK(E1385:K1385) = 6),"3 Delete",IF(ISBLANK(E1385),"2 Add",IF(SHA1Range(E1385:K1385) = "0c2e9b7cddfd5924f847f7d75936364f0071fa6c","0 Original","1 Modify"))))</f>
        <v>0 Original</v>
      </c>
      <c r="D1385" s="5" t="s">
        <v>4225</v>
      </c>
      <c r="E1385" s="3">
        <v>171</v>
      </c>
      <c r="F1385" t="s">
        <v>1381</v>
      </c>
      <c r="G1385" t="s">
        <v>517</v>
      </c>
      <c r="H1385" s="9">
        <v>5.99</v>
      </c>
      <c r="I1385" s="3">
        <v>1</v>
      </c>
      <c r="J1385" s="5" t="s">
        <v>68</v>
      </c>
      <c r="K1385" s="15">
        <v>41882.226053240738</v>
      </c>
      <c r="L1385" s="20">
        <f t="shared" si="63"/>
        <v>41882</v>
      </c>
      <c r="M1385" t="str">
        <f t="shared" si="64"/>
        <v>08-2014</v>
      </c>
      <c r="N1385">
        <f t="shared" si="65"/>
        <v>5.99</v>
      </c>
    </row>
    <row r="1386" spans="3:14" x14ac:dyDescent="0.25">
      <c r="C1386" t="str">
        <f>IF(COUNTBLANK(E1386:K1386) = 7,"",IF(AND(NOT(ISBLANK(E1386)),COUNTBLANK(E1386:K1386) = 6),"3 Delete",IF(ISBLANK(E1386),"2 Add",IF(SHA1Range(E1386:K1386) = "1b1fc5df8debcee8458638e71bb47999a4d9fbaf","0 Original","1 Modify"))))</f>
        <v>0 Original</v>
      </c>
      <c r="D1386" s="5" t="s">
        <v>4226</v>
      </c>
      <c r="E1386" s="3">
        <v>172</v>
      </c>
      <c r="F1386" t="s">
        <v>1381</v>
      </c>
      <c r="G1386" t="s">
        <v>510</v>
      </c>
      <c r="H1386" s="9">
        <v>4.99</v>
      </c>
      <c r="I1386" s="3">
        <v>2</v>
      </c>
      <c r="J1386" s="5" t="s">
        <v>68</v>
      </c>
      <c r="K1386" s="15">
        <v>41882.226053240738</v>
      </c>
      <c r="L1386" s="20">
        <f t="shared" si="63"/>
        <v>41882</v>
      </c>
      <c r="M1386" t="str">
        <f t="shared" si="64"/>
        <v>08-2014</v>
      </c>
      <c r="N1386">
        <f t="shared" si="65"/>
        <v>9.98</v>
      </c>
    </row>
    <row r="1387" spans="3:14" x14ac:dyDescent="0.25">
      <c r="C1387" t="str">
        <f>IF(COUNTBLANK(E1387:K1387) = 7,"",IF(AND(NOT(ISBLANK(E1387)),COUNTBLANK(E1387:K1387) = 6),"3 Delete",IF(ISBLANK(E1387),"2 Add",IF(SHA1Range(E1387:K1387) = "14ddb99e325e10a2cf15fa550ba094adcef60586","0 Original","1 Modify"))))</f>
        <v>0 Original</v>
      </c>
      <c r="D1387" s="5" t="s">
        <v>4227</v>
      </c>
      <c r="E1387" s="3">
        <v>173</v>
      </c>
      <c r="F1387" t="s">
        <v>1381</v>
      </c>
      <c r="G1387" t="s">
        <v>492</v>
      </c>
      <c r="H1387" s="9">
        <v>7.99</v>
      </c>
      <c r="I1387" s="3">
        <v>2</v>
      </c>
      <c r="J1387" s="5" t="s">
        <v>68</v>
      </c>
      <c r="K1387" s="15">
        <v>41882.226053240738</v>
      </c>
      <c r="L1387" s="20">
        <f t="shared" si="63"/>
        <v>41882</v>
      </c>
      <c r="M1387" t="str">
        <f t="shared" si="64"/>
        <v>08-2014</v>
      </c>
      <c r="N1387">
        <f t="shared" si="65"/>
        <v>15.98</v>
      </c>
    </row>
    <row r="1388" spans="3:14" x14ac:dyDescent="0.25">
      <c r="C1388" t="str">
        <f>IF(COUNTBLANK(E1388:K1388) = 7,"",IF(AND(NOT(ISBLANK(E1388)),COUNTBLANK(E1388:K1388) = 6),"3 Delete",IF(ISBLANK(E1388),"2 Add",IF(SHA1Range(E1388:K1388) = "be201be9237e3c6627adf79d16654536f2a9ce0b","0 Original","1 Modify"))))</f>
        <v>0 Original</v>
      </c>
      <c r="D1388" s="5" t="s">
        <v>4228</v>
      </c>
      <c r="E1388" s="3">
        <v>174</v>
      </c>
      <c r="F1388" t="s">
        <v>1381</v>
      </c>
      <c r="G1388" t="s">
        <v>610</v>
      </c>
      <c r="H1388" s="9">
        <v>9.99</v>
      </c>
      <c r="I1388" s="3">
        <v>1</v>
      </c>
      <c r="J1388" s="5" t="s">
        <v>68</v>
      </c>
      <c r="K1388" s="15">
        <v>41882.226053240738</v>
      </c>
      <c r="L1388" s="20">
        <f t="shared" si="63"/>
        <v>41882</v>
      </c>
      <c r="M1388" t="str">
        <f t="shared" si="64"/>
        <v>08-2014</v>
      </c>
      <c r="N1388">
        <f t="shared" si="65"/>
        <v>9.99</v>
      </c>
    </row>
    <row r="1389" spans="3:14" x14ac:dyDescent="0.25">
      <c r="C1389" t="str">
        <f>IF(COUNTBLANK(E1389:K1389) = 7,"",IF(AND(NOT(ISBLANK(E1389)),COUNTBLANK(E1389:K1389) = 6),"3 Delete",IF(ISBLANK(E1389),"2 Add",IF(SHA1Range(E1389:K1389) = "deeca291c2c7d101a7b991f969b9b782dcec8706","0 Original","1 Modify"))))</f>
        <v>0 Original</v>
      </c>
      <c r="D1389" s="5" t="s">
        <v>3591</v>
      </c>
      <c r="E1389" s="3">
        <v>1093</v>
      </c>
      <c r="F1389" t="s">
        <v>1382</v>
      </c>
      <c r="G1389" t="s">
        <v>507</v>
      </c>
      <c r="H1389" s="9">
        <v>6.99</v>
      </c>
      <c r="I1389" s="3">
        <v>2</v>
      </c>
      <c r="J1389" s="5" t="s">
        <v>68</v>
      </c>
      <c r="K1389" s="15">
        <v>41882.51190972222</v>
      </c>
      <c r="L1389" s="20">
        <f t="shared" si="63"/>
        <v>41882</v>
      </c>
      <c r="M1389" t="str">
        <f t="shared" si="64"/>
        <v>08-2014</v>
      </c>
      <c r="N1389">
        <f t="shared" si="65"/>
        <v>13.98</v>
      </c>
    </row>
    <row r="1390" spans="3:14" x14ac:dyDescent="0.25">
      <c r="C1390" t="str">
        <f>IF(COUNTBLANK(E1390:K1390) = 7,"",IF(AND(NOT(ISBLANK(E1390)),COUNTBLANK(E1390:K1390) = 6),"3 Delete",IF(ISBLANK(E1390),"2 Add",IF(SHA1Range(E1390:K1390) = "7d3c2346507eef465f9813a45228bde52b772c37","0 Original","1 Modify"))))</f>
        <v>0 Original</v>
      </c>
      <c r="D1390" s="5" t="s">
        <v>3592</v>
      </c>
      <c r="E1390" s="3">
        <v>1094</v>
      </c>
      <c r="F1390" t="s">
        <v>1382</v>
      </c>
      <c r="G1390" t="s">
        <v>820</v>
      </c>
      <c r="H1390" s="9">
        <v>9.99</v>
      </c>
      <c r="I1390" s="3">
        <v>2</v>
      </c>
      <c r="J1390" s="5" t="s">
        <v>68</v>
      </c>
      <c r="K1390" s="15">
        <v>41882.51190972222</v>
      </c>
      <c r="L1390" s="20">
        <f t="shared" si="63"/>
        <v>41882</v>
      </c>
      <c r="M1390" t="str">
        <f t="shared" si="64"/>
        <v>08-2014</v>
      </c>
      <c r="N1390">
        <f t="shared" si="65"/>
        <v>19.98</v>
      </c>
    </row>
    <row r="1391" spans="3:14" x14ac:dyDescent="0.25">
      <c r="C1391" t="str">
        <f>IF(COUNTBLANK(E1391:K1391) = 7,"",IF(AND(NOT(ISBLANK(E1391)),COUNTBLANK(E1391:K1391) = 6),"3 Delete",IF(ISBLANK(E1391),"2 Add",IF(SHA1Range(E1391:K1391) = "d328cc684de455b1e629f062265a14ba01edd6dc","0 Original","1 Modify"))))</f>
        <v>0 Original</v>
      </c>
      <c r="D1391" s="5" t="s">
        <v>3593</v>
      </c>
      <c r="E1391" s="3">
        <v>1730</v>
      </c>
      <c r="F1391" t="s">
        <v>1383</v>
      </c>
      <c r="G1391" t="s">
        <v>600</v>
      </c>
      <c r="H1391" s="9">
        <v>5.99</v>
      </c>
      <c r="I1391" s="3">
        <v>1</v>
      </c>
      <c r="J1391" s="5" t="s">
        <v>68</v>
      </c>
      <c r="K1391" s="15">
        <v>41882.850462962961</v>
      </c>
      <c r="L1391" s="20">
        <f t="shared" si="63"/>
        <v>41882</v>
      </c>
      <c r="M1391" t="str">
        <f t="shared" si="64"/>
        <v>08-2014</v>
      </c>
      <c r="N1391">
        <f t="shared" si="65"/>
        <v>5.99</v>
      </c>
    </row>
    <row r="1392" spans="3:14" x14ac:dyDescent="0.25">
      <c r="C1392" t="str">
        <f>IF(COUNTBLANK(E1392:K1392) = 7,"",IF(AND(NOT(ISBLANK(E1392)),COUNTBLANK(E1392:K1392) = 6),"3 Delete",IF(ISBLANK(E1392),"2 Add",IF(SHA1Range(E1392:K1392) = "22ad7fa35b917e5d97c5b01e2bb803890ad924c0","0 Original","1 Modify"))))</f>
        <v>0 Original</v>
      </c>
      <c r="D1392" s="5" t="s">
        <v>4229</v>
      </c>
      <c r="E1392" s="3">
        <v>156</v>
      </c>
      <c r="F1392" t="s">
        <v>1384</v>
      </c>
      <c r="G1392" t="s">
        <v>742</v>
      </c>
      <c r="H1392" s="9">
        <v>7.99</v>
      </c>
      <c r="I1392" s="3">
        <v>2</v>
      </c>
      <c r="J1392" s="5" t="s">
        <v>68</v>
      </c>
      <c r="K1392" s="15">
        <v>41883.154502314814</v>
      </c>
      <c r="L1392" s="20">
        <f t="shared" si="63"/>
        <v>41883</v>
      </c>
      <c r="M1392" t="str">
        <f t="shared" si="64"/>
        <v>09-2014</v>
      </c>
      <c r="N1392">
        <f t="shared" si="65"/>
        <v>15.98</v>
      </c>
    </row>
    <row r="1393" spans="3:14" x14ac:dyDescent="0.25">
      <c r="C1393" t="str">
        <f>IF(COUNTBLANK(E1393:K1393) = 7,"",IF(AND(NOT(ISBLANK(E1393)),COUNTBLANK(E1393:K1393) = 6),"3 Delete",IF(ISBLANK(E1393),"2 Add",IF(SHA1Range(E1393:K1393) = "e89423a21151d618c487e2ea5a8a135f8c60c4f1","0 Original","1 Modify"))))</f>
        <v>0 Original</v>
      </c>
      <c r="D1393" s="5" t="s">
        <v>4230</v>
      </c>
      <c r="E1393" s="3">
        <v>157</v>
      </c>
      <c r="F1393" t="s">
        <v>1384</v>
      </c>
      <c r="G1393" t="s">
        <v>651</v>
      </c>
      <c r="H1393" s="9">
        <v>4.99</v>
      </c>
      <c r="I1393" s="3">
        <v>2</v>
      </c>
      <c r="J1393" s="5" t="s">
        <v>68</v>
      </c>
      <c r="K1393" s="15">
        <v>41883.154502314814</v>
      </c>
      <c r="L1393" s="20">
        <f t="shared" si="63"/>
        <v>41883</v>
      </c>
      <c r="M1393" t="str">
        <f t="shared" si="64"/>
        <v>09-2014</v>
      </c>
      <c r="N1393">
        <f t="shared" si="65"/>
        <v>9.98</v>
      </c>
    </row>
    <row r="1394" spans="3:14" x14ac:dyDescent="0.25">
      <c r="C1394" t="str">
        <f>IF(COUNTBLANK(E1394:K1394) = 7,"",IF(AND(NOT(ISBLANK(E1394)),COUNTBLANK(E1394:K1394) = 6),"3 Delete",IF(ISBLANK(E1394),"2 Add",IF(SHA1Range(E1394:K1394) = "0b461518de1f7d96938f755256be6b33a60da4c2","0 Original","1 Modify"))))</f>
        <v>0 Original</v>
      </c>
      <c r="D1394" s="5" t="s">
        <v>4231</v>
      </c>
      <c r="E1394" s="3">
        <v>158</v>
      </c>
      <c r="F1394" t="s">
        <v>1384</v>
      </c>
      <c r="G1394" t="s">
        <v>771</v>
      </c>
      <c r="H1394" s="9">
        <v>9.99</v>
      </c>
      <c r="I1394" s="3">
        <v>2</v>
      </c>
      <c r="J1394" s="5" t="s">
        <v>68</v>
      </c>
      <c r="K1394" s="15">
        <v>41883.154502314814</v>
      </c>
      <c r="L1394" s="20">
        <f t="shared" si="63"/>
        <v>41883</v>
      </c>
      <c r="M1394" t="str">
        <f t="shared" si="64"/>
        <v>09-2014</v>
      </c>
      <c r="N1394">
        <f t="shared" si="65"/>
        <v>19.98</v>
      </c>
    </row>
    <row r="1395" spans="3:14" x14ac:dyDescent="0.25">
      <c r="C1395" t="str">
        <f>IF(COUNTBLANK(E1395:K1395) = 7,"",IF(AND(NOT(ISBLANK(E1395)),COUNTBLANK(E1395:K1395) = 6),"3 Delete",IF(ISBLANK(E1395),"2 Add",IF(SHA1Range(E1395:K1395) = "7fa8692a52bedd3a2a7b6e232c57ba80616bdcc1","0 Original","1 Modify"))))</f>
        <v>0 Original</v>
      </c>
      <c r="D1395" s="5" t="s">
        <v>4232</v>
      </c>
      <c r="E1395" s="3">
        <v>159</v>
      </c>
      <c r="F1395" t="s">
        <v>1384</v>
      </c>
      <c r="G1395" t="s">
        <v>680</v>
      </c>
      <c r="H1395" s="9">
        <v>8.99</v>
      </c>
      <c r="I1395" s="3">
        <v>2</v>
      </c>
      <c r="J1395" s="5" t="s">
        <v>68</v>
      </c>
      <c r="K1395" s="15">
        <v>41883.154502314814</v>
      </c>
      <c r="L1395" s="20">
        <f t="shared" si="63"/>
        <v>41883</v>
      </c>
      <c r="M1395" t="str">
        <f t="shared" si="64"/>
        <v>09-2014</v>
      </c>
      <c r="N1395">
        <f t="shared" si="65"/>
        <v>17.98</v>
      </c>
    </row>
    <row r="1396" spans="3:14" x14ac:dyDescent="0.25">
      <c r="C1396" t="str">
        <f>IF(COUNTBLANK(E1396:K1396) = 7,"",IF(AND(NOT(ISBLANK(E1396)),COUNTBLANK(E1396:K1396) = 6),"3 Delete",IF(ISBLANK(E1396),"2 Add",IF(SHA1Range(E1396:K1396) = "d87c22743956400686664902b44cbe8718484648","0 Original","1 Modify"))))</f>
        <v>0 Original</v>
      </c>
      <c r="D1396" s="5" t="s">
        <v>3594</v>
      </c>
      <c r="E1396" s="3">
        <v>2084</v>
      </c>
      <c r="F1396" t="s">
        <v>1385</v>
      </c>
      <c r="G1396" t="s">
        <v>955</v>
      </c>
      <c r="H1396" s="9">
        <v>8.99</v>
      </c>
      <c r="I1396" s="3">
        <v>1</v>
      </c>
      <c r="J1396" s="5" t="s">
        <v>68</v>
      </c>
      <c r="K1396" s="15">
        <v>41883.552858796298</v>
      </c>
      <c r="L1396" s="20">
        <f t="shared" si="63"/>
        <v>41883</v>
      </c>
      <c r="M1396" t="str">
        <f t="shared" si="64"/>
        <v>09-2014</v>
      </c>
      <c r="N1396">
        <f t="shared" si="65"/>
        <v>8.99</v>
      </c>
    </row>
    <row r="1397" spans="3:14" x14ac:dyDescent="0.25">
      <c r="C1397" t="str">
        <f>IF(COUNTBLANK(E1397:K1397) = 7,"",IF(AND(NOT(ISBLANK(E1397)),COUNTBLANK(E1397:K1397) = 6),"3 Delete",IF(ISBLANK(E1397),"2 Add",IF(SHA1Range(E1397:K1397) = "2b4172fe5e8e93191f4c6b1b2fe754e6da9240c8","0 Original","1 Modify"))))</f>
        <v>0 Original</v>
      </c>
      <c r="D1397" s="5" t="s">
        <v>3595</v>
      </c>
      <c r="E1397" s="3">
        <v>2085</v>
      </c>
      <c r="F1397" t="s">
        <v>1385</v>
      </c>
      <c r="G1397" t="s">
        <v>373</v>
      </c>
      <c r="H1397" s="9">
        <v>7.99</v>
      </c>
      <c r="I1397" s="3">
        <v>1</v>
      </c>
      <c r="J1397" s="5" t="s">
        <v>68</v>
      </c>
      <c r="K1397" s="15">
        <v>41883.552858796298</v>
      </c>
      <c r="L1397" s="20">
        <f t="shared" si="63"/>
        <v>41883</v>
      </c>
      <c r="M1397" t="str">
        <f t="shared" si="64"/>
        <v>09-2014</v>
      </c>
      <c r="N1397">
        <f t="shared" si="65"/>
        <v>7.99</v>
      </c>
    </row>
    <row r="1398" spans="3:14" x14ac:dyDescent="0.25">
      <c r="C1398" t="str">
        <f>IF(COUNTBLANK(E1398:K1398) = 7,"",IF(AND(NOT(ISBLANK(E1398)),COUNTBLANK(E1398:K1398) = 6),"3 Delete",IF(ISBLANK(E1398),"2 Add",IF(SHA1Range(E1398:K1398) = "e3046fe37bc066abf9d674a14d585a03bd8f7b82","0 Original","1 Modify"))))</f>
        <v>0 Original</v>
      </c>
      <c r="D1398" s="5" t="s">
        <v>3596</v>
      </c>
      <c r="E1398" s="3">
        <v>2086</v>
      </c>
      <c r="F1398" t="s">
        <v>1385</v>
      </c>
      <c r="G1398" t="s">
        <v>690</v>
      </c>
      <c r="H1398" s="9">
        <v>7.99</v>
      </c>
      <c r="I1398" s="3">
        <v>1</v>
      </c>
      <c r="J1398" s="5" t="s">
        <v>68</v>
      </c>
      <c r="K1398" s="15">
        <v>41883.552858796298</v>
      </c>
      <c r="L1398" s="20">
        <f t="shared" si="63"/>
        <v>41883</v>
      </c>
      <c r="M1398" t="str">
        <f t="shared" si="64"/>
        <v>09-2014</v>
      </c>
      <c r="N1398">
        <f t="shared" si="65"/>
        <v>7.99</v>
      </c>
    </row>
    <row r="1399" spans="3:14" x14ac:dyDescent="0.25">
      <c r="C1399" t="str">
        <f>IF(COUNTBLANK(E1399:K1399) = 7,"",IF(AND(NOT(ISBLANK(E1399)),COUNTBLANK(E1399:K1399) = 6),"3 Delete",IF(ISBLANK(E1399),"2 Add",IF(SHA1Range(E1399:K1399) = "b91080eca8f45d0e5c9e38849046fc16bd1ef92e","0 Original","1 Modify"))))</f>
        <v>0 Original</v>
      </c>
      <c r="D1399" s="5" t="s">
        <v>3597</v>
      </c>
      <c r="E1399" s="3">
        <v>2087</v>
      </c>
      <c r="F1399" t="s">
        <v>1385</v>
      </c>
      <c r="G1399" t="s">
        <v>560</v>
      </c>
      <c r="H1399" s="9">
        <v>8.99</v>
      </c>
      <c r="I1399" s="3">
        <v>2</v>
      </c>
      <c r="J1399" s="5" t="s">
        <v>68</v>
      </c>
      <c r="K1399" s="15">
        <v>41883.552858796298</v>
      </c>
      <c r="L1399" s="20">
        <f t="shared" si="63"/>
        <v>41883</v>
      </c>
      <c r="M1399" t="str">
        <f t="shared" si="64"/>
        <v>09-2014</v>
      </c>
      <c r="N1399">
        <f t="shared" si="65"/>
        <v>17.98</v>
      </c>
    </row>
    <row r="1400" spans="3:14" x14ac:dyDescent="0.25">
      <c r="C1400" t="str">
        <f>IF(COUNTBLANK(E1400:K1400) = 7,"",IF(AND(NOT(ISBLANK(E1400)),COUNTBLANK(E1400:K1400) = 6),"3 Delete",IF(ISBLANK(E1400),"2 Add",IF(SHA1Range(E1400:K1400) = "062013c14d6d41d97bf50eaec7f13d6ad75f9dca","0 Original","1 Modify"))))</f>
        <v>0 Original</v>
      </c>
      <c r="D1400" s="5" t="s">
        <v>3598</v>
      </c>
      <c r="E1400" s="3">
        <v>2088</v>
      </c>
      <c r="F1400" t="s">
        <v>1385</v>
      </c>
      <c r="G1400" t="s">
        <v>514</v>
      </c>
      <c r="H1400" s="9">
        <v>6.99</v>
      </c>
      <c r="I1400" s="3">
        <v>1</v>
      </c>
      <c r="J1400" s="5" t="s">
        <v>68</v>
      </c>
      <c r="K1400" s="15">
        <v>41883.552858796298</v>
      </c>
      <c r="L1400" s="20">
        <f t="shared" si="63"/>
        <v>41883</v>
      </c>
      <c r="M1400" t="str">
        <f t="shared" si="64"/>
        <v>09-2014</v>
      </c>
      <c r="N1400">
        <f t="shared" si="65"/>
        <v>6.99</v>
      </c>
    </row>
    <row r="1401" spans="3:14" x14ac:dyDescent="0.25">
      <c r="C1401" t="str">
        <f>IF(COUNTBLANK(E1401:K1401) = 7,"",IF(AND(NOT(ISBLANK(E1401)),COUNTBLANK(E1401:K1401) = 6),"3 Delete",IF(ISBLANK(E1401),"2 Add",IF(SHA1Range(E1401:K1401) = "b82a3189ea06e53090befbe006f3117ebaf54777","0 Original","1 Modify"))))</f>
        <v>0 Original</v>
      </c>
      <c r="D1401" s="5" t="s">
        <v>3599</v>
      </c>
      <c r="E1401" s="3">
        <v>2751</v>
      </c>
      <c r="F1401" t="s">
        <v>1386</v>
      </c>
      <c r="G1401" t="s">
        <v>514</v>
      </c>
      <c r="H1401" s="9">
        <v>6.99</v>
      </c>
      <c r="I1401" s="3">
        <v>2</v>
      </c>
      <c r="J1401" s="5" t="s">
        <v>68</v>
      </c>
      <c r="K1401" s="15">
        <v>41883.777233796296</v>
      </c>
      <c r="L1401" s="20">
        <f t="shared" si="63"/>
        <v>41883</v>
      </c>
      <c r="M1401" t="str">
        <f t="shared" si="64"/>
        <v>09-2014</v>
      </c>
      <c r="N1401">
        <f t="shared" si="65"/>
        <v>13.98</v>
      </c>
    </row>
    <row r="1402" spans="3:14" x14ac:dyDescent="0.25">
      <c r="C1402" t="str">
        <f>IF(COUNTBLANK(E1402:K1402) = 7,"",IF(AND(NOT(ISBLANK(E1402)),COUNTBLANK(E1402:K1402) = 6),"3 Delete",IF(ISBLANK(E1402),"2 Add",IF(SHA1Range(E1402:K1402) = "a92a91e6a23a739c4505b4ce06c4e510677bdace","0 Original","1 Modify"))))</f>
        <v>0 Original</v>
      </c>
      <c r="D1402" s="5" t="s">
        <v>3600</v>
      </c>
      <c r="E1402" s="3">
        <v>2752</v>
      </c>
      <c r="F1402" t="s">
        <v>1386</v>
      </c>
      <c r="G1402" t="s">
        <v>579</v>
      </c>
      <c r="H1402" s="9">
        <v>9.99</v>
      </c>
      <c r="I1402" s="3">
        <v>2</v>
      </c>
      <c r="J1402" s="5" t="s">
        <v>68</v>
      </c>
      <c r="K1402" s="15">
        <v>41883.777233796296</v>
      </c>
      <c r="L1402" s="20">
        <f t="shared" si="63"/>
        <v>41883</v>
      </c>
      <c r="M1402" t="str">
        <f t="shared" si="64"/>
        <v>09-2014</v>
      </c>
      <c r="N1402">
        <f t="shared" si="65"/>
        <v>19.98</v>
      </c>
    </row>
    <row r="1403" spans="3:14" x14ac:dyDescent="0.25">
      <c r="C1403" t="str">
        <f>IF(COUNTBLANK(E1403:K1403) = 7,"",IF(AND(NOT(ISBLANK(E1403)),COUNTBLANK(E1403:K1403) = 6),"3 Delete",IF(ISBLANK(E1403),"2 Add",IF(SHA1Range(E1403:K1403) = "1610512242af4aa3bd0c3f2352829b593af7cb16","0 Original","1 Modify"))))</f>
        <v>0 Original</v>
      </c>
      <c r="D1403" s="5" t="s">
        <v>3601</v>
      </c>
      <c r="E1403" s="3">
        <v>2753</v>
      </c>
      <c r="F1403" t="s">
        <v>1386</v>
      </c>
      <c r="G1403" t="s">
        <v>579</v>
      </c>
      <c r="H1403" s="9">
        <v>9.99</v>
      </c>
      <c r="I1403" s="3">
        <v>1</v>
      </c>
      <c r="J1403" s="5" t="s">
        <v>68</v>
      </c>
      <c r="K1403" s="15">
        <v>41883.777233796296</v>
      </c>
      <c r="L1403" s="20">
        <f t="shared" si="63"/>
        <v>41883</v>
      </c>
      <c r="M1403" t="str">
        <f t="shared" si="64"/>
        <v>09-2014</v>
      </c>
      <c r="N1403">
        <f t="shared" si="65"/>
        <v>9.99</v>
      </c>
    </row>
    <row r="1404" spans="3:14" x14ac:dyDescent="0.25">
      <c r="C1404" t="str">
        <f>IF(COUNTBLANK(E1404:K1404) = 7,"",IF(AND(NOT(ISBLANK(E1404)),COUNTBLANK(E1404:K1404) = 6),"3 Delete",IF(ISBLANK(E1404),"2 Add",IF(SHA1Range(E1404:K1404) = "3e1b88c006143a74fe5c0479ca6bd29405122734","0 Original","1 Modify"))))</f>
        <v>0 Original</v>
      </c>
      <c r="D1404" s="5" t="s">
        <v>4233</v>
      </c>
      <c r="E1404" s="3">
        <v>567</v>
      </c>
      <c r="F1404" t="s">
        <v>1387</v>
      </c>
      <c r="G1404" t="s">
        <v>802</v>
      </c>
      <c r="H1404" s="9">
        <v>8.99</v>
      </c>
      <c r="I1404" s="3">
        <v>1</v>
      </c>
      <c r="J1404" s="5" t="s">
        <v>68</v>
      </c>
      <c r="K1404" s="15">
        <v>41884.109201388892</v>
      </c>
      <c r="L1404" s="20">
        <f t="shared" si="63"/>
        <v>41884</v>
      </c>
      <c r="M1404" t="str">
        <f t="shared" si="64"/>
        <v>09-2014</v>
      </c>
      <c r="N1404">
        <f t="shared" si="65"/>
        <v>8.99</v>
      </c>
    </row>
    <row r="1405" spans="3:14" x14ac:dyDescent="0.25">
      <c r="C1405" t="str">
        <f>IF(COUNTBLANK(E1405:K1405) = 7,"",IF(AND(NOT(ISBLANK(E1405)),COUNTBLANK(E1405:K1405) = 6),"3 Delete",IF(ISBLANK(E1405),"2 Add",IF(SHA1Range(E1405:K1405) = "bf2e2d354736c40ca56a0bf925944ad69f982357","0 Original","1 Modify"))))</f>
        <v>0 Original</v>
      </c>
      <c r="D1405" s="5" t="s">
        <v>4234</v>
      </c>
      <c r="E1405" s="3">
        <v>568</v>
      </c>
      <c r="F1405" t="s">
        <v>1387</v>
      </c>
      <c r="G1405" t="s">
        <v>373</v>
      </c>
      <c r="H1405" s="9">
        <v>7.99</v>
      </c>
      <c r="I1405" s="3">
        <v>2</v>
      </c>
      <c r="J1405" s="5" t="s">
        <v>68</v>
      </c>
      <c r="K1405" s="15">
        <v>41884.109201388892</v>
      </c>
      <c r="L1405" s="20">
        <f t="shared" si="63"/>
        <v>41884</v>
      </c>
      <c r="M1405" t="str">
        <f t="shared" si="64"/>
        <v>09-2014</v>
      </c>
      <c r="N1405">
        <f t="shared" si="65"/>
        <v>15.98</v>
      </c>
    </row>
    <row r="1406" spans="3:14" x14ac:dyDescent="0.25">
      <c r="C1406" t="str">
        <f>IF(COUNTBLANK(E1406:K1406) = 7,"",IF(AND(NOT(ISBLANK(E1406)),COUNTBLANK(E1406:K1406) = 6),"3 Delete",IF(ISBLANK(E1406),"2 Add",IF(SHA1Range(E1406:K1406) = "4890773b127af280091b5c1454b43cce781a63f5","0 Original","1 Modify"))))</f>
        <v>0 Original</v>
      </c>
      <c r="D1406" s="5" t="s">
        <v>3602</v>
      </c>
      <c r="E1406" s="3">
        <v>2904</v>
      </c>
      <c r="F1406" t="s">
        <v>1388</v>
      </c>
      <c r="G1406" t="s">
        <v>707</v>
      </c>
      <c r="H1406" s="9">
        <v>7.99</v>
      </c>
      <c r="I1406" s="3">
        <v>1</v>
      </c>
      <c r="J1406" s="5" t="s">
        <v>68</v>
      </c>
      <c r="K1406" s="15">
        <v>41884.245416666665</v>
      </c>
      <c r="L1406" s="20">
        <f t="shared" si="63"/>
        <v>41884</v>
      </c>
      <c r="M1406" t="str">
        <f t="shared" si="64"/>
        <v>09-2014</v>
      </c>
      <c r="N1406">
        <f t="shared" si="65"/>
        <v>7.99</v>
      </c>
    </row>
    <row r="1407" spans="3:14" x14ac:dyDescent="0.25">
      <c r="C1407" t="str">
        <f>IF(COUNTBLANK(E1407:K1407) = 7,"",IF(AND(NOT(ISBLANK(E1407)),COUNTBLANK(E1407:K1407) = 6),"3 Delete",IF(ISBLANK(E1407),"2 Add",IF(SHA1Range(E1407:K1407) = "72e8fb6a51c85de646ef4c27dc8ca04b2bcfb228","0 Original","1 Modify"))))</f>
        <v>0 Original</v>
      </c>
      <c r="D1407" s="5" t="s">
        <v>4235</v>
      </c>
      <c r="E1407" s="3">
        <v>340</v>
      </c>
      <c r="F1407" t="s">
        <v>1389</v>
      </c>
      <c r="G1407" t="s">
        <v>909</v>
      </c>
      <c r="H1407" s="9">
        <v>5.99</v>
      </c>
      <c r="I1407" s="3">
        <v>1</v>
      </c>
      <c r="J1407" s="5" t="s">
        <v>68</v>
      </c>
      <c r="K1407" s="15">
        <v>41885.458703703705</v>
      </c>
      <c r="L1407" s="20">
        <f t="shared" si="63"/>
        <v>41885</v>
      </c>
      <c r="M1407" t="str">
        <f t="shared" si="64"/>
        <v>09-2014</v>
      </c>
      <c r="N1407">
        <f t="shared" si="65"/>
        <v>5.99</v>
      </c>
    </row>
    <row r="1408" spans="3:14" x14ac:dyDescent="0.25">
      <c r="C1408" t="str">
        <f>IF(COUNTBLANK(E1408:K1408) = 7,"",IF(AND(NOT(ISBLANK(E1408)),COUNTBLANK(E1408:K1408) = 6),"3 Delete",IF(ISBLANK(E1408),"2 Add",IF(SHA1Range(E1408:K1408) = "90c9b1ee27bf1c5b6f803e4300bde35b71a48f7b","0 Original","1 Modify"))))</f>
        <v>0 Original</v>
      </c>
      <c r="D1408" s="5" t="s">
        <v>3603</v>
      </c>
      <c r="E1408" s="3">
        <v>823</v>
      </c>
      <c r="F1408" t="s">
        <v>1390</v>
      </c>
      <c r="G1408" t="s">
        <v>693</v>
      </c>
      <c r="H1408" s="9">
        <v>7.99</v>
      </c>
      <c r="I1408" s="3">
        <v>1</v>
      </c>
      <c r="J1408" s="5" t="s">
        <v>68</v>
      </c>
      <c r="K1408" s="15">
        <v>41886.473182870373</v>
      </c>
      <c r="L1408" s="20">
        <f t="shared" si="63"/>
        <v>41886</v>
      </c>
      <c r="M1408" t="str">
        <f t="shared" si="64"/>
        <v>09-2014</v>
      </c>
      <c r="N1408">
        <f t="shared" si="65"/>
        <v>7.99</v>
      </c>
    </row>
    <row r="1409" spans="3:14" x14ac:dyDescent="0.25">
      <c r="C1409" t="str">
        <f>IF(COUNTBLANK(E1409:K1409) = 7,"",IF(AND(NOT(ISBLANK(E1409)),COUNTBLANK(E1409:K1409) = 6),"3 Delete",IF(ISBLANK(E1409),"2 Add",IF(SHA1Range(E1409:K1409) = "5b89cc6c4e1d8e8b303538ed8f70ded72777d11e","0 Original","1 Modify"))))</f>
        <v>0 Original</v>
      </c>
      <c r="D1409" s="5" t="s">
        <v>4236</v>
      </c>
      <c r="E1409" s="3">
        <v>824</v>
      </c>
      <c r="F1409" t="s">
        <v>1390</v>
      </c>
      <c r="G1409" t="s">
        <v>897</v>
      </c>
      <c r="H1409" s="9">
        <v>6.99</v>
      </c>
      <c r="I1409" s="3">
        <v>1</v>
      </c>
      <c r="J1409" s="5" t="s">
        <v>68</v>
      </c>
      <c r="K1409" s="15">
        <v>41886.473182870373</v>
      </c>
      <c r="L1409" s="20">
        <f t="shared" si="63"/>
        <v>41886</v>
      </c>
      <c r="M1409" t="str">
        <f t="shared" si="64"/>
        <v>09-2014</v>
      </c>
      <c r="N1409">
        <f t="shared" si="65"/>
        <v>6.99</v>
      </c>
    </row>
    <row r="1410" spans="3:14" x14ac:dyDescent="0.25">
      <c r="C1410" t="str">
        <f>IF(COUNTBLANK(E1410:K1410) = 7,"",IF(AND(NOT(ISBLANK(E1410)),COUNTBLANK(E1410:K1410) = 6),"3 Delete",IF(ISBLANK(E1410),"2 Add",IF(SHA1Range(E1410:K1410) = "998781023c8f500bee19cd67a3a290d4737ffb8c","0 Original","1 Modify"))))</f>
        <v>0 Original</v>
      </c>
      <c r="D1410" s="5" t="s">
        <v>4237</v>
      </c>
      <c r="E1410" s="3">
        <v>825</v>
      </c>
      <c r="F1410" t="s">
        <v>1390</v>
      </c>
      <c r="G1410" t="s">
        <v>563</v>
      </c>
      <c r="H1410" s="9">
        <v>6.99</v>
      </c>
      <c r="I1410" s="3">
        <v>1</v>
      </c>
      <c r="J1410" s="5" t="s">
        <v>68</v>
      </c>
      <c r="K1410" s="15">
        <v>41886.473182870373</v>
      </c>
      <c r="L1410" s="20">
        <f t="shared" si="63"/>
        <v>41886</v>
      </c>
      <c r="M1410" t="str">
        <f t="shared" si="64"/>
        <v>09-2014</v>
      </c>
      <c r="N1410">
        <f t="shared" si="65"/>
        <v>6.99</v>
      </c>
    </row>
    <row r="1411" spans="3:14" x14ac:dyDescent="0.25">
      <c r="C1411" t="str">
        <f>IF(COUNTBLANK(E1411:K1411) = 7,"",IF(AND(NOT(ISBLANK(E1411)),COUNTBLANK(E1411:K1411) = 6),"3 Delete",IF(ISBLANK(E1411),"2 Add",IF(SHA1Range(E1411:K1411) = "aba1ac7190cc2721c38c92c4c82b43310da9aa2a","0 Original","1 Modify"))))</f>
        <v>0 Original</v>
      </c>
      <c r="D1411" s="5" t="s">
        <v>4238</v>
      </c>
      <c r="E1411" s="3">
        <v>826</v>
      </c>
      <c r="F1411" t="s">
        <v>1390</v>
      </c>
      <c r="G1411" t="s">
        <v>935</v>
      </c>
      <c r="H1411" s="9">
        <v>6.99</v>
      </c>
      <c r="I1411" s="3">
        <v>2</v>
      </c>
      <c r="J1411" s="5" t="s">
        <v>68</v>
      </c>
      <c r="K1411" s="15">
        <v>41886.473182870373</v>
      </c>
      <c r="L1411" s="20">
        <f t="shared" ref="L1411:L1474" si="66">DATEVALUE(LEFT(F1411,10))</f>
        <v>41886</v>
      </c>
      <c r="M1411" t="str">
        <f t="shared" ref="M1411:M1474" si="67">TEXT(L1411,"mm-yyyy")</f>
        <v>09-2014</v>
      </c>
      <c r="N1411">
        <f t="shared" ref="N1411:N1474" si="68">H1411*I1411</f>
        <v>13.98</v>
      </c>
    </row>
    <row r="1412" spans="3:14" x14ac:dyDescent="0.25">
      <c r="C1412" t="str">
        <f>IF(COUNTBLANK(E1412:K1412) = 7,"",IF(AND(NOT(ISBLANK(E1412)),COUNTBLANK(E1412:K1412) = 6),"3 Delete",IF(ISBLANK(E1412),"2 Add",IF(SHA1Range(E1412:K1412) = "296917cef5991e81a008906f0131a7844e601d92","0 Original","1 Modify"))))</f>
        <v>0 Original</v>
      </c>
      <c r="D1412" s="5" t="s">
        <v>4239</v>
      </c>
      <c r="E1412" s="3">
        <v>827</v>
      </c>
      <c r="F1412" t="s">
        <v>1390</v>
      </c>
      <c r="G1412" t="s">
        <v>697</v>
      </c>
      <c r="H1412" s="9">
        <v>5.99</v>
      </c>
      <c r="I1412" s="3">
        <v>2</v>
      </c>
      <c r="J1412" s="5" t="s">
        <v>68</v>
      </c>
      <c r="K1412" s="15">
        <v>41886.473182870373</v>
      </c>
      <c r="L1412" s="20">
        <f t="shared" si="66"/>
        <v>41886</v>
      </c>
      <c r="M1412" t="str">
        <f t="shared" si="67"/>
        <v>09-2014</v>
      </c>
      <c r="N1412">
        <f t="shared" si="68"/>
        <v>11.98</v>
      </c>
    </row>
    <row r="1413" spans="3:14" x14ac:dyDescent="0.25">
      <c r="C1413" t="str">
        <f>IF(COUNTBLANK(E1413:K1413) = 7,"",IF(AND(NOT(ISBLANK(E1413)),COUNTBLANK(E1413:K1413) = 6),"3 Delete",IF(ISBLANK(E1413),"2 Add",IF(SHA1Range(E1413:K1413) = "1118028f77bbdbca0164a017e50f43050733ae95","0 Original","1 Modify"))))</f>
        <v>0 Original</v>
      </c>
      <c r="D1413" s="5" t="s">
        <v>3604</v>
      </c>
      <c r="E1413" s="3">
        <v>2238</v>
      </c>
      <c r="F1413" t="s">
        <v>1391</v>
      </c>
      <c r="G1413" t="s">
        <v>891</v>
      </c>
      <c r="H1413" s="9">
        <v>8.99</v>
      </c>
      <c r="I1413" s="3">
        <v>2</v>
      </c>
      <c r="J1413" s="5" t="s">
        <v>68</v>
      </c>
      <c r="K1413" s="15">
        <v>41886.506608796299</v>
      </c>
      <c r="L1413" s="20">
        <f t="shared" si="66"/>
        <v>41886</v>
      </c>
      <c r="M1413" t="str">
        <f t="shared" si="67"/>
        <v>09-2014</v>
      </c>
      <c r="N1413">
        <f t="shared" si="68"/>
        <v>17.98</v>
      </c>
    </row>
    <row r="1414" spans="3:14" x14ac:dyDescent="0.25">
      <c r="C1414" t="str">
        <f>IF(COUNTBLANK(E1414:K1414) = 7,"",IF(AND(NOT(ISBLANK(E1414)),COUNTBLANK(E1414:K1414) = 6),"3 Delete",IF(ISBLANK(E1414),"2 Add",IF(SHA1Range(E1414:K1414) = "ab31130ad51ce12a22d2539130f3ba7a5367d960","0 Original","1 Modify"))))</f>
        <v>0 Original</v>
      </c>
      <c r="D1414" s="5" t="s">
        <v>3605</v>
      </c>
      <c r="E1414" s="3">
        <v>2239</v>
      </c>
      <c r="F1414" t="s">
        <v>1391</v>
      </c>
      <c r="G1414" t="s">
        <v>596</v>
      </c>
      <c r="H1414" s="9">
        <v>7.99</v>
      </c>
      <c r="I1414" s="3">
        <v>1</v>
      </c>
      <c r="J1414" s="5" t="s">
        <v>68</v>
      </c>
      <c r="K1414" s="15">
        <v>41886.506608796299</v>
      </c>
      <c r="L1414" s="20">
        <f t="shared" si="66"/>
        <v>41886</v>
      </c>
      <c r="M1414" t="str">
        <f t="shared" si="67"/>
        <v>09-2014</v>
      </c>
      <c r="N1414">
        <f t="shared" si="68"/>
        <v>7.99</v>
      </c>
    </row>
    <row r="1415" spans="3:14" x14ac:dyDescent="0.25">
      <c r="C1415" t="str">
        <f>IF(COUNTBLANK(E1415:K1415) = 7,"",IF(AND(NOT(ISBLANK(E1415)),COUNTBLANK(E1415:K1415) = 6),"3 Delete",IF(ISBLANK(E1415),"2 Add",IF(SHA1Range(E1415:K1415) = "5dd9fe0999634e35815cdebbf287456862b722a8","0 Original","1 Modify"))))</f>
        <v>0 Original</v>
      </c>
      <c r="D1415" s="5" t="s">
        <v>3606</v>
      </c>
      <c r="E1415" s="3">
        <v>3096</v>
      </c>
      <c r="F1415" t="s">
        <v>1392</v>
      </c>
      <c r="G1415" t="s">
        <v>373</v>
      </c>
      <c r="H1415" s="9">
        <v>7.99</v>
      </c>
      <c r="I1415" s="3">
        <v>2</v>
      </c>
      <c r="J1415" s="5" t="s">
        <v>68</v>
      </c>
      <c r="K1415" s="15">
        <v>41886.609224537038</v>
      </c>
      <c r="L1415" s="20">
        <f t="shared" si="66"/>
        <v>41886</v>
      </c>
      <c r="M1415" t="str">
        <f t="shared" si="67"/>
        <v>09-2014</v>
      </c>
      <c r="N1415">
        <f t="shared" si="68"/>
        <v>15.98</v>
      </c>
    </row>
    <row r="1416" spans="3:14" x14ac:dyDescent="0.25">
      <c r="C1416" t="str">
        <f>IF(COUNTBLANK(E1416:K1416) = 7,"",IF(AND(NOT(ISBLANK(E1416)),COUNTBLANK(E1416:K1416) = 6),"3 Delete",IF(ISBLANK(E1416),"2 Add",IF(SHA1Range(E1416:K1416) = "08a6bcca3b72a38381482f4de9116541a5eafb22","0 Original","1 Modify"))))</f>
        <v>0 Original</v>
      </c>
      <c r="D1416" s="5" t="s">
        <v>3607</v>
      </c>
      <c r="E1416" s="3">
        <v>1092</v>
      </c>
      <c r="F1416" t="s">
        <v>1393</v>
      </c>
      <c r="G1416" t="s">
        <v>792</v>
      </c>
      <c r="H1416" s="9">
        <v>9.99</v>
      </c>
      <c r="I1416" s="3">
        <v>1</v>
      </c>
      <c r="J1416" s="5" t="s">
        <v>68</v>
      </c>
      <c r="K1416" s="15">
        <v>41886.816458333335</v>
      </c>
      <c r="L1416" s="20">
        <f t="shared" si="66"/>
        <v>41886</v>
      </c>
      <c r="M1416" t="str">
        <f t="shared" si="67"/>
        <v>09-2014</v>
      </c>
      <c r="N1416">
        <f t="shared" si="68"/>
        <v>9.99</v>
      </c>
    </row>
    <row r="1417" spans="3:14" x14ac:dyDescent="0.25">
      <c r="C1417" t="str">
        <f>IF(COUNTBLANK(E1417:K1417) = 7,"",IF(AND(NOT(ISBLANK(E1417)),COUNTBLANK(E1417:K1417) = 6),"3 Delete",IF(ISBLANK(E1417),"2 Add",IF(SHA1Range(E1417:K1417) = "74bcf157dc9f8f47f8a02e7a61c550155798fac0","0 Original","1 Modify"))))</f>
        <v>0 Original</v>
      </c>
      <c r="D1417" s="5" t="s">
        <v>4240</v>
      </c>
      <c r="E1417" s="3">
        <v>201</v>
      </c>
      <c r="F1417" t="s">
        <v>1394</v>
      </c>
      <c r="G1417" t="s">
        <v>711</v>
      </c>
      <c r="H1417" s="9">
        <v>4.99</v>
      </c>
      <c r="I1417" s="3">
        <v>2</v>
      </c>
      <c r="J1417" s="5" t="s">
        <v>68</v>
      </c>
      <c r="K1417" s="15">
        <v>41887.950821759259</v>
      </c>
      <c r="L1417" s="20">
        <f t="shared" si="66"/>
        <v>41887</v>
      </c>
      <c r="M1417" t="str">
        <f t="shared" si="67"/>
        <v>09-2014</v>
      </c>
      <c r="N1417">
        <f t="shared" si="68"/>
        <v>9.98</v>
      </c>
    </row>
    <row r="1418" spans="3:14" x14ac:dyDescent="0.25">
      <c r="C1418" t="str">
        <f>IF(COUNTBLANK(E1418:K1418) = 7,"",IF(AND(NOT(ISBLANK(E1418)),COUNTBLANK(E1418:K1418) = 6),"3 Delete",IF(ISBLANK(E1418),"2 Add",IF(SHA1Range(E1418:K1418) = "54bf5ad1e1c06307d6e47a9dc9104349a58cb64c","0 Original","1 Modify"))))</f>
        <v>0 Original</v>
      </c>
      <c r="D1418" s="5" t="s">
        <v>4241</v>
      </c>
      <c r="E1418" s="3">
        <v>202</v>
      </c>
      <c r="F1418" t="s">
        <v>1394</v>
      </c>
      <c r="G1418" t="s">
        <v>377</v>
      </c>
      <c r="H1418" s="9">
        <v>5.99</v>
      </c>
      <c r="I1418" s="3">
        <v>2</v>
      </c>
      <c r="J1418" s="5" t="s">
        <v>68</v>
      </c>
      <c r="K1418" s="15">
        <v>41887.950821759259</v>
      </c>
      <c r="L1418" s="20">
        <f t="shared" si="66"/>
        <v>41887</v>
      </c>
      <c r="M1418" t="str">
        <f t="shared" si="67"/>
        <v>09-2014</v>
      </c>
      <c r="N1418">
        <f t="shared" si="68"/>
        <v>11.98</v>
      </c>
    </row>
    <row r="1419" spans="3:14" x14ac:dyDescent="0.25">
      <c r="C1419" t="str">
        <f>IF(COUNTBLANK(E1419:K1419) = 7,"",IF(AND(NOT(ISBLANK(E1419)),COUNTBLANK(E1419:K1419) = 6),"3 Delete",IF(ISBLANK(E1419),"2 Add",IF(SHA1Range(E1419:K1419) = "e78eef1ba1e282f8c62123e0fa6e59ce26f3577e","0 Original","1 Modify"))))</f>
        <v>0 Original</v>
      </c>
      <c r="D1419" s="5" t="s">
        <v>3608</v>
      </c>
      <c r="E1419" s="3">
        <v>2163</v>
      </c>
      <c r="F1419" t="s">
        <v>1395</v>
      </c>
      <c r="G1419" t="s">
        <v>854</v>
      </c>
      <c r="H1419" s="9">
        <v>8.99</v>
      </c>
      <c r="I1419" s="3">
        <v>1</v>
      </c>
      <c r="J1419" s="5" t="s">
        <v>68</v>
      </c>
      <c r="K1419" s="15">
        <v>41888.263692129629</v>
      </c>
      <c r="L1419" s="20">
        <f t="shared" si="66"/>
        <v>41888</v>
      </c>
      <c r="M1419" t="str">
        <f t="shared" si="67"/>
        <v>09-2014</v>
      </c>
      <c r="N1419">
        <f t="shared" si="68"/>
        <v>8.99</v>
      </c>
    </row>
    <row r="1420" spans="3:14" x14ac:dyDescent="0.25">
      <c r="C1420" t="str">
        <f>IF(COUNTBLANK(E1420:K1420) = 7,"",IF(AND(NOT(ISBLANK(E1420)),COUNTBLANK(E1420:K1420) = 6),"3 Delete",IF(ISBLANK(E1420),"2 Add",IF(SHA1Range(E1420:K1420) = "3e1b9eb12b126296c5efb81b1ef057bab2d8dba9","0 Original","1 Modify"))))</f>
        <v>0 Original</v>
      </c>
      <c r="D1420" s="5" t="s">
        <v>3609</v>
      </c>
      <c r="E1420" s="3">
        <v>2164</v>
      </c>
      <c r="F1420" t="s">
        <v>1395</v>
      </c>
      <c r="G1420" t="s">
        <v>771</v>
      </c>
      <c r="H1420" s="9">
        <v>9.99</v>
      </c>
      <c r="I1420" s="3">
        <v>1</v>
      </c>
      <c r="J1420" s="5" t="s">
        <v>68</v>
      </c>
      <c r="K1420" s="15">
        <v>41888.263692129629</v>
      </c>
      <c r="L1420" s="20">
        <f t="shared" si="66"/>
        <v>41888</v>
      </c>
      <c r="M1420" t="str">
        <f t="shared" si="67"/>
        <v>09-2014</v>
      </c>
      <c r="N1420">
        <f t="shared" si="68"/>
        <v>9.99</v>
      </c>
    </row>
    <row r="1421" spans="3:14" x14ac:dyDescent="0.25">
      <c r="C1421" t="str">
        <f>IF(COUNTBLANK(E1421:K1421) = 7,"",IF(AND(NOT(ISBLANK(E1421)),COUNTBLANK(E1421:K1421) = 6),"3 Delete",IF(ISBLANK(E1421),"2 Add",IF(SHA1Range(E1421:K1421) = "8b45656bbf8db0893e6db16236d2e72d8ed7ec98","0 Original","1 Modify"))))</f>
        <v>0 Original</v>
      </c>
      <c r="D1421" s="5" t="s">
        <v>3610</v>
      </c>
      <c r="E1421" s="3">
        <v>2165</v>
      </c>
      <c r="F1421" t="s">
        <v>1395</v>
      </c>
      <c r="G1421" t="s">
        <v>596</v>
      </c>
      <c r="H1421" s="9">
        <v>7.99</v>
      </c>
      <c r="I1421" s="3">
        <v>1</v>
      </c>
      <c r="J1421" s="5" t="s">
        <v>68</v>
      </c>
      <c r="K1421" s="15">
        <v>41888.263692129629</v>
      </c>
      <c r="L1421" s="20">
        <f t="shared" si="66"/>
        <v>41888</v>
      </c>
      <c r="M1421" t="str">
        <f t="shared" si="67"/>
        <v>09-2014</v>
      </c>
      <c r="N1421">
        <f t="shared" si="68"/>
        <v>7.99</v>
      </c>
    </row>
    <row r="1422" spans="3:14" x14ac:dyDescent="0.25">
      <c r="C1422" t="str">
        <f>IF(COUNTBLANK(E1422:K1422) = 7,"",IF(AND(NOT(ISBLANK(E1422)),COUNTBLANK(E1422:K1422) = 6),"3 Delete",IF(ISBLANK(E1422),"2 Add",IF(SHA1Range(E1422:K1422) = "139e95b9434f062d83359b12fe14479b6d393c76","0 Original","1 Modify"))))</f>
        <v>0 Original</v>
      </c>
      <c r="D1422" s="5" t="s">
        <v>3611</v>
      </c>
      <c r="E1422" s="3">
        <v>2166</v>
      </c>
      <c r="F1422" t="s">
        <v>1395</v>
      </c>
      <c r="G1422" t="s">
        <v>600</v>
      </c>
      <c r="H1422" s="9">
        <v>5.99</v>
      </c>
      <c r="I1422" s="3">
        <v>2</v>
      </c>
      <c r="J1422" s="5" t="s">
        <v>68</v>
      </c>
      <c r="K1422" s="15">
        <v>41888.263692129629</v>
      </c>
      <c r="L1422" s="20">
        <f t="shared" si="66"/>
        <v>41888</v>
      </c>
      <c r="M1422" t="str">
        <f t="shared" si="67"/>
        <v>09-2014</v>
      </c>
      <c r="N1422">
        <f t="shared" si="68"/>
        <v>11.98</v>
      </c>
    </row>
    <row r="1423" spans="3:14" x14ac:dyDescent="0.25">
      <c r="C1423" t="str">
        <f>IF(COUNTBLANK(E1423:K1423) = 7,"",IF(AND(NOT(ISBLANK(E1423)),COUNTBLANK(E1423:K1423) = 6),"3 Delete",IF(ISBLANK(E1423),"2 Add",IF(SHA1Range(E1423:K1423) = "2d0b9507c13708d87374638887cd623d8c47d2a9","0 Original","1 Modify"))))</f>
        <v>0 Original</v>
      </c>
      <c r="D1423" s="5" t="s">
        <v>3612</v>
      </c>
      <c r="E1423" s="3">
        <v>2167</v>
      </c>
      <c r="F1423" t="s">
        <v>1395</v>
      </c>
      <c r="G1423" t="s">
        <v>503</v>
      </c>
      <c r="H1423" s="9">
        <v>9.99</v>
      </c>
      <c r="I1423" s="3">
        <v>1</v>
      </c>
      <c r="J1423" s="5" t="s">
        <v>68</v>
      </c>
      <c r="K1423" s="15">
        <v>41888.263692129629</v>
      </c>
      <c r="L1423" s="20">
        <f t="shared" si="66"/>
        <v>41888</v>
      </c>
      <c r="M1423" t="str">
        <f t="shared" si="67"/>
        <v>09-2014</v>
      </c>
      <c r="N1423">
        <f t="shared" si="68"/>
        <v>9.99</v>
      </c>
    </row>
    <row r="1424" spans="3:14" x14ac:dyDescent="0.25">
      <c r="C1424" t="str">
        <f>IF(COUNTBLANK(E1424:K1424) = 7,"",IF(AND(NOT(ISBLANK(E1424)),COUNTBLANK(E1424:K1424) = 6),"3 Delete",IF(ISBLANK(E1424),"2 Add",IF(SHA1Range(E1424:K1424) = "4f03c73f71e5d436345f315c49430522f63f5a22","0 Original","1 Modify"))))</f>
        <v>0 Original</v>
      </c>
      <c r="D1424" s="5" t="s">
        <v>3613</v>
      </c>
      <c r="E1424" s="3">
        <v>810</v>
      </c>
      <c r="F1424" t="s">
        <v>1396</v>
      </c>
      <c r="G1424" t="s">
        <v>942</v>
      </c>
      <c r="H1424" s="9">
        <v>6.99</v>
      </c>
      <c r="I1424" s="3">
        <v>1</v>
      </c>
      <c r="J1424" s="5" t="s">
        <v>68</v>
      </c>
      <c r="K1424" s="15">
        <v>41888.793333333335</v>
      </c>
      <c r="L1424" s="20">
        <f t="shared" si="66"/>
        <v>41888</v>
      </c>
      <c r="M1424" t="str">
        <f t="shared" si="67"/>
        <v>09-2014</v>
      </c>
      <c r="N1424">
        <f t="shared" si="68"/>
        <v>6.99</v>
      </c>
    </row>
    <row r="1425" spans="3:14" x14ac:dyDescent="0.25">
      <c r="C1425" t="str">
        <f>IF(COUNTBLANK(E1425:K1425) = 7,"",IF(AND(NOT(ISBLANK(E1425)),COUNTBLANK(E1425:K1425) = 6),"3 Delete",IF(ISBLANK(E1425),"2 Add",IF(SHA1Range(E1425:K1425) = "66d8cc7ce0ec4175f8ccfbdd8a43bc558c647814","0 Original","1 Modify"))))</f>
        <v>0 Original</v>
      </c>
      <c r="D1425" s="5" t="s">
        <v>3614</v>
      </c>
      <c r="E1425" s="3">
        <v>811</v>
      </c>
      <c r="F1425" t="s">
        <v>1396</v>
      </c>
      <c r="G1425" t="s">
        <v>642</v>
      </c>
      <c r="H1425" s="9">
        <v>9.99</v>
      </c>
      <c r="I1425" s="3">
        <v>1</v>
      </c>
      <c r="J1425" s="5" t="s">
        <v>68</v>
      </c>
      <c r="K1425" s="15">
        <v>41888.793333333335</v>
      </c>
      <c r="L1425" s="20">
        <f t="shared" si="66"/>
        <v>41888</v>
      </c>
      <c r="M1425" t="str">
        <f t="shared" si="67"/>
        <v>09-2014</v>
      </c>
      <c r="N1425">
        <f t="shared" si="68"/>
        <v>9.99</v>
      </c>
    </row>
    <row r="1426" spans="3:14" x14ac:dyDescent="0.25">
      <c r="C1426" t="str">
        <f>IF(COUNTBLANK(E1426:K1426) = 7,"",IF(AND(NOT(ISBLANK(E1426)),COUNTBLANK(E1426:K1426) = 6),"3 Delete",IF(ISBLANK(E1426),"2 Add",IF(SHA1Range(E1426:K1426) = "0271bd278ee16b5c93439eac4d9c50e3f6c514fc","0 Original","1 Modify"))))</f>
        <v>0 Original</v>
      </c>
      <c r="D1426" s="5" t="s">
        <v>4242</v>
      </c>
      <c r="E1426" s="3">
        <v>812</v>
      </c>
      <c r="F1426" t="s">
        <v>1396</v>
      </c>
      <c r="G1426" t="s">
        <v>845</v>
      </c>
      <c r="H1426" s="9">
        <v>7.99</v>
      </c>
      <c r="I1426" s="3">
        <v>1</v>
      </c>
      <c r="J1426" s="5" t="s">
        <v>68</v>
      </c>
      <c r="K1426" s="15">
        <v>41888.793333333335</v>
      </c>
      <c r="L1426" s="20">
        <f t="shared" si="66"/>
        <v>41888</v>
      </c>
      <c r="M1426" t="str">
        <f t="shared" si="67"/>
        <v>09-2014</v>
      </c>
      <c r="N1426">
        <f t="shared" si="68"/>
        <v>7.99</v>
      </c>
    </row>
    <row r="1427" spans="3:14" x14ac:dyDescent="0.25">
      <c r="C1427" t="str">
        <f>IF(COUNTBLANK(E1427:K1427) = 7,"",IF(AND(NOT(ISBLANK(E1427)),COUNTBLANK(E1427:K1427) = 6),"3 Delete",IF(ISBLANK(E1427),"2 Add",IF(SHA1Range(E1427:K1427) = "dcd3bc073238d9eeb30d4bf3f51e876c9106a2b9","0 Original","1 Modify"))))</f>
        <v>0 Original</v>
      </c>
      <c r="D1427" s="5" t="s">
        <v>4243</v>
      </c>
      <c r="E1427" s="3">
        <v>381</v>
      </c>
      <c r="F1427" t="s">
        <v>1397</v>
      </c>
      <c r="G1427" t="s">
        <v>426</v>
      </c>
      <c r="H1427" s="9">
        <v>8.99</v>
      </c>
      <c r="I1427" s="3">
        <v>1</v>
      </c>
      <c r="J1427" s="5" t="s">
        <v>68</v>
      </c>
      <c r="K1427" s="15">
        <v>41889.542361111111</v>
      </c>
      <c r="L1427" s="20">
        <f t="shared" si="66"/>
        <v>41889</v>
      </c>
      <c r="M1427" t="str">
        <f t="shared" si="67"/>
        <v>09-2014</v>
      </c>
      <c r="N1427">
        <f t="shared" si="68"/>
        <v>8.99</v>
      </c>
    </row>
    <row r="1428" spans="3:14" x14ac:dyDescent="0.25">
      <c r="C1428" t="str">
        <f>IF(COUNTBLANK(E1428:K1428) = 7,"",IF(AND(NOT(ISBLANK(E1428)),COUNTBLANK(E1428:K1428) = 6),"3 Delete",IF(ISBLANK(E1428),"2 Add",IF(SHA1Range(E1428:K1428) = "cde45d043e6d852af81909d557eab821a5f9c7e7","0 Original","1 Modify"))))</f>
        <v>0 Original</v>
      </c>
      <c r="D1428" s="5" t="s">
        <v>4244</v>
      </c>
      <c r="E1428" s="3">
        <v>382</v>
      </c>
      <c r="F1428" t="s">
        <v>1397</v>
      </c>
      <c r="G1428" t="s">
        <v>777</v>
      </c>
      <c r="H1428" s="9">
        <v>4.99</v>
      </c>
      <c r="I1428" s="3">
        <v>2</v>
      </c>
      <c r="J1428" s="5" t="s">
        <v>68</v>
      </c>
      <c r="K1428" s="15">
        <v>41889.542361111111</v>
      </c>
      <c r="L1428" s="20">
        <f t="shared" si="66"/>
        <v>41889</v>
      </c>
      <c r="M1428" t="str">
        <f t="shared" si="67"/>
        <v>09-2014</v>
      </c>
      <c r="N1428">
        <f t="shared" si="68"/>
        <v>9.98</v>
      </c>
    </row>
    <row r="1429" spans="3:14" x14ac:dyDescent="0.25">
      <c r="C1429" t="str">
        <f>IF(COUNTBLANK(E1429:K1429) = 7,"",IF(AND(NOT(ISBLANK(E1429)),COUNTBLANK(E1429:K1429) = 6),"3 Delete",IF(ISBLANK(E1429),"2 Add",IF(SHA1Range(E1429:K1429) = "e3c07813ada9ab09b17870aec2cf53b4754927c8","0 Original","1 Modify"))))</f>
        <v>0 Original</v>
      </c>
      <c r="D1429" s="5" t="s">
        <v>4245</v>
      </c>
      <c r="E1429" s="3">
        <v>383</v>
      </c>
      <c r="F1429" t="s">
        <v>1397</v>
      </c>
      <c r="G1429" t="s">
        <v>704</v>
      </c>
      <c r="H1429" s="9">
        <v>4.99</v>
      </c>
      <c r="I1429" s="3">
        <v>2</v>
      </c>
      <c r="J1429" s="5" t="s">
        <v>68</v>
      </c>
      <c r="K1429" s="15">
        <v>41889.542361111111</v>
      </c>
      <c r="L1429" s="20">
        <f t="shared" si="66"/>
        <v>41889</v>
      </c>
      <c r="M1429" t="str">
        <f t="shared" si="67"/>
        <v>09-2014</v>
      </c>
      <c r="N1429">
        <f t="shared" si="68"/>
        <v>9.98</v>
      </c>
    </row>
    <row r="1430" spans="3:14" x14ac:dyDescent="0.25">
      <c r="C1430" t="str">
        <f>IF(COUNTBLANK(E1430:K1430) = 7,"",IF(AND(NOT(ISBLANK(E1430)),COUNTBLANK(E1430:K1430) = 6),"3 Delete",IF(ISBLANK(E1430),"2 Add",IF(SHA1Range(E1430:K1430) = "1c1ea405b6bf1b6f25c12bc2661625393e2c2785","0 Original","1 Modify"))))</f>
        <v>0 Original</v>
      </c>
      <c r="D1430" s="5" t="s">
        <v>4246</v>
      </c>
      <c r="E1430" s="3">
        <v>384</v>
      </c>
      <c r="F1430" t="s">
        <v>1397</v>
      </c>
      <c r="G1430" t="s">
        <v>711</v>
      </c>
      <c r="H1430" s="9">
        <v>4.99</v>
      </c>
      <c r="I1430" s="3">
        <v>1</v>
      </c>
      <c r="J1430" s="5" t="s">
        <v>68</v>
      </c>
      <c r="K1430" s="15">
        <v>41889.542361111111</v>
      </c>
      <c r="L1430" s="20">
        <f t="shared" si="66"/>
        <v>41889</v>
      </c>
      <c r="M1430" t="str">
        <f t="shared" si="67"/>
        <v>09-2014</v>
      </c>
      <c r="N1430">
        <f t="shared" si="68"/>
        <v>4.99</v>
      </c>
    </row>
    <row r="1431" spans="3:14" x14ac:dyDescent="0.25">
      <c r="C1431" t="str">
        <f>IF(COUNTBLANK(E1431:K1431) = 7,"",IF(AND(NOT(ISBLANK(E1431)),COUNTBLANK(E1431:K1431) = 6),"3 Delete",IF(ISBLANK(E1431),"2 Add",IF(SHA1Range(E1431:K1431) = "48563d83651576a5100f0b90e27853f8dc2c1c29","0 Original","1 Modify"))))</f>
        <v>0 Original</v>
      </c>
      <c r="D1431" s="5" t="s">
        <v>3615</v>
      </c>
      <c r="E1431" s="3">
        <v>2310</v>
      </c>
      <c r="F1431" t="s">
        <v>1398</v>
      </c>
      <c r="G1431" t="s">
        <v>563</v>
      </c>
      <c r="H1431" s="9">
        <v>6.99</v>
      </c>
      <c r="I1431" s="3">
        <v>2</v>
      </c>
      <c r="J1431" s="5" t="s">
        <v>68</v>
      </c>
      <c r="K1431" s="15">
        <v>41889.83326388889</v>
      </c>
      <c r="L1431" s="20">
        <f t="shared" si="66"/>
        <v>41889</v>
      </c>
      <c r="M1431" t="str">
        <f t="shared" si="67"/>
        <v>09-2014</v>
      </c>
      <c r="N1431">
        <f t="shared" si="68"/>
        <v>13.98</v>
      </c>
    </row>
    <row r="1432" spans="3:14" x14ac:dyDescent="0.25">
      <c r="C1432" t="str">
        <f>IF(COUNTBLANK(E1432:K1432) = 7,"",IF(AND(NOT(ISBLANK(E1432)),COUNTBLANK(E1432:K1432) = 6),"3 Delete",IF(ISBLANK(E1432),"2 Add",IF(SHA1Range(E1432:K1432) = "a834668b48e7149b5c6fd61043a2fcceb6008107","0 Original","1 Modify"))))</f>
        <v>0 Original</v>
      </c>
      <c r="D1432" s="5" t="s">
        <v>3616</v>
      </c>
      <c r="E1432" s="3">
        <v>2311</v>
      </c>
      <c r="F1432" t="s">
        <v>1398</v>
      </c>
      <c r="G1432" t="s">
        <v>528</v>
      </c>
      <c r="H1432" s="9">
        <v>5.99</v>
      </c>
      <c r="I1432" s="3">
        <v>1</v>
      </c>
      <c r="J1432" s="5" t="s">
        <v>68</v>
      </c>
      <c r="K1432" s="15">
        <v>41889.83326388889</v>
      </c>
      <c r="L1432" s="20">
        <f t="shared" si="66"/>
        <v>41889</v>
      </c>
      <c r="M1432" t="str">
        <f t="shared" si="67"/>
        <v>09-2014</v>
      </c>
      <c r="N1432">
        <f t="shared" si="68"/>
        <v>5.99</v>
      </c>
    </row>
    <row r="1433" spans="3:14" x14ac:dyDescent="0.25">
      <c r="C1433" t="str">
        <f>IF(COUNTBLANK(E1433:K1433) = 7,"",IF(AND(NOT(ISBLANK(E1433)),COUNTBLANK(E1433:K1433) = 6),"3 Delete",IF(ISBLANK(E1433),"2 Add",IF(SHA1Range(E1433:K1433) = "64bf4217372d547214d63b4f5d1c7fe1cdfe8153","0 Original","1 Modify"))))</f>
        <v>0 Original</v>
      </c>
      <c r="D1433" s="5" t="s">
        <v>3617</v>
      </c>
      <c r="E1433" s="3">
        <v>1126</v>
      </c>
      <c r="F1433" t="s">
        <v>1399</v>
      </c>
      <c r="G1433" t="s">
        <v>671</v>
      </c>
      <c r="H1433" s="9">
        <v>6.99</v>
      </c>
      <c r="I1433" s="3">
        <v>1</v>
      </c>
      <c r="J1433" s="5" t="s">
        <v>68</v>
      </c>
      <c r="K1433" s="15">
        <v>41890.242662037039</v>
      </c>
      <c r="L1433" s="20">
        <f t="shared" si="66"/>
        <v>41890</v>
      </c>
      <c r="M1433" t="str">
        <f t="shared" si="67"/>
        <v>09-2014</v>
      </c>
      <c r="N1433">
        <f t="shared" si="68"/>
        <v>6.99</v>
      </c>
    </row>
    <row r="1434" spans="3:14" x14ac:dyDescent="0.25">
      <c r="C1434" t="str">
        <f>IF(COUNTBLANK(E1434:K1434) = 7,"",IF(AND(NOT(ISBLANK(E1434)),COUNTBLANK(E1434:K1434) = 6),"3 Delete",IF(ISBLANK(E1434),"2 Add",IF(SHA1Range(E1434:K1434) = "2b52206ef2acda7730e10bade96f82afc241d293","0 Original","1 Modify"))))</f>
        <v>0 Original</v>
      </c>
      <c r="D1434" s="5" t="s">
        <v>3618</v>
      </c>
      <c r="E1434" s="3">
        <v>1127</v>
      </c>
      <c r="F1434" t="s">
        <v>1399</v>
      </c>
      <c r="G1434" t="s">
        <v>820</v>
      </c>
      <c r="H1434" s="9">
        <v>9.99</v>
      </c>
      <c r="I1434" s="3">
        <v>1</v>
      </c>
      <c r="J1434" s="5" t="s">
        <v>68</v>
      </c>
      <c r="K1434" s="15">
        <v>41890.242662037039</v>
      </c>
      <c r="L1434" s="20">
        <f t="shared" si="66"/>
        <v>41890</v>
      </c>
      <c r="M1434" t="str">
        <f t="shared" si="67"/>
        <v>09-2014</v>
      </c>
      <c r="N1434">
        <f t="shared" si="68"/>
        <v>9.99</v>
      </c>
    </row>
    <row r="1435" spans="3:14" x14ac:dyDescent="0.25">
      <c r="C1435" t="str">
        <f>IF(COUNTBLANK(E1435:K1435) = 7,"",IF(AND(NOT(ISBLANK(E1435)),COUNTBLANK(E1435:K1435) = 6),"3 Delete",IF(ISBLANK(E1435),"2 Add",IF(SHA1Range(E1435:K1435) = "d6daa205bf0ffa1e43bd2efe5326cd09fce5ed47","0 Original","1 Modify"))))</f>
        <v>0 Original</v>
      </c>
      <c r="D1435" s="5" t="s">
        <v>3619</v>
      </c>
      <c r="E1435" s="3">
        <v>1128</v>
      </c>
      <c r="F1435" t="s">
        <v>1399</v>
      </c>
      <c r="G1435" t="s">
        <v>845</v>
      </c>
      <c r="H1435" s="9">
        <v>7.99</v>
      </c>
      <c r="I1435" s="3">
        <v>1</v>
      </c>
      <c r="J1435" s="5" t="s">
        <v>68</v>
      </c>
      <c r="K1435" s="15">
        <v>41890.242662037039</v>
      </c>
      <c r="L1435" s="20">
        <f t="shared" si="66"/>
        <v>41890</v>
      </c>
      <c r="M1435" t="str">
        <f t="shared" si="67"/>
        <v>09-2014</v>
      </c>
      <c r="N1435">
        <f t="shared" si="68"/>
        <v>7.99</v>
      </c>
    </row>
    <row r="1436" spans="3:14" x14ac:dyDescent="0.25">
      <c r="C1436" t="str">
        <f>IF(COUNTBLANK(E1436:K1436) = 7,"",IF(AND(NOT(ISBLANK(E1436)),COUNTBLANK(E1436:K1436) = 6),"3 Delete",IF(ISBLANK(E1436),"2 Add",IF(SHA1Range(E1436:K1436) = "6955a21c2b3b435f50f19500b5c48d336a206c03","0 Original","1 Modify"))))</f>
        <v>0 Original</v>
      </c>
      <c r="D1436" s="5" t="s">
        <v>3620</v>
      </c>
      <c r="E1436" s="3">
        <v>1154</v>
      </c>
      <c r="F1436" t="s">
        <v>1400</v>
      </c>
      <c r="G1436" t="s">
        <v>945</v>
      </c>
      <c r="H1436" s="9">
        <v>4.99</v>
      </c>
      <c r="I1436" s="3">
        <v>2</v>
      </c>
      <c r="J1436" s="5" t="s">
        <v>68</v>
      </c>
      <c r="K1436" s="15">
        <v>41890.338854166665</v>
      </c>
      <c r="L1436" s="20">
        <f t="shared" si="66"/>
        <v>41890</v>
      </c>
      <c r="M1436" t="str">
        <f t="shared" si="67"/>
        <v>09-2014</v>
      </c>
      <c r="N1436">
        <f t="shared" si="68"/>
        <v>9.98</v>
      </c>
    </row>
    <row r="1437" spans="3:14" x14ac:dyDescent="0.25">
      <c r="C1437" t="str">
        <f>IF(COUNTBLANK(E1437:K1437) = 7,"",IF(AND(NOT(ISBLANK(E1437)),COUNTBLANK(E1437:K1437) = 6),"3 Delete",IF(ISBLANK(E1437),"2 Add",IF(SHA1Range(E1437:K1437) = "7f8801f9fd8a1de628354fd7da050f7cdab1ebe1","0 Original","1 Modify"))))</f>
        <v>0 Original</v>
      </c>
      <c r="D1437" s="5" t="s">
        <v>3621</v>
      </c>
      <c r="E1437" s="3">
        <v>1155</v>
      </c>
      <c r="F1437" t="s">
        <v>1400</v>
      </c>
      <c r="G1437" t="s">
        <v>373</v>
      </c>
      <c r="H1437" s="9">
        <v>7.99</v>
      </c>
      <c r="I1437" s="3">
        <v>1</v>
      </c>
      <c r="J1437" s="5" t="s">
        <v>68</v>
      </c>
      <c r="K1437" s="15">
        <v>41890.338854166665</v>
      </c>
      <c r="L1437" s="20">
        <f t="shared" si="66"/>
        <v>41890</v>
      </c>
      <c r="M1437" t="str">
        <f t="shared" si="67"/>
        <v>09-2014</v>
      </c>
      <c r="N1437">
        <f t="shared" si="68"/>
        <v>7.99</v>
      </c>
    </row>
    <row r="1438" spans="3:14" x14ac:dyDescent="0.25">
      <c r="C1438" t="str">
        <f>IF(COUNTBLANK(E1438:K1438) = 7,"",IF(AND(NOT(ISBLANK(E1438)),COUNTBLANK(E1438:K1438) = 6),"3 Delete",IF(ISBLANK(E1438),"2 Add",IF(SHA1Range(E1438:K1438) = "8ecf273ed36901fc9d3ea746deddec62f968a51e","0 Original","1 Modify"))))</f>
        <v>0 Original</v>
      </c>
      <c r="D1438" s="5" t="s">
        <v>3622</v>
      </c>
      <c r="E1438" s="3">
        <v>1156</v>
      </c>
      <c r="F1438" t="s">
        <v>1400</v>
      </c>
      <c r="G1438" t="s">
        <v>869</v>
      </c>
      <c r="H1438" s="9">
        <v>4.99</v>
      </c>
      <c r="I1438" s="3">
        <v>1</v>
      </c>
      <c r="J1438" s="5" t="s">
        <v>68</v>
      </c>
      <c r="K1438" s="15">
        <v>41890.338854166665</v>
      </c>
      <c r="L1438" s="20">
        <f t="shared" si="66"/>
        <v>41890</v>
      </c>
      <c r="M1438" t="str">
        <f t="shared" si="67"/>
        <v>09-2014</v>
      </c>
      <c r="N1438">
        <f t="shared" si="68"/>
        <v>4.99</v>
      </c>
    </row>
    <row r="1439" spans="3:14" x14ac:dyDescent="0.25">
      <c r="C1439" t="str">
        <f>IF(COUNTBLANK(E1439:K1439) = 7,"",IF(AND(NOT(ISBLANK(E1439)),COUNTBLANK(E1439:K1439) = 6),"3 Delete",IF(ISBLANK(E1439),"2 Add",IF(SHA1Range(E1439:K1439) = "26290f8d7cef1aa8d8e6d873f73033e5039ac003","0 Original","1 Modify"))))</f>
        <v>0 Original</v>
      </c>
      <c r="D1439" s="5" t="s">
        <v>3623</v>
      </c>
      <c r="E1439" s="3">
        <v>1485</v>
      </c>
      <c r="F1439" t="s">
        <v>1401</v>
      </c>
      <c r="G1439" t="s">
        <v>389</v>
      </c>
      <c r="H1439" s="9">
        <v>4.99</v>
      </c>
      <c r="I1439" s="3">
        <v>1</v>
      </c>
      <c r="J1439" s="5" t="s">
        <v>68</v>
      </c>
      <c r="K1439" s="15">
        <v>41891.159039351849</v>
      </c>
      <c r="L1439" s="20">
        <f t="shared" si="66"/>
        <v>41891</v>
      </c>
      <c r="M1439" t="str">
        <f t="shared" si="67"/>
        <v>09-2014</v>
      </c>
      <c r="N1439">
        <f t="shared" si="68"/>
        <v>4.99</v>
      </c>
    </row>
    <row r="1440" spans="3:14" x14ac:dyDescent="0.25">
      <c r="C1440" t="str">
        <f>IF(COUNTBLANK(E1440:K1440) = 7,"",IF(AND(NOT(ISBLANK(E1440)),COUNTBLANK(E1440:K1440) = 6),"3 Delete",IF(ISBLANK(E1440),"2 Add",IF(SHA1Range(E1440:K1440) = "5a5bab37debef40f216a6eae9f84374ed13b57ba","0 Original","1 Modify"))))</f>
        <v>0 Original</v>
      </c>
      <c r="D1440" s="5" t="s">
        <v>3624</v>
      </c>
      <c r="E1440" s="3">
        <v>1486</v>
      </c>
      <c r="F1440" t="s">
        <v>1401</v>
      </c>
      <c r="G1440" t="s">
        <v>820</v>
      </c>
      <c r="H1440" s="9">
        <v>9.99</v>
      </c>
      <c r="I1440" s="3">
        <v>2</v>
      </c>
      <c r="J1440" s="5" t="s">
        <v>68</v>
      </c>
      <c r="K1440" s="15">
        <v>41891.159039351849</v>
      </c>
      <c r="L1440" s="20">
        <f t="shared" si="66"/>
        <v>41891</v>
      </c>
      <c r="M1440" t="str">
        <f t="shared" si="67"/>
        <v>09-2014</v>
      </c>
      <c r="N1440">
        <f t="shared" si="68"/>
        <v>19.98</v>
      </c>
    </row>
    <row r="1441" spans="3:14" x14ac:dyDescent="0.25">
      <c r="C1441" t="str">
        <f>IF(COUNTBLANK(E1441:K1441) = 7,"",IF(AND(NOT(ISBLANK(E1441)),COUNTBLANK(E1441:K1441) = 6),"3 Delete",IF(ISBLANK(E1441),"2 Add",IF(SHA1Range(E1441:K1441) = "b5f1b42589a06ed34ca0aebdda5470b96c0f30f3","0 Original","1 Modify"))))</f>
        <v>0 Original</v>
      </c>
      <c r="D1441" s="5" t="s">
        <v>3625</v>
      </c>
      <c r="E1441" s="3">
        <v>3116</v>
      </c>
      <c r="F1441" t="s">
        <v>1402</v>
      </c>
      <c r="G1441" t="s">
        <v>373</v>
      </c>
      <c r="H1441" s="9">
        <v>7.99</v>
      </c>
      <c r="I1441" s="3">
        <v>2</v>
      </c>
      <c r="J1441" s="5" t="s">
        <v>68</v>
      </c>
      <c r="K1441" s="15">
        <v>41891.914004629631</v>
      </c>
      <c r="L1441" s="20">
        <f t="shared" si="66"/>
        <v>41891</v>
      </c>
      <c r="M1441" t="str">
        <f t="shared" si="67"/>
        <v>09-2014</v>
      </c>
      <c r="N1441">
        <f t="shared" si="68"/>
        <v>15.98</v>
      </c>
    </row>
    <row r="1442" spans="3:14" x14ac:dyDescent="0.25">
      <c r="C1442" t="str">
        <f>IF(COUNTBLANK(E1442:K1442) = 7,"",IF(AND(NOT(ISBLANK(E1442)),COUNTBLANK(E1442:K1442) = 6),"3 Delete",IF(ISBLANK(E1442),"2 Add",IF(SHA1Range(E1442:K1442) = "f0b69c6b13d5a089261890d82eed75f557ce1f71","0 Original","1 Modify"))))</f>
        <v>0 Original</v>
      </c>
      <c r="D1442" s="5" t="s">
        <v>3626</v>
      </c>
      <c r="E1442" s="3">
        <v>3203</v>
      </c>
      <c r="F1442" t="s">
        <v>1403</v>
      </c>
      <c r="G1442" t="s">
        <v>642</v>
      </c>
      <c r="H1442" s="9">
        <v>9.99</v>
      </c>
      <c r="I1442" s="3">
        <v>1</v>
      </c>
      <c r="J1442" s="5" t="s">
        <v>68</v>
      </c>
      <c r="K1442" s="15">
        <v>41892.764849537038</v>
      </c>
      <c r="L1442" s="20">
        <f t="shared" si="66"/>
        <v>41892</v>
      </c>
      <c r="M1442" t="str">
        <f t="shared" si="67"/>
        <v>09-2014</v>
      </c>
      <c r="N1442">
        <f t="shared" si="68"/>
        <v>9.99</v>
      </c>
    </row>
    <row r="1443" spans="3:14" x14ac:dyDescent="0.25">
      <c r="C1443" t="str">
        <f>IF(COUNTBLANK(E1443:K1443) = 7,"",IF(AND(NOT(ISBLANK(E1443)),COUNTBLANK(E1443:K1443) = 6),"3 Delete",IF(ISBLANK(E1443),"2 Add",IF(SHA1Range(E1443:K1443) = "b47bdac464d6d8a3f30f497ff24d7feca47216fc","0 Original","1 Modify"))))</f>
        <v>0 Original</v>
      </c>
      <c r="D1443" s="5" t="s">
        <v>3627</v>
      </c>
      <c r="E1443" s="3">
        <v>3204</v>
      </c>
      <c r="F1443" t="s">
        <v>1403</v>
      </c>
      <c r="G1443" t="s">
        <v>400</v>
      </c>
      <c r="H1443" s="9">
        <v>4.99</v>
      </c>
      <c r="I1443" s="3">
        <v>1</v>
      </c>
      <c r="J1443" s="5" t="s">
        <v>68</v>
      </c>
      <c r="K1443" s="15">
        <v>41892.764849537038</v>
      </c>
      <c r="L1443" s="20">
        <f t="shared" si="66"/>
        <v>41892</v>
      </c>
      <c r="M1443" t="str">
        <f t="shared" si="67"/>
        <v>09-2014</v>
      </c>
      <c r="N1443">
        <f t="shared" si="68"/>
        <v>4.99</v>
      </c>
    </row>
    <row r="1444" spans="3:14" x14ac:dyDescent="0.25">
      <c r="C1444" t="str">
        <f>IF(COUNTBLANK(E1444:K1444) = 7,"",IF(AND(NOT(ISBLANK(E1444)),COUNTBLANK(E1444:K1444) = 6),"3 Delete",IF(ISBLANK(E1444),"2 Add",IF(SHA1Range(E1444:K1444) = "ef6479560c04a86e3438f11f72b34d5a54f1a4cd","0 Original","1 Modify"))))</f>
        <v>0 Original</v>
      </c>
      <c r="D1444" s="5" t="s">
        <v>3628</v>
      </c>
      <c r="E1444" s="3">
        <v>3205</v>
      </c>
      <c r="F1444" t="s">
        <v>1403</v>
      </c>
      <c r="G1444" t="s">
        <v>373</v>
      </c>
      <c r="H1444" s="9">
        <v>7.99</v>
      </c>
      <c r="I1444" s="3">
        <v>2</v>
      </c>
      <c r="J1444" s="5" t="s">
        <v>68</v>
      </c>
      <c r="K1444" s="15">
        <v>41892.764849537038</v>
      </c>
      <c r="L1444" s="20">
        <f t="shared" si="66"/>
        <v>41892</v>
      </c>
      <c r="M1444" t="str">
        <f t="shared" si="67"/>
        <v>09-2014</v>
      </c>
      <c r="N1444">
        <f t="shared" si="68"/>
        <v>15.98</v>
      </c>
    </row>
    <row r="1445" spans="3:14" x14ac:dyDescent="0.25">
      <c r="C1445" t="str">
        <f>IF(COUNTBLANK(E1445:K1445) = 7,"",IF(AND(NOT(ISBLANK(E1445)),COUNTBLANK(E1445:K1445) = 6),"3 Delete",IF(ISBLANK(E1445),"2 Add",IF(SHA1Range(E1445:K1445) = "944d7ece498cc6430a94bcd62f690e35ddada44c","0 Original","1 Modify"))))</f>
        <v>0 Original</v>
      </c>
      <c r="D1445" s="5" t="s">
        <v>4247</v>
      </c>
      <c r="E1445" s="3">
        <v>191</v>
      </c>
      <c r="F1445" t="s">
        <v>1404</v>
      </c>
      <c r="G1445" t="s">
        <v>722</v>
      </c>
      <c r="H1445" s="9">
        <v>6.99</v>
      </c>
      <c r="I1445" s="3">
        <v>1</v>
      </c>
      <c r="J1445" s="5" t="s">
        <v>68</v>
      </c>
      <c r="K1445" s="15">
        <v>41893.827453703707</v>
      </c>
      <c r="L1445" s="20">
        <f t="shared" si="66"/>
        <v>41893</v>
      </c>
      <c r="M1445" t="str">
        <f t="shared" si="67"/>
        <v>09-2014</v>
      </c>
      <c r="N1445">
        <f t="shared" si="68"/>
        <v>6.99</v>
      </c>
    </row>
    <row r="1446" spans="3:14" x14ac:dyDescent="0.25">
      <c r="C1446" t="str">
        <f>IF(COUNTBLANK(E1446:K1446) = 7,"",IF(AND(NOT(ISBLANK(E1446)),COUNTBLANK(E1446:K1446) = 6),"3 Delete",IF(ISBLANK(E1446),"2 Add",IF(SHA1Range(E1446:K1446) = "a7f98050ad46758ad41baf7add9c13cad93cba3c","0 Original","1 Modify"))))</f>
        <v>0 Original</v>
      </c>
      <c r="D1446" s="5" t="s">
        <v>4248</v>
      </c>
      <c r="E1446" s="3">
        <v>192</v>
      </c>
      <c r="F1446" t="s">
        <v>1404</v>
      </c>
      <c r="G1446" t="s">
        <v>742</v>
      </c>
      <c r="H1446" s="9">
        <v>7.99</v>
      </c>
      <c r="I1446" s="3">
        <v>1</v>
      </c>
      <c r="J1446" s="5" t="s">
        <v>68</v>
      </c>
      <c r="K1446" s="15">
        <v>41893.827453703707</v>
      </c>
      <c r="L1446" s="20">
        <f t="shared" si="66"/>
        <v>41893</v>
      </c>
      <c r="M1446" t="str">
        <f t="shared" si="67"/>
        <v>09-2014</v>
      </c>
      <c r="N1446">
        <f t="shared" si="68"/>
        <v>7.99</v>
      </c>
    </row>
    <row r="1447" spans="3:14" x14ac:dyDescent="0.25">
      <c r="C1447" t="str">
        <f>IF(COUNTBLANK(E1447:K1447) = 7,"",IF(AND(NOT(ISBLANK(E1447)),COUNTBLANK(E1447:K1447) = 6),"3 Delete",IF(ISBLANK(E1447),"2 Add",IF(SHA1Range(E1447:K1447) = "e80c15acf154235db41cd0a66c1200f3bfa6f2ab","0 Original","1 Modify"))))</f>
        <v>0 Original</v>
      </c>
      <c r="D1447" s="5" t="s">
        <v>4249</v>
      </c>
      <c r="E1447" s="3">
        <v>193</v>
      </c>
      <c r="F1447" t="s">
        <v>1404</v>
      </c>
      <c r="G1447" t="s">
        <v>488</v>
      </c>
      <c r="H1447" s="9">
        <v>8.99</v>
      </c>
      <c r="I1447" s="3">
        <v>1</v>
      </c>
      <c r="J1447" s="5" t="s">
        <v>68</v>
      </c>
      <c r="K1447" s="15">
        <v>41893.827453703707</v>
      </c>
      <c r="L1447" s="20">
        <f t="shared" si="66"/>
        <v>41893</v>
      </c>
      <c r="M1447" t="str">
        <f t="shared" si="67"/>
        <v>09-2014</v>
      </c>
      <c r="N1447">
        <f t="shared" si="68"/>
        <v>8.99</v>
      </c>
    </row>
    <row r="1448" spans="3:14" x14ac:dyDescent="0.25">
      <c r="C1448" t="str">
        <f>IF(COUNTBLANK(E1448:K1448) = 7,"",IF(AND(NOT(ISBLANK(E1448)),COUNTBLANK(E1448:K1448) = 6),"3 Delete",IF(ISBLANK(E1448),"2 Add",IF(SHA1Range(E1448:K1448) = "ecfe1e41ca6fa83489a77b7d892050bdbde7c2ac","0 Original","1 Modify"))))</f>
        <v>0 Original</v>
      </c>
      <c r="D1448" s="5" t="s">
        <v>4250</v>
      </c>
      <c r="E1448" s="3">
        <v>194</v>
      </c>
      <c r="F1448" t="s">
        <v>1404</v>
      </c>
      <c r="G1448" t="s">
        <v>701</v>
      </c>
      <c r="H1448" s="9">
        <v>7.99</v>
      </c>
      <c r="I1448" s="3">
        <v>1</v>
      </c>
      <c r="J1448" s="5" t="s">
        <v>68</v>
      </c>
      <c r="K1448" s="15">
        <v>41893.827453703707</v>
      </c>
      <c r="L1448" s="20">
        <f t="shared" si="66"/>
        <v>41893</v>
      </c>
      <c r="M1448" t="str">
        <f t="shared" si="67"/>
        <v>09-2014</v>
      </c>
      <c r="N1448">
        <f t="shared" si="68"/>
        <v>7.99</v>
      </c>
    </row>
    <row r="1449" spans="3:14" x14ac:dyDescent="0.25">
      <c r="C1449" t="str">
        <f>IF(COUNTBLANK(E1449:K1449) = 7,"",IF(AND(NOT(ISBLANK(E1449)),COUNTBLANK(E1449:K1449) = 6),"3 Delete",IF(ISBLANK(E1449),"2 Add",IF(SHA1Range(E1449:K1449) = "201a94b899a50d81967f87c47425dda0216e5760","0 Original","1 Modify"))))</f>
        <v>0 Original</v>
      </c>
      <c r="D1449" s="5" t="s">
        <v>4251</v>
      </c>
      <c r="E1449" s="3">
        <v>195</v>
      </c>
      <c r="F1449" t="s">
        <v>1404</v>
      </c>
      <c r="G1449" t="s">
        <v>396</v>
      </c>
      <c r="H1449" s="9">
        <v>8.99</v>
      </c>
      <c r="I1449" s="3">
        <v>1</v>
      </c>
      <c r="J1449" s="5" t="s">
        <v>68</v>
      </c>
      <c r="K1449" s="15">
        <v>41893.827453703707</v>
      </c>
      <c r="L1449" s="20">
        <f t="shared" si="66"/>
        <v>41893</v>
      </c>
      <c r="M1449" t="str">
        <f t="shared" si="67"/>
        <v>09-2014</v>
      </c>
      <c r="N1449">
        <f t="shared" si="68"/>
        <v>8.99</v>
      </c>
    </row>
    <row r="1450" spans="3:14" x14ac:dyDescent="0.25">
      <c r="C1450" t="str">
        <f>IF(COUNTBLANK(E1450:K1450) = 7,"",IF(AND(NOT(ISBLANK(E1450)),COUNTBLANK(E1450:K1450) = 6),"3 Delete",IF(ISBLANK(E1450),"2 Add",IF(SHA1Range(E1450:K1450) = "0dadd16569721e0a367693937b8c73ab46c96c62","0 Original","1 Modify"))))</f>
        <v>0 Original</v>
      </c>
      <c r="D1450" s="5" t="s">
        <v>4252</v>
      </c>
      <c r="E1450" s="3">
        <v>196</v>
      </c>
      <c r="F1450" t="s">
        <v>1404</v>
      </c>
      <c r="G1450" t="s">
        <v>442</v>
      </c>
      <c r="H1450" s="9">
        <v>4.99</v>
      </c>
      <c r="I1450" s="3">
        <v>1</v>
      </c>
      <c r="J1450" s="5" t="s">
        <v>68</v>
      </c>
      <c r="K1450" s="15">
        <v>41893.827453703707</v>
      </c>
      <c r="L1450" s="20">
        <f t="shared" si="66"/>
        <v>41893</v>
      </c>
      <c r="M1450" t="str">
        <f t="shared" si="67"/>
        <v>09-2014</v>
      </c>
      <c r="N1450">
        <f t="shared" si="68"/>
        <v>4.99</v>
      </c>
    </row>
    <row r="1451" spans="3:14" x14ac:dyDescent="0.25">
      <c r="C1451" t="str">
        <f>IF(COUNTBLANK(E1451:K1451) = 7,"",IF(AND(NOT(ISBLANK(E1451)),COUNTBLANK(E1451:K1451) = 6),"3 Delete",IF(ISBLANK(E1451),"2 Add",IF(SHA1Range(E1451:K1451) = "f1e99a504247683900d18a6bae7c820fea9bf924","0 Original","1 Modify"))))</f>
        <v>0 Original</v>
      </c>
      <c r="D1451" s="5" t="s">
        <v>4253</v>
      </c>
      <c r="E1451" s="3">
        <v>197</v>
      </c>
      <c r="F1451" t="s">
        <v>1404</v>
      </c>
      <c r="G1451" t="s">
        <v>764</v>
      </c>
      <c r="H1451" s="9">
        <v>9.99</v>
      </c>
      <c r="I1451" s="3">
        <v>1</v>
      </c>
      <c r="J1451" s="5" t="s">
        <v>68</v>
      </c>
      <c r="K1451" s="15">
        <v>41893.827453703707</v>
      </c>
      <c r="L1451" s="20">
        <f t="shared" si="66"/>
        <v>41893</v>
      </c>
      <c r="M1451" t="str">
        <f t="shared" si="67"/>
        <v>09-2014</v>
      </c>
      <c r="N1451">
        <f t="shared" si="68"/>
        <v>9.99</v>
      </c>
    </row>
    <row r="1452" spans="3:14" x14ac:dyDescent="0.25">
      <c r="C1452" t="str">
        <f>IF(COUNTBLANK(E1452:K1452) = 7,"",IF(AND(NOT(ISBLANK(E1452)),COUNTBLANK(E1452:K1452) = 6),"3 Delete",IF(ISBLANK(E1452),"2 Add",IF(SHA1Range(E1452:K1452) = "2013e0b5b1f7a47add3e5a081dd5da54b10c0ffe","0 Original","1 Modify"))))</f>
        <v>0 Original</v>
      </c>
      <c r="D1452" s="5" t="s">
        <v>3629</v>
      </c>
      <c r="E1452" s="3">
        <v>1596</v>
      </c>
      <c r="F1452" t="s">
        <v>1405</v>
      </c>
      <c r="G1452" t="s">
        <v>389</v>
      </c>
      <c r="H1452" s="9">
        <v>4.99</v>
      </c>
      <c r="I1452" s="3">
        <v>2</v>
      </c>
      <c r="J1452" s="5" t="s">
        <v>68</v>
      </c>
      <c r="K1452" s="15">
        <v>41894.666319444441</v>
      </c>
      <c r="L1452" s="20">
        <f t="shared" si="66"/>
        <v>41894</v>
      </c>
      <c r="M1452" t="str">
        <f t="shared" si="67"/>
        <v>09-2014</v>
      </c>
      <c r="N1452">
        <f t="shared" si="68"/>
        <v>9.98</v>
      </c>
    </row>
    <row r="1453" spans="3:14" x14ac:dyDescent="0.25">
      <c r="C1453" t="str">
        <f>IF(COUNTBLANK(E1453:K1453) = 7,"",IF(AND(NOT(ISBLANK(E1453)),COUNTBLANK(E1453:K1453) = 6),"3 Delete",IF(ISBLANK(E1453),"2 Add",IF(SHA1Range(E1453:K1453) = "debeaab2f6a9e96dc65208ca67792ead9d9533d9","0 Original","1 Modify"))))</f>
        <v>0 Original</v>
      </c>
      <c r="D1453" s="5" t="s">
        <v>3630</v>
      </c>
      <c r="E1453" s="3">
        <v>1597</v>
      </c>
      <c r="F1453" t="s">
        <v>1405</v>
      </c>
      <c r="G1453" t="s">
        <v>671</v>
      </c>
      <c r="H1453" s="9">
        <v>6.99</v>
      </c>
      <c r="I1453" s="3">
        <v>1</v>
      </c>
      <c r="J1453" s="5" t="s">
        <v>68</v>
      </c>
      <c r="K1453" s="15">
        <v>41894.666319444441</v>
      </c>
      <c r="L1453" s="20">
        <f t="shared" si="66"/>
        <v>41894</v>
      </c>
      <c r="M1453" t="str">
        <f t="shared" si="67"/>
        <v>09-2014</v>
      </c>
      <c r="N1453">
        <f t="shared" si="68"/>
        <v>6.99</v>
      </c>
    </row>
    <row r="1454" spans="3:14" x14ac:dyDescent="0.25">
      <c r="C1454" t="str">
        <f>IF(COUNTBLANK(E1454:K1454) = 7,"",IF(AND(NOT(ISBLANK(E1454)),COUNTBLANK(E1454:K1454) = 6),"3 Delete",IF(ISBLANK(E1454),"2 Add",IF(SHA1Range(E1454:K1454) = "a1fd40f76837eb0cbc21756fb37caca3761317eb","0 Original","1 Modify"))))</f>
        <v>0 Original</v>
      </c>
      <c r="D1454" s="5" t="s">
        <v>3631</v>
      </c>
      <c r="E1454" s="3">
        <v>1598</v>
      </c>
      <c r="F1454" t="s">
        <v>1405</v>
      </c>
      <c r="G1454" t="s">
        <v>684</v>
      </c>
      <c r="H1454" s="9">
        <v>8.99</v>
      </c>
      <c r="I1454" s="3">
        <v>1</v>
      </c>
      <c r="J1454" s="5" t="s">
        <v>68</v>
      </c>
      <c r="K1454" s="15">
        <v>41894.666319444441</v>
      </c>
      <c r="L1454" s="20">
        <f t="shared" si="66"/>
        <v>41894</v>
      </c>
      <c r="M1454" t="str">
        <f t="shared" si="67"/>
        <v>09-2014</v>
      </c>
      <c r="N1454">
        <f t="shared" si="68"/>
        <v>8.99</v>
      </c>
    </row>
    <row r="1455" spans="3:14" x14ac:dyDescent="0.25">
      <c r="C1455" t="str">
        <f>IF(COUNTBLANK(E1455:K1455) = 7,"",IF(AND(NOT(ISBLANK(E1455)),COUNTBLANK(E1455:K1455) = 6),"3 Delete",IF(ISBLANK(E1455),"2 Add",IF(SHA1Range(E1455:K1455) = "5d026683ff4d081619f6cd4d918112db09e3a42b","0 Original","1 Modify"))))</f>
        <v>0 Original</v>
      </c>
      <c r="D1455" s="5" t="s">
        <v>3632</v>
      </c>
      <c r="E1455" s="3">
        <v>3928</v>
      </c>
      <c r="F1455" t="s">
        <v>1406</v>
      </c>
      <c r="G1455" t="s">
        <v>552</v>
      </c>
      <c r="H1455" s="9">
        <v>6.99</v>
      </c>
      <c r="I1455" s="3">
        <v>1</v>
      </c>
      <c r="J1455" s="5" t="s">
        <v>68</v>
      </c>
      <c r="K1455" s="15">
        <v>41894.748657407406</v>
      </c>
      <c r="L1455" s="20">
        <f t="shared" si="66"/>
        <v>41894</v>
      </c>
      <c r="M1455" t="str">
        <f t="shared" si="67"/>
        <v>09-2014</v>
      </c>
      <c r="N1455">
        <f t="shared" si="68"/>
        <v>6.99</v>
      </c>
    </row>
    <row r="1456" spans="3:14" x14ac:dyDescent="0.25">
      <c r="C1456" t="str">
        <f>IF(COUNTBLANK(E1456:K1456) = 7,"",IF(AND(NOT(ISBLANK(E1456)),COUNTBLANK(E1456:K1456) = 6),"3 Delete",IF(ISBLANK(E1456),"2 Add",IF(SHA1Range(E1456:K1456) = "26d5abc5e533fa5392e8707cd6b07c3d3e857421","0 Original","1 Modify"))))</f>
        <v>0 Original</v>
      </c>
      <c r="D1456" s="5" t="s">
        <v>3633</v>
      </c>
      <c r="E1456" s="3">
        <v>3929</v>
      </c>
      <c r="F1456" t="s">
        <v>1406</v>
      </c>
      <c r="G1456" t="s">
        <v>400</v>
      </c>
      <c r="H1456" s="9">
        <v>4.99</v>
      </c>
      <c r="I1456" s="3">
        <v>2</v>
      </c>
      <c r="J1456" s="5" t="s">
        <v>68</v>
      </c>
      <c r="K1456" s="15">
        <v>41894.748657407406</v>
      </c>
      <c r="L1456" s="20">
        <f t="shared" si="66"/>
        <v>41894</v>
      </c>
      <c r="M1456" t="str">
        <f t="shared" si="67"/>
        <v>09-2014</v>
      </c>
      <c r="N1456">
        <f t="shared" si="68"/>
        <v>9.98</v>
      </c>
    </row>
    <row r="1457" spans="3:14" x14ac:dyDescent="0.25">
      <c r="C1457" t="str">
        <f>IF(COUNTBLANK(E1457:K1457) = 7,"",IF(AND(NOT(ISBLANK(E1457)),COUNTBLANK(E1457:K1457) = 6),"3 Delete",IF(ISBLANK(E1457),"2 Add",IF(SHA1Range(E1457:K1457) = "c9a0799ce678ada46c32183b874cf1ab2fb9dcc4","0 Original","1 Modify"))))</f>
        <v>0 Original</v>
      </c>
      <c r="D1457" s="5" t="s">
        <v>3634</v>
      </c>
      <c r="E1457" s="3">
        <v>2153</v>
      </c>
      <c r="F1457" t="s">
        <v>1407</v>
      </c>
      <c r="G1457" t="s">
        <v>781</v>
      </c>
      <c r="H1457" s="9">
        <v>5.99</v>
      </c>
      <c r="I1457" s="3">
        <v>1</v>
      </c>
      <c r="J1457" s="5" t="s">
        <v>68</v>
      </c>
      <c r="K1457" s="15">
        <v>41895.709351851852</v>
      </c>
      <c r="L1457" s="20">
        <f t="shared" si="66"/>
        <v>41895</v>
      </c>
      <c r="M1457" t="str">
        <f t="shared" si="67"/>
        <v>09-2014</v>
      </c>
      <c r="N1457">
        <f t="shared" si="68"/>
        <v>5.99</v>
      </c>
    </row>
    <row r="1458" spans="3:14" x14ac:dyDescent="0.25">
      <c r="C1458" t="str">
        <f>IF(COUNTBLANK(E1458:K1458) = 7,"",IF(AND(NOT(ISBLANK(E1458)),COUNTBLANK(E1458:K1458) = 6),"3 Delete",IF(ISBLANK(E1458),"2 Add",IF(SHA1Range(E1458:K1458) = "32b7e28590da42b6636d5d336d43c82934a38fc5","0 Original","1 Modify"))))</f>
        <v>0 Original</v>
      </c>
      <c r="D1458" s="5" t="s">
        <v>4254</v>
      </c>
      <c r="E1458" s="3">
        <v>78</v>
      </c>
      <c r="F1458" t="s">
        <v>1408</v>
      </c>
      <c r="G1458" t="s">
        <v>875</v>
      </c>
      <c r="H1458" s="9">
        <v>8.99</v>
      </c>
      <c r="I1458" s="3">
        <v>2</v>
      </c>
      <c r="J1458" s="5" t="s">
        <v>68</v>
      </c>
      <c r="K1458" s="15">
        <v>41896.436516203707</v>
      </c>
      <c r="L1458" s="20">
        <f t="shared" si="66"/>
        <v>41896</v>
      </c>
      <c r="M1458" t="str">
        <f t="shared" si="67"/>
        <v>09-2014</v>
      </c>
      <c r="N1458">
        <f t="shared" si="68"/>
        <v>17.98</v>
      </c>
    </row>
    <row r="1459" spans="3:14" x14ac:dyDescent="0.25">
      <c r="C1459" t="str">
        <f>IF(COUNTBLANK(E1459:K1459) = 7,"",IF(AND(NOT(ISBLANK(E1459)),COUNTBLANK(E1459:K1459) = 6),"3 Delete",IF(ISBLANK(E1459),"2 Add",IF(SHA1Range(E1459:K1459) = "7967b7cee0135f2719ac70f2bab52199fdce61fb","0 Original","1 Modify"))))</f>
        <v>0 Original</v>
      </c>
      <c r="D1459" s="5" t="s">
        <v>4255</v>
      </c>
      <c r="E1459" s="3">
        <v>79</v>
      </c>
      <c r="F1459" t="s">
        <v>1408</v>
      </c>
      <c r="G1459" t="s">
        <v>767</v>
      </c>
      <c r="H1459" s="9">
        <v>6.99</v>
      </c>
      <c r="I1459" s="3">
        <v>1</v>
      </c>
      <c r="J1459" s="5" t="s">
        <v>68</v>
      </c>
      <c r="K1459" s="15">
        <v>41896.436516203707</v>
      </c>
      <c r="L1459" s="20">
        <f t="shared" si="66"/>
        <v>41896</v>
      </c>
      <c r="M1459" t="str">
        <f t="shared" si="67"/>
        <v>09-2014</v>
      </c>
      <c r="N1459">
        <f t="shared" si="68"/>
        <v>6.99</v>
      </c>
    </row>
    <row r="1460" spans="3:14" x14ac:dyDescent="0.25">
      <c r="C1460" t="str">
        <f>IF(COUNTBLANK(E1460:K1460) = 7,"",IF(AND(NOT(ISBLANK(E1460)),COUNTBLANK(E1460:K1460) = 6),"3 Delete",IF(ISBLANK(E1460),"2 Add",IF(SHA1Range(E1460:K1460) = "f9ad72c2edb772b2458cb8537040ec6e198a7f25","0 Original","1 Modify"))))</f>
        <v>0 Original</v>
      </c>
      <c r="D1460" s="5" t="s">
        <v>4256</v>
      </c>
      <c r="E1460" s="3">
        <v>855</v>
      </c>
      <c r="F1460" t="s">
        <v>1409</v>
      </c>
      <c r="G1460" t="s">
        <v>854</v>
      </c>
      <c r="H1460" s="9">
        <v>8.99</v>
      </c>
      <c r="I1460" s="3">
        <v>2</v>
      </c>
      <c r="J1460" s="5" t="s">
        <v>68</v>
      </c>
      <c r="K1460" s="15">
        <v>41896.535995370374</v>
      </c>
      <c r="L1460" s="20">
        <f t="shared" si="66"/>
        <v>41896</v>
      </c>
      <c r="M1460" t="str">
        <f t="shared" si="67"/>
        <v>09-2014</v>
      </c>
      <c r="N1460">
        <f t="shared" si="68"/>
        <v>17.98</v>
      </c>
    </row>
    <row r="1461" spans="3:14" x14ac:dyDescent="0.25">
      <c r="C1461" t="str">
        <f>IF(COUNTBLANK(E1461:K1461) = 7,"",IF(AND(NOT(ISBLANK(E1461)),COUNTBLANK(E1461:K1461) = 6),"3 Delete",IF(ISBLANK(E1461),"2 Add",IF(SHA1Range(E1461:K1461) = "6bf6864d8b974c3ee1b1a1a14145500df44a05d6","0 Original","1 Modify"))))</f>
        <v>0 Original</v>
      </c>
      <c r="D1461" s="5" t="s">
        <v>4257</v>
      </c>
      <c r="E1461" s="3">
        <v>856</v>
      </c>
      <c r="F1461" t="s">
        <v>1409</v>
      </c>
      <c r="G1461" t="s">
        <v>704</v>
      </c>
      <c r="H1461" s="9">
        <v>4.99</v>
      </c>
      <c r="I1461" s="3">
        <v>2</v>
      </c>
      <c r="J1461" s="5" t="s">
        <v>68</v>
      </c>
      <c r="K1461" s="15">
        <v>41896.535995370374</v>
      </c>
      <c r="L1461" s="20">
        <f t="shared" si="66"/>
        <v>41896</v>
      </c>
      <c r="M1461" t="str">
        <f t="shared" si="67"/>
        <v>09-2014</v>
      </c>
      <c r="N1461">
        <f t="shared" si="68"/>
        <v>9.98</v>
      </c>
    </row>
    <row r="1462" spans="3:14" x14ac:dyDescent="0.25">
      <c r="C1462" t="str">
        <f>IF(COUNTBLANK(E1462:K1462) = 7,"",IF(AND(NOT(ISBLANK(E1462)),COUNTBLANK(E1462:K1462) = 6),"3 Delete",IF(ISBLANK(E1462),"2 Add",IF(SHA1Range(E1462:K1462) = "2ffca741b2870c57043a89e690c3afa372ce9fad","0 Original","1 Modify"))))</f>
        <v>0 Original</v>
      </c>
      <c r="D1462" s="5" t="s">
        <v>3635</v>
      </c>
      <c r="E1462" s="3">
        <v>2168</v>
      </c>
      <c r="F1462" t="s">
        <v>1410</v>
      </c>
      <c r="G1462" t="s">
        <v>935</v>
      </c>
      <c r="H1462" s="9">
        <v>6.99</v>
      </c>
      <c r="I1462" s="3">
        <v>1</v>
      </c>
      <c r="J1462" s="5" t="s">
        <v>68</v>
      </c>
      <c r="K1462" s="15">
        <v>41896.817025462966</v>
      </c>
      <c r="L1462" s="20">
        <f t="shared" si="66"/>
        <v>41896</v>
      </c>
      <c r="M1462" t="str">
        <f t="shared" si="67"/>
        <v>09-2014</v>
      </c>
      <c r="N1462">
        <f t="shared" si="68"/>
        <v>6.99</v>
      </c>
    </row>
    <row r="1463" spans="3:14" x14ac:dyDescent="0.25">
      <c r="C1463" t="str">
        <f>IF(COUNTBLANK(E1463:K1463) = 7,"",IF(AND(NOT(ISBLANK(E1463)),COUNTBLANK(E1463:K1463) = 6),"3 Delete",IF(ISBLANK(E1463),"2 Add",IF(SHA1Range(E1463:K1463) = "30613ae65ffdfb38cbbb04cb7c1fb4fa21a17977","0 Original","1 Modify"))))</f>
        <v>0 Original</v>
      </c>
      <c r="D1463" s="5" t="s">
        <v>3636</v>
      </c>
      <c r="E1463" s="3">
        <v>2169</v>
      </c>
      <c r="F1463" t="s">
        <v>1410</v>
      </c>
      <c r="G1463" t="s">
        <v>514</v>
      </c>
      <c r="H1463" s="9">
        <v>6.99</v>
      </c>
      <c r="I1463" s="3">
        <v>1</v>
      </c>
      <c r="J1463" s="5" t="s">
        <v>68</v>
      </c>
      <c r="K1463" s="15">
        <v>41896.817025462966</v>
      </c>
      <c r="L1463" s="20">
        <f t="shared" si="66"/>
        <v>41896</v>
      </c>
      <c r="M1463" t="str">
        <f t="shared" si="67"/>
        <v>09-2014</v>
      </c>
      <c r="N1463">
        <f t="shared" si="68"/>
        <v>6.99</v>
      </c>
    </row>
    <row r="1464" spans="3:14" x14ac:dyDescent="0.25">
      <c r="C1464" t="str">
        <f>IF(COUNTBLANK(E1464:K1464) = 7,"",IF(AND(NOT(ISBLANK(E1464)),COUNTBLANK(E1464:K1464) = 6),"3 Delete",IF(ISBLANK(E1464),"2 Add",IF(SHA1Range(E1464:K1464) = "277747a399c6fa3a1fcea4cade5ee74fc7443c52","0 Original","1 Modify"))))</f>
        <v>0 Original</v>
      </c>
      <c r="D1464" s="5" t="s">
        <v>3637</v>
      </c>
      <c r="E1464" s="3">
        <v>2170</v>
      </c>
      <c r="F1464" t="s">
        <v>1410</v>
      </c>
      <c r="G1464" t="s">
        <v>503</v>
      </c>
      <c r="H1464" s="9">
        <v>9.99</v>
      </c>
      <c r="I1464" s="3">
        <v>1</v>
      </c>
      <c r="J1464" s="5" t="s">
        <v>68</v>
      </c>
      <c r="K1464" s="15">
        <v>41896.817025462966</v>
      </c>
      <c r="L1464" s="20">
        <f t="shared" si="66"/>
        <v>41896</v>
      </c>
      <c r="M1464" t="str">
        <f t="shared" si="67"/>
        <v>09-2014</v>
      </c>
      <c r="N1464">
        <f t="shared" si="68"/>
        <v>9.99</v>
      </c>
    </row>
    <row r="1465" spans="3:14" x14ac:dyDescent="0.25">
      <c r="C1465" t="str">
        <f>IF(COUNTBLANK(E1465:K1465) = 7,"",IF(AND(NOT(ISBLANK(E1465)),COUNTBLANK(E1465:K1465) = 6),"3 Delete",IF(ISBLANK(E1465),"2 Add",IF(SHA1Range(E1465:K1465) = "0e830c8b1ca36fd257a2d7c50e3753e54de53cb6","0 Original","1 Modify"))))</f>
        <v>0 Original</v>
      </c>
      <c r="D1465" s="5" t="s">
        <v>4258</v>
      </c>
      <c r="E1465" s="3">
        <v>162</v>
      </c>
      <c r="F1465" t="s">
        <v>1411</v>
      </c>
      <c r="G1465" t="s">
        <v>761</v>
      </c>
      <c r="H1465" s="9">
        <v>8.99</v>
      </c>
      <c r="I1465" s="3">
        <v>1</v>
      </c>
      <c r="J1465" s="5" t="s">
        <v>68</v>
      </c>
      <c r="K1465" s="15">
        <v>41898.057222222225</v>
      </c>
      <c r="L1465" s="20">
        <f t="shared" si="66"/>
        <v>41898</v>
      </c>
      <c r="M1465" t="str">
        <f t="shared" si="67"/>
        <v>09-2014</v>
      </c>
      <c r="N1465">
        <f t="shared" si="68"/>
        <v>8.99</v>
      </c>
    </row>
    <row r="1466" spans="3:14" x14ac:dyDescent="0.25">
      <c r="C1466" t="str">
        <f>IF(COUNTBLANK(E1466:K1466) = 7,"",IF(AND(NOT(ISBLANK(E1466)),COUNTBLANK(E1466:K1466) = 6),"3 Delete",IF(ISBLANK(E1466),"2 Add",IF(SHA1Range(E1466:K1466) = "254048be2e8350e938386cdc27c5151ca88c8abb","0 Original","1 Modify"))))</f>
        <v>0 Original</v>
      </c>
      <c r="D1466" s="5" t="s">
        <v>4259</v>
      </c>
      <c r="E1466" s="3">
        <v>163</v>
      </c>
      <c r="F1466" t="s">
        <v>1411</v>
      </c>
      <c r="G1466" t="s">
        <v>429</v>
      </c>
      <c r="H1466" s="9">
        <v>6.99</v>
      </c>
      <c r="I1466" s="3">
        <v>1</v>
      </c>
      <c r="J1466" s="5" t="s">
        <v>68</v>
      </c>
      <c r="K1466" s="15">
        <v>41898.057222222225</v>
      </c>
      <c r="L1466" s="20">
        <f t="shared" si="66"/>
        <v>41898</v>
      </c>
      <c r="M1466" t="str">
        <f t="shared" si="67"/>
        <v>09-2014</v>
      </c>
      <c r="N1466">
        <f t="shared" si="68"/>
        <v>6.99</v>
      </c>
    </row>
    <row r="1467" spans="3:14" x14ac:dyDescent="0.25">
      <c r="C1467" t="str">
        <f>IF(COUNTBLANK(E1467:K1467) = 7,"",IF(AND(NOT(ISBLANK(E1467)),COUNTBLANK(E1467:K1467) = 6),"3 Delete",IF(ISBLANK(E1467),"2 Add",IF(SHA1Range(E1467:K1467) = "b4d9a2676c4e1b910ba10ee3cc418da5a6921013","0 Original","1 Modify"))))</f>
        <v>0 Original</v>
      </c>
      <c r="D1467" s="5" t="s">
        <v>4260</v>
      </c>
      <c r="E1467" s="3">
        <v>164</v>
      </c>
      <c r="F1467" t="s">
        <v>1411</v>
      </c>
      <c r="G1467" t="s">
        <v>408</v>
      </c>
      <c r="H1467" s="9">
        <v>9.99</v>
      </c>
      <c r="I1467" s="3">
        <v>1</v>
      </c>
      <c r="J1467" s="5" t="s">
        <v>68</v>
      </c>
      <c r="K1467" s="15">
        <v>41898.057222222225</v>
      </c>
      <c r="L1467" s="20">
        <f t="shared" si="66"/>
        <v>41898</v>
      </c>
      <c r="M1467" t="str">
        <f t="shared" si="67"/>
        <v>09-2014</v>
      </c>
      <c r="N1467">
        <f t="shared" si="68"/>
        <v>9.99</v>
      </c>
    </row>
    <row r="1468" spans="3:14" x14ac:dyDescent="0.25">
      <c r="C1468" t="str">
        <f>IF(COUNTBLANK(E1468:K1468) = 7,"",IF(AND(NOT(ISBLANK(E1468)),COUNTBLANK(E1468:K1468) = 6),"3 Delete",IF(ISBLANK(E1468),"2 Add",IF(SHA1Range(E1468:K1468) = "3b0b612d8eb7c8a3b941c41730315c860a746d52","0 Original","1 Modify"))))</f>
        <v>0 Original</v>
      </c>
      <c r="D1468" s="5" t="s">
        <v>4261</v>
      </c>
      <c r="E1468" s="3">
        <v>165</v>
      </c>
      <c r="F1468" t="s">
        <v>1411</v>
      </c>
      <c r="G1468" t="s">
        <v>926</v>
      </c>
      <c r="H1468" s="9">
        <v>9.99</v>
      </c>
      <c r="I1468" s="3">
        <v>1</v>
      </c>
      <c r="J1468" s="5" t="s">
        <v>68</v>
      </c>
      <c r="K1468" s="15">
        <v>41898.057222222225</v>
      </c>
      <c r="L1468" s="20">
        <f t="shared" si="66"/>
        <v>41898</v>
      </c>
      <c r="M1468" t="str">
        <f t="shared" si="67"/>
        <v>09-2014</v>
      </c>
      <c r="N1468">
        <f t="shared" si="68"/>
        <v>9.99</v>
      </c>
    </row>
    <row r="1469" spans="3:14" x14ac:dyDescent="0.25">
      <c r="C1469" t="str">
        <f>IF(COUNTBLANK(E1469:K1469) = 7,"",IF(AND(NOT(ISBLANK(E1469)),COUNTBLANK(E1469:K1469) = 6),"3 Delete",IF(ISBLANK(E1469),"2 Add",IF(SHA1Range(E1469:K1469) = "6eaf8673becd90dc3624fee6f558ebd0b40e2ca4","0 Original","1 Modify"))))</f>
        <v>0 Original</v>
      </c>
      <c r="D1469" s="5" t="s">
        <v>4262</v>
      </c>
      <c r="E1469" s="3">
        <v>166</v>
      </c>
      <c r="F1469" t="s">
        <v>1411</v>
      </c>
      <c r="G1469" t="s">
        <v>813</v>
      </c>
      <c r="H1469" s="9">
        <v>5.99</v>
      </c>
      <c r="I1469" s="3">
        <v>2</v>
      </c>
      <c r="J1469" s="5" t="s">
        <v>68</v>
      </c>
      <c r="K1469" s="15">
        <v>41898.057222222225</v>
      </c>
      <c r="L1469" s="20">
        <f t="shared" si="66"/>
        <v>41898</v>
      </c>
      <c r="M1469" t="str">
        <f t="shared" si="67"/>
        <v>09-2014</v>
      </c>
      <c r="N1469">
        <f t="shared" si="68"/>
        <v>11.98</v>
      </c>
    </row>
    <row r="1470" spans="3:14" x14ac:dyDescent="0.25">
      <c r="C1470" t="str">
        <f>IF(COUNTBLANK(E1470:K1470) = 7,"",IF(AND(NOT(ISBLANK(E1470)),COUNTBLANK(E1470:K1470) = 6),"3 Delete",IF(ISBLANK(E1470),"2 Add",IF(SHA1Range(E1470:K1470) = "51c05acc4da90579ac77e40c0fc6d58571a1317c","0 Original","1 Modify"))))</f>
        <v>0 Original</v>
      </c>
      <c r="D1470" s="5" t="s">
        <v>4263</v>
      </c>
      <c r="E1470" s="3">
        <v>167</v>
      </c>
      <c r="F1470" t="s">
        <v>1411</v>
      </c>
      <c r="G1470" t="s">
        <v>416</v>
      </c>
      <c r="H1470" s="9">
        <v>7.99</v>
      </c>
      <c r="I1470" s="3">
        <v>2</v>
      </c>
      <c r="J1470" s="5" t="s">
        <v>68</v>
      </c>
      <c r="K1470" s="15">
        <v>41898.057222222225</v>
      </c>
      <c r="L1470" s="20">
        <f t="shared" si="66"/>
        <v>41898</v>
      </c>
      <c r="M1470" t="str">
        <f t="shared" si="67"/>
        <v>09-2014</v>
      </c>
      <c r="N1470">
        <f t="shared" si="68"/>
        <v>15.98</v>
      </c>
    </row>
    <row r="1471" spans="3:14" x14ac:dyDescent="0.25">
      <c r="C1471" t="str">
        <f>IF(COUNTBLANK(E1471:K1471) = 7,"",IF(AND(NOT(ISBLANK(E1471)),COUNTBLANK(E1471:K1471) = 6),"3 Delete",IF(ISBLANK(E1471),"2 Add",IF(SHA1Range(E1471:K1471) = "bd53ac6774f72af763ecce3dd0c05b87c505bc20","0 Original","1 Modify"))))</f>
        <v>0 Original</v>
      </c>
      <c r="D1471" s="5" t="s">
        <v>4264</v>
      </c>
      <c r="E1471" s="3">
        <v>168</v>
      </c>
      <c r="F1471" t="s">
        <v>1411</v>
      </c>
      <c r="G1471" t="s">
        <v>799</v>
      </c>
      <c r="H1471" s="9">
        <v>7.99</v>
      </c>
      <c r="I1471" s="3">
        <v>1</v>
      </c>
      <c r="J1471" s="5" t="s">
        <v>68</v>
      </c>
      <c r="K1471" s="15">
        <v>41898.057222222225</v>
      </c>
      <c r="L1471" s="20">
        <f t="shared" si="66"/>
        <v>41898</v>
      </c>
      <c r="M1471" t="str">
        <f t="shared" si="67"/>
        <v>09-2014</v>
      </c>
      <c r="N1471">
        <f t="shared" si="68"/>
        <v>7.99</v>
      </c>
    </row>
    <row r="1472" spans="3:14" x14ac:dyDescent="0.25">
      <c r="C1472" t="str">
        <f>IF(COUNTBLANK(E1472:K1472) = 7,"",IF(AND(NOT(ISBLANK(E1472)),COUNTBLANK(E1472:K1472) = 6),"3 Delete",IF(ISBLANK(E1472),"2 Add",IF(SHA1Range(E1472:K1472) = "a6f6b820e37785e23708afb178b7cbe029075e18","0 Original","1 Modify"))))</f>
        <v>0 Original</v>
      </c>
      <c r="D1472" s="5" t="s">
        <v>4265</v>
      </c>
      <c r="E1472" s="3">
        <v>169</v>
      </c>
      <c r="F1472" t="s">
        <v>1411</v>
      </c>
      <c r="G1472" t="s">
        <v>596</v>
      </c>
      <c r="H1472" s="9">
        <v>7.99</v>
      </c>
      <c r="I1472" s="3">
        <v>1</v>
      </c>
      <c r="J1472" s="5" t="s">
        <v>68</v>
      </c>
      <c r="K1472" s="15">
        <v>41898.057222222225</v>
      </c>
      <c r="L1472" s="20">
        <f t="shared" si="66"/>
        <v>41898</v>
      </c>
      <c r="M1472" t="str">
        <f t="shared" si="67"/>
        <v>09-2014</v>
      </c>
      <c r="N1472">
        <f t="shared" si="68"/>
        <v>7.99</v>
      </c>
    </row>
    <row r="1473" spans="3:14" x14ac:dyDescent="0.25">
      <c r="C1473" t="str">
        <f>IF(COUNTBLANK(E1473:K1473) = 7,"",IF(AND(NOT(ISBLANK(E1473)),COUNTBLANK(E1473:K1473) = 6),"3 Delete",IF(ISBLANK(E1473),"2 Add",IF(SHA1Range(E1473:K1473) = "3a8e6a632a61879f7cc5e2453f38c64c0981c50e","0 Original","1 Modify"))))</f>
        <v>0 Original</v>
      </c>
      <c r="D1473" s="5" t="s">
        <v>3638</v>
      </c>
      <c r="E1473" s="3">
        <v>1441</v>
      </c>
      <c r="F1473" t="s">
        <v>1412</v>
      </c>
      <c r="G1473" t="s">
        <v>697</v>
      </c>
      <c r="H1473" s="9">
        <v>5.99</v>
      </c>
      <c r="I1473" s="3">
        <v>1</v>
      </c>
      <c r="J1473" s="5" t="s">
        <v>68</v>
      </c>
      <c r="K1473" s="15">
        <v>41899.358668981484</v>
      </c>
      <c r="L1473" s="20">
        <f t="shared" si="66"/>
        <v>41899</v>
      </c>
      <c r="M1473" t="str">
        <f t="shared" si="67"/>
        <v>09-2014</v>
      </c>
      <c r="N1473">
        <f t="shared" si="68"/>
        <v>5.99</v>
      </c>
    </row>
    <row r="1474" spans="3:14" x14ac:dyDescent="0.25">
      <c r="C1474" t="str">
        <f>IF(COUNTBLANK(E1474:K1474) = 7,"",IF(AND(NOT(ISBLANK(E1474)),COUNTBLANK(E1474:K1474) = 6),"3 Delete",IF(ISBLANK(E1474),"2 Add",IF(SHA1Range(E1474:K1474) = "bb748b668abffa2e0435f3e051187d1b67eb3e75","0 Original","1 Modify"))))</f>
        <v>0 Original</v>
      </c>
      <c r="D1474" s="5" t="s">
        <v>3639</v>
      </c>
      <c r="E1474" s="3">
        <v>1442</v>
      </c>
      <c r="F1474" t="s">
        <v>1412</v>
      </c>
      <c r="G1474" t="s">
        <v>671</v>
      </c>
      <c r="H1474" s="9">
        <v>6.99</v>
      </c>
      <c r="I1474" s="3">
        <v>2</v>
      </c>
      <c r="J1474" s="5" t="s">
        <v>68</v>
      </c>
      <c r="K1474" s="15">
        <v>41899.358668981484</v>
      </c>
      <c r="L1474" s="20">
        <f t="shared" si="66"/>
        <v>41899</v>
      </c>
      <c r="M1474" t="str">
        <f t="shared" si="67"/>
        <v>09-2014</v>
      </c>
      <c r="N1474">
        <f t="shared" si="68"/>
        <v>13.98</v>
      </c>
    </row>
    <row r="1475" spans="3:14" x14ac:dyDescent="0.25">
      <c r="C1475" t="str">
        <f>IF(COUNTBLANK(E1475:K1475) = 7,"",IF(AND(NOT(ISBLANK(E1475)),COUNTBLANK(E1475:K1475) = 6),"3 Delete",IF(ISBLANK(E1475),"2 Add",IF(SHA1Range(E1475:K1475) = "f7a865ff3a28234e12fabc32b4d884ebc82d7ed5","0 Original","1 Modify"))))</f>
        <v>0 Original</v>
      </c>
      <c r="D1475" s="5" t="s">
        <v>3640</v>
      </c>
      <c r="E1475" s="3">
        <v>1443</v>
      </c>
      <c r="F1475" t="s">
        <v>1412</v>
      </c>
      <c r="G1475" t="s">
        <v>396</v>
      </c>
      <c r="H1475" s="9">
        <v>8.99</v>
      </c>
      <c r="I1475" s="3">
        <v>1</v>
      </c>
      <c r="J1475" s="5" t="s">
        <v>68</v>
      </c>
      <c r="K1475" s="15">
        <v>41899.358668981484</v>
      </c>
      <c r="L1475" s="20">
        <f t="shared" ref="L1475:L1538" si="69">DATEVALUE(LEFT(F1475,10))</f>
        <v>41899</v>
      </c>
      <c r="M1475" t="str">
        <f t="shared" ref="M1475:M1538" si="70">TEXT(L1475,"mm-yyyy")</f>
        <v>09-2014</v>
      </c>
      <c r="N1475">
        <f t="shared" ref="N1475:N1538" si="71">H1475*I1475</f>
        <v>8.99</v>
      </c>
    </row>
    <row r="1476" spans="3:14" x14ac:dyDescent="0.25">
      <c r="C1476" t="str">
        <f>IF(COUNTBLANK(E1476:K1476) = 7,"",IF(AND(NOT(ISBLANK(E1476)),COUNTBLANK(E1476:K1476) = 6),"3 Delete",IF(ISBLANK(E1476),"2 Add",IF(SHA1Range(E1476:K1476) = "55ae90fe0c5d9643dcfa0a2b5d816e81906f2087","0 Original","1 Modify"))))</f>
        <v>0 Original</v>
      </c>
      <c r="D1476" s="5" t="s">
        <v>3641</v>
      </c>
      <c r="E1476" s="3">
        <v>1444</v>
      </c>
      <c r="F1476" t="s">
        <v>1412</v>
      </c>
      <c r="G1476" t="s">
        <v>842</v>
      </c>
      <c r="H1476" s="9">
        <v>4.99</v>
      </c>
      <c r="I1476" s="3">
        <v>1</v>
      </c>
      <c r="J1476" s="5" t="s">
        <v>68</v>
      </c>
      <c r="K1476" s="15">
        <v>41899.358668981484</v>
      </c>
      <c r="L1476" s="20">
        <f t="shared" si="69"/>
        <v>41899</v>
      </c>
      <c r="M1476" t="str">
        <f t="shared" si="70"/>
        <v>09-2014</v>
      </c>
      <c r="N1476">
        <f t="shared" si="71"/>
        <v>4.99</v>
      </c>
    </row>
    <row r="1477" spans="3:14" x14ac:dyDescent="0.25">
      <c r="C1477" t="str">
        <f>IF(COUNTBLANK(E1477:K1477) = 7,"",IF(AND(NOT(ISBLANK(E1477)),COUNTBLANK(E1477:K1477) = 6),"3 Delete",IF(ISBLANK(E1477),"2 Add",IF(SHA1Range(E1477:K1477) = "7874ad33de992de24597abfc62f28a8fbdb0c63c","0 Original","1 Modify"))))</f>
        <v>0 Original</v>
      </c>
      <c r="D1477" s="5" t="s">
        <v>3642</v>
      </c>
      <c r="E1477" s="3">
        <v>1043</v>
      </c>
      <c r="F1477" t="s">
        <v>1413</v>
      </c>
      <c r="G1477" t="s">
        <v>792</v>
      </c>
      <c r="H1477" s="9">
        <v>9.99</v>
      </c>
      <c r="I1477" s="3">
        <v>2</v>
      </c>
      <c r="J1477" s="5" t="s">
        <v>68</v>
      </c>
      <c r="K1477" s="15">
        <v>41899.915312500001</v>
      </c>
      <c r="L1477" s="20">
        <f t="shared" si="69"/>
        <v>41899</v>
      </c>
      <c r="M1477" t="str">
        <f t="shared" si="70"/>
        <v>09-2014</v>
      </c>
      <c r="N1477">
        <f t="shared" si="71"/>
        <v>19.98</v>
      </c>
    </row>
    <row r="1478" spans="3:14" x14ac:dyDescent="0.25">
      <c r="C1478" t="str">
        <f>IF(COUNTBLANK(E1478:K1478) = 7,"",IF(AND(NOT(ISBLANK(E1478)),COUNTBLANK(E1478:K1478) = 6),"3 Delete",IF(ISBLANK(E1478),"2 Add",IF(SHA1Range(E1478:K1478) = "e62d358bc9ec0edaecacf9cc06119fb7c2f6c98f","0 Original","1 Modify"))))</f>
        <v>0 Original</v>
      </c>
      <c r="D1478" s="5" t="s">
        <v>3643</v>
      </c>
      <c r="E1478" s="3">
        <v>1044</v>
      </c>
      <c r="F1478" t="s">
        <v>1413</v>
      </c>
      <c r="G1478" t="s">
        <v>528</v>
      </c>
      <c r="H1478" s="9">
        <v>5.99</v>
      </c>
      <c r="I1478" s="3">
        <v>1</v>
      </c>
      <c r="J1478" s="5" t="s">
        <v>68</v>
      </c>
      <c r="K1478" s="15">
        <v>41899.915312500001</v>
      </c>
      <c r="L1478" s="20">
        <f t="shared" si="69"/>
        <v>41899</v>
      </c>
      <c r="M1478" t="str">
        <f t="shared" si="70"/>
        <v>09-2014</v>
      </c>
      <c r="N1478">
        <f t="shared" si="71"/>
        <v>5.99</v>
      </c>
    </row>
    <row r="1479" spans="3:14" x14ac:dyDescent="0.25">
      <c r="C1479" t="str">
        <f>IF(COUNTBLANK(E1479:K1479) = 7,"",IF(AND(NOT(ISBLANK(E1479)),COUNTBLANK(E1479:K1479) = 6),"3 Delete",IF(ISBLANK(E1479),"2 Add",IF(SHA1Range(E1479:K1479) = "7c0270b15b96bdb76e79aa5717e147bd91f73167","0 Original","1 Modify"))))</f>
        <v>0 Original</v>
      </c>
      <c r="D1479" s="5" t="s">
        <v>3644</v>
      </c>
      <c r="E1479" s="3">
        <v>1045</v>
      </c>
      <c r="F1479" t="s">
        <v>1413</v>
      </c>
      <c r="G1479" t="s">
        <v>945</v>
      </c>
      <c r="H1479" s="9">
        <v>4.99</v>
      </c>
      <c r="I1479" s="3">
        <v>1</v>
      </c>
      <c r="J1479" s="5" t="s">
        <v>68</v>
      </c>
      <c r="K1479" s="15">
        <v>41899.915312500001</v>
      </c>
      <c r="L1479" s="20">
        <f t="shared" si="69"/>
        <v>41899</v>
      </c>
      <c r="M1479" t="str">
        <f t="shared" si="70"/>
        <v>09-2014</v>
      </c>
      <c r="N1479">
        <f t="shared" si="71"/>
        <v>4.99</v>
      </c>
    </row>
    <row r="1480" spans="3:14" x14ac:dyDescent="0.25">
      <c r="C1480" t="str">
        <f>IF(COUNTBLANK(E1480:K1480) = 7,"",IF(AND(NOT(ISBLANK(E1480)),COUNTBLANK(E1480:K1480) = 6),"3 Delete",IF(ISBLANK(E1480),"2 Add",IF(SHA1Range(E1480:K1480) = "0a9b6aeb248f13f2df5df951f136ff636f44ce4e","0 Original","1 Modify"))))</f>
        <v>0 Original</v>
      </c>
      <c r="D1480" s="5" t="s">
        <v>3645</v>
      </c>
      <c r="E1480" s="3">
        <v>1348</v>
      </c>
      <c r="F1480" t="s">
        <v>1414</v>
      </c>
      <c r="G1480" t="s">
        <v>563</v>
      </c>
      <c r="H1480" s="9">
        <v>6.99</v>
      </c>
      <c r="I1480" s="3">
        <v>1</v>
      </c>
      <c r="J1480" s="5" t="s">
        <v>68</v>
      </c>
      <c r="K1480" s="15">
        <v>41900.034537037034</v>
      </c>
      <c r="L1480" s="20">
        <f t="shared" si="69"/>
        <v>41900</v>
      </c>
      <c r="M1480" t="str">
        <f t="shared" si="70"/>
        <v>09-2014</v>
      </c>
      <c r="N1480">
        <f t="shared" si="71"/>
        <v>6.99</v>
      </c>
    </row>
    <row r="1481" spans="3:14" x14ac:dyDescent="0.25">
      <c r="C1481" t="str">
        <f>IF(COUNTBLANK(E1481:K1481) = 7,"",IF(AND(NOT(ISBLANK(E1481)),COUNTBLANK(E1481:K1481) = 6),"3 Delete",IF(ISBLANK(E1481),"2 Add",IF(SHA1Range(E1481:K1481) = "c051de38125c2198abe1e4ab937f320dc524142e","0 Original","1 Modify"))))</f>
        <v>0 Original</v>
      </c>
      <c r="D1481" s="5" t="s">
        <v>3646</v>
      </c>
      <c r="E1481" s="3">
        <v>1349</v>
      </c>
      <c r="F1481" t="s">
        <v>1414</v>
      </c>
      <c r="G1481" t="s">
        <v>912</v>
      </c>
      <c r="H1481" s="9">
        <v>6.99</v>
      </c>
      <c r="I1481" s="3">
        <v>2</v>
      </c>
      <c r="J1481" s="5" t="s">
        <v>68</v>
      </c>
      <c r="K1481" s="15">
        <v>41900.034537037034</v>
      </c>
      <c r="L1481" s="20">
        <f t="shared" si="69"/>
        <v>41900</v>
      </c>
      <c r="M1481" t="str">
        <f t="shared" si="70"/>
        <v>09-2014</v>
      </c>
      <c r="N1481">
        <f t="shared" si="71"/>
        <v>13.98</v>
      </c>
    </row>
    <row r="1482" spans="3:14" x14ac:dyDescent="0.25">
      <c r="C1482" t="str">
        <f>IF(COUNTBLANK(E1482:K1482) = 7,"",IF(AND(NOT(ISBLANK(E1482)),COUNTBLANK(E1482:K1482) = 6),"3 Delete",IF(ISBLANK(E1482),"2 Add",IF(SHA1Range(E1482:K1482) = "a9f1e04bd3bd3a511099b246f3de67b9008d116a","0 Original","1 Modify"))))</f>
        <v>0 Original</v>
      </c>
      <c r="D1482" s="5" t="s">
        <v>4266</v>
      </c>
      <c r="E1482" s="3">
        <v>364</v>
      </c>
      <c r="F1482" t="s">
        <v>1415</v>
      </c>
      <c r="G1482" t="s">
        <v>823</v>
      </c>
      <c r="H1482" s="9">
        <v>5.99</v>
      </c>
      <c r="I1482" s="3">
        <v>2</v>
      </c>
      <c r="J1482" s="5" t="s">
        <v>68</v>
      </c>
      <c r="K1482" s="15">
        <v>41900.154745370368</v>
      </c>
      <c r="L1482" s="20">
        <f t="shared" si="69"/>
        <v>41900</v>
      </c>
      <c r="M1482" t="str">
        <f t="shared" si="70"/>
        <v>09-2014</v>
      </c>
      <c r="N1482">
        <f t="shared" si="71"/>
        <v>11.98</v>
      </c>
    </row>
    <row r="1483" spans="3:14" x14ac:dyDescent="0.25">
      <c r="C1483" t="str">
        <f>IF(COUNTBLANK(E1483:K1483) = 7,"",IF(AND(NOT(ISBLANK(E1483)),COUNTBLANK(E1483:K1483) = 6),"3 Delete",IF(ISBLANK(E1483),"2 Add",IF(SHA1Range(E1483:K1483) = "e5f1b41bbf9eb81add605de8889bfec80332c5a9","0 Original","1 Modify"))))</f>
        <v>0 Original</v>
      </c>
      <c r="D1483" s="5" t="s">
        <v>3647</v>
      </c>
      <c r="E1483" s="3">
        <v>1386</v>
      </c>
      <c r="F1483" t="s">
        <v>1416</v>
      </c>
      <c r="G1483" t="s">
        <v>693</v>
      </c>
      <c r="H1483" s="9">
        <v>7.99</v>
      </c>
      <c r="I1483" s="3">
        <v>2</v>
      </c>
      <c r="J1483" s="5" t="s">
        <v>68</v>
      </c>
      <c r="K1483" s="15">
        <v>41900.383229166669</v>
      </c>
      <c r="L1483" s="20">
        <f t="shared" si="69"/>
        <v>41900</v>
      </c>
      <c r="M1483" t="str">
        <f t="shared" si="70"/>
        <v>09-2014</v>
      </c>
      <c r="N1483">
        <f t="shared" si="71"/>
        <v>15.98</v>
      </c>
    </row>
    <row r="1484" spans="3:14" x14ac:dyDescent="0.25">
      <c r="C1484" t="str">
        <f>IF(COUNTBLANK(E1484:K1484) = 7,"",IF(AND(NOT(ISBLANK(E1484)),COUNTBLANK(E1484:K1484) = 6),"3 Delete",IF(ISBLANK(E1484),"2 Add",IF(SHA1Range(E1484:K1484) = "861edb5e43bd7fd2dbf657e9e3f1d2cfa725a523","0 Original","1 Modify"))))</f>
        <v>0 Original</v>
      </c>
      <c r="D1484" s="5" t="s">
        <v>3648</v>
      </c>
      <c r="E1484" s="3">
        <v>1387</v>
      </c>
      <c r="F1484" t="s">
        <v>1416</v>
      </c>
      <c r="G1484" t="s">
        <v>528</v>
      </c>
      <c r="H1484" s="9">
        <v>5.99</v>
      </c>
      <c r="I1484" s="3">
        <v>1</v>
      </c>
      <c r="J1484" s="5" t="s">
        <v>68</v>
      </c>
      <c r="K1484" s="15">
        <v>41900.383229166669</v>
      </c>
      <c r="L1484" s="20">
        <f t="shared" si="69"/>
        <v>41900</v>
      </c>
      <c r="M1484" t="str">
        <f t="shared" si="70"/>
        <v>09-2014</v>
      </c>
      <c r="N1484">
        <f t="shared" si="71"/>
        <v>5.99</v>
      </c>
    </row>
    <row r="1485" spans="3:14" x14ac:dyDescent="0.25">
      <c r="C1485" t="str">
        <f>IF(COUNTBLANK(E1485:K1485) = 7,"",IF(AND(NOT(ISBLANK(E1485)),COUNTBLANK(E1485:K1485) = 6),"3 Delete",IF(ISBLANK(E1485),"2 Add",IF(SHA1Range(E1485:K1485) = "c387513c19198525f3bb01955e3cd5977a537953","0 Original","1 Modify"))))</f>
        <v>0 Original</v>
      </c>
      <c r="D1485" s="5" t="s">
        <v>4267</v>
      </c>
      <c r="E1485" s="3">
        <v>251</v>
      </c>
      <c r="F1485" t="s">
        <v>1417</v>
      </c>
      <c r="G1485" t="s">
        <v>764</v>
      </c>
      <c r="H1485" s="9">
        <v>9.99</v>
      </c>
      <c r="I1485" s="3">
        <v>1</v>
      </c>
      <c r="J1485" s="5" t="s">
        <v>68</v>
      </c>
      <c r="K1485" s="15">
        <v>41903.27144675926</v>
      </c>
      <c r="L1485" s="20">
        <f t="shared" si="69"/>
        <v>41903</v>
      </c>
      <c r="M1485" t="str">
        <f t="shared" si="70"/>
        <v>09-2014</v>
      </c>
      <c r="N1485">
        <f t="shared" si="71"/>
        <v>9.99</v>
      </c>
    </row>
    <row r="1486" spans="3:14" x14ac:dyDescent="0.25">
      <c r="C1486" t="str">
        <f>IF(COUNTBLANK(E1486:K1486) = 7,"",IF(AND(NOT(ISBLANK(E1486)),COUNTBLANK(E1486:K1486) = 6),"3 Delete",IF(ISBLANK(E1486),"2 Add",IF(SHA1Range(E1486:K1486) = "1c0ce93c7efa10ec0775c3e7a54711ca6a6db4ea","0 Original","1 Modify"))))</f>
        <v>0 Original</v>
      </c>
      <c r="D1486" s="5" t="s">
        <v>3649</v>
      </c>
      <c r="E1486" s="3">
        <v>1232</v>
      </c>
      <c r="F1486" t="s">
        <v>1418</v>
      </c>
      <c r="G1486" t="s">
        <v>570</v>
      </c>
      <c r="H1486" s="9">
        <v>6.99</v>
      </c>
      <c r="I1486" s="3">
        <v>2</v>
      </c>
      <c r="J1486" s="5" t="s">
        <v>68</v>
      </c>
      <c r="K1486" s="15">
        <v>41903.926828703705</v>
      </c>
      <c r="L1486" s="20">
        <f t="shared" si="69"/>
        <v>41903</v>
      </c>
      <c r="M1486" t="str">
        <f t="shared" si="70"/>
        <v>09-2014</v>
      </c>
      <c r="N1486">
        <f t="shared" si="71"/>
        <v>13.98</v>
      </c>
    </row>
    <row r="1487" spans="3:14" x14ac:dyDescent="0.25">
      <c r="C1487" t="str">
        <f>IF(COUNTBLANK(E1487:K1487) = 7,"",IF(AND(NOT(ISBLANK(E1487)),COUNTBLANK(E1487:K1487) = 6),"3 Delete",IF(ISBLANK(E1487),"2 Add",IF(SHA1Range(E1487:K1487) = "ca80e85bac49373f3561e1b66bee573e2595fef3","0 Original","1 Modify"))))</f>
        <v>0 Original</v>
      </c>
      <c r="D1487" s="5" t="s">
        <v>3650</v>
      </c>
      <c r="E1487" s="3">
        <v>1233</v>
      </c>
      <c r="F1487" t="s">
        <v>1418</v>
      </c>
      <c r="G1487" t="s">
        <v>912</v>
      </c>
      <c r="H1487" s="9">
        <v>6.99</v>
      </c>
      <c r="I1487" s="3">
        <v>2</v>
      </c>
      <c r="J1487" s="5" t="s">
        <v>68</v>
      </c>
      <c r="K1487" s="15">
        <v>41903.926828703705</v>
      </c>
      <c r="L1487" s="20">
        <f t="shared" si="69"/>
        <v>41903</v>
      </c>
      <c r="M1487" t="str">
        <f t="shared" si="70"/>
        <v>09-2014</v>
      </c>
      <c r="N1487">
        <f t="shared" si="71"/>
        <v>13.98</v>
      </c>
    </row>
    <row r="1488" spans="3:14" x14ac:dyDescent="0.25">
      <c r="C1488" t="str">
        <f>IF(COUNTBLANK(E1488:K1488) = 7,"",IF(AND(NOT(ISBLANK(E1488)),COUNTBLANK(E1488:K1488) = 6),"3 Delete",IF(ISBLANK(E1488),"2 Add",IF(SHA1Range(E1488:K1488) = "3d5bce6774f78e5c2f720f54027bb5838b2f464a","0 Original","1 Modify"))))</f>
        <v>0 Original</v>
      </c>
      <c r="D1488" s="5" t="s">
        <v>3651</v>
      </c>
      <c r="E1488" s="3">
        <v>1234</v>
      </c>
      <c r="F1488" t="s">
        <v>1418</v>
      </c>
      <c r="G1488" t="s">
        <v>570</v>
      </c>
      <c r="H1488" s="9">
        <v>6.99</v>
      </c>
      <c r="I1488" s="3">
        <v>1</v>
      </c>
      <c r="J1488" s="5" t="s">
        <v>68</v>
      </c>
      <c r="K1488" s="15">
        <v>41903.926828703705</v>
      </c>
      <c r="L1488" s="20">
        <f t="shared" si="69"/>
        <v>41903</v>
      </c>
      <c r="M1488" t="str">
        <f t="shared" si="70"/>
        <v>09-2014</v>
      </c>
      <c r="N1488">
        <f t="shared" si="71"/>
        <v>6.99</v>
      </c>
    </row>
    <row r="1489" spans="3:14" x14ac:dyDescent="0.25">
      <c r="C1489" t="str">
        <f>IF(COUNTBLANK(E1489:K1489) = 7,"",IF(AND(NOT(ISBLANK(E1489)),COUNTBLANK(E1489:K1489) = 6),"3 Delete",IF(ISBLANK(E1489),"2 Add",IF(SHA1Range(E1489:K1489) = "a0c91542578ba37b517d2af3ce6754cb5706796a","0 Original","1 Modify"))))</f>
        <v>0 Original</v>
      </c>
      <c r="D1489" s="5" t="s">
        <v>3652</v>
      </c>
      <c r="E1489" s="3">
        <v>1235</v>
      </c>
      <c r="F1489" t="s">
        <v>1418</v>
      </c>
      <c r="G1489" t="s">
        <v>739</v>
      </c>
      <c r="H1489" s="9">
        <v>8.99</v>
      </c>
      <c r="I1489" s="3">
        <v>1</v>
      </c>
      <c r="J1489" s="5" t="s">
        <v>68</v>
      </c>
      <c r="K1489" s="15">
        <v>41903.926828703705</v>
      </c>
      <c r="L1489" s="20">
        <f t="shared" si="69"/>
        <v>41903</v>
      </c>
      <c r="M1489" t="str">
        <f t="shared" si="70"/>
        <v>09-2014</v>
      </c>
      <c r="N1489">
        <f t="shared" si="71"/>
        <v>8.99</v>
      </c>
    </row>
    <row r="1490" spans="3:14" x14ac:dyDescent="0.25">
      <c r="C1490" t="str">
        <f>IF(COUNTBLANK(E1490:K1490) = 7,"",IF(AND(NOT(ISBLANK(E1490)),COUNTBLANK(E1490:K1490) = 6),"3 Delete",IF(ISBLANK(E1490),"2 Add",IF(SHA1Range(E1490:K1490) = "5b1a7b623584fe75b263aafa5fc0019790f52c4d","0 Original","1 Modify"))))</f>
        <v>0 Original</v>
      </c>
      <c r="D1490" s="5" t="s">
        <v>3653</v>
      </c>
      <c r="E1490" s="3">
        <v>3271</v>
      </c>
      <c r="F1490" t="s">
        <v>1419</v>
      </c>
      <c r="G1490" t="s">
        <v>687</v>
      </c>
      <c r="H1490" s="9">
        <v>9.99</v>
      </c>
      <c r="I1490" s="3">
        <v>1</v>
      </c>
      <c r="J1490" s="5" t="s">
        <v>68</v>
      </c>
      <c r="K1490" s="15">
        <v>41904.82203703704</v>
      </c>
      <c r="L1490" s="20">
        <f t="shared" si="69"/>
        <v>41904</v>
      </c>
      <c r="M1490" t="str">
        <f t="shared" si="70"/>
        <v>09-2014</v>
      </c>
      <c r="N1490">
        <f t="shared" si="71"/>
        <v>9.99</v>
      </c>
    </row>
    <row r="1491" spans="3:14" x14ac:dyDescent="0.25">
      <c r="C1491" t="str">
        <f>IF(COUNTBLANK(E1491:K1491) = 7,"",IF(AND(NOT(ISBLANK(E1491)),COUNTBLANK(E1491:K1491) = 6),"3 Delete",IF(ISBLANK(E1491),"2 Add",IF(SHA1Range(E1491:K1491) = "2340f82dd6ba660cea95f99ce0c79b0087b0ec71","0 Original","1 Modify"))))</f>
        <v>0 Original</v>
      </c>
      <c r="D1491" s="5" t="s">
        <v>3654</v>
      </c>
      <c r="E1491" s="3">
        <v>3272</v>
      </c>
      <c r="F1491" t="s">
        <v>1419</v>
      </c>
      <c r="G1491" t="s">
        <v>373</v>
      </c>
      <c r="H1491" s="9">
        <v>7.99</v>
      </c>
      <c r="I1491" s="3">
        <v>1</v>
      </c>
      <c r="J1491" s="5" t="s">
        <v>68</v>
      </c>
      <c r="K1491" s="15">
        <v>41904.82203703704</v>
      </c>
      <c r="L1491" s="20">
        <f t="shared" si="69"/>
        <v>41904</v>
      </c>
      <c r="M1491" t="str">
        <f t="shared" si="70"/>
        <v>09-2014</v>
      </c>
      <c r="N1491">
        <f t="shared" si="71"/>
        <v>7.99</v>
      </c>
    </row>
    <row r="1492" spans="3:14" x14ac:dyDescent="0.25">
      <c r="C1492" t="str">
        <f>IF(COUNTBLANK(E1492:K1492) = 7,"",IF(AND(NOT(ISBLANK(E1492)),COUNTBLANK(E1492:K1492) = 6),"3 Delete",IF(ISBLANK(E1492),"2 Add",IF(SHA1Range(E1492:K1492) = "f56eb6edb6d7888415d9b883aa117453e9802f71","0 Original","1 Modify"))))</f>
        <v>0 Original</v>
      </c>
      <c r="D1492" s="5" t="s">
        <v>3655</v>
      </c>
      <c r="E1492" s="3">
        <v>3273</v>
      </c>
      <c r="F1492" t="s">
        <v>1419</v>
      </c>
      <c r="G1492" t="s">
        <v>514</v>
      </c>
      <c r="H1492" s="9">
        <v>6.99</v>
      </c>
      <c r="I1492" s="3">
        <v>1</v>
      </c>
      <c r="J1492" s="5" t="s">
        <v>68</v>
      </c>
      <c r="K1492" s="15">
        <v>41904.82203703704</v>
      </c>
      <c r="L1492" s="20">
        <f t="shared" si="69"/>
        <v>41904</v>
      </c>
      <c r="M1492" t="str">
        <f t="shared" si="70"/>
        <v>09-2014</v>
      </c>
      <c r="N1492">
        <f t="shared" si="71"/>
        <v>6.99</v>
      </c>
    </row>
    <row r="1493" spans="3:14" x14ac:dyDescent="0.25">
      <c r="C1493" t="str">
        <f>IF(COUNTBLANK(E1493:K1493) = 7,"",IF(AND(NOT(ISBLANK(E1493)),COUNTBLANK(E1493:K1493) = 6),"3 Delete",IF(ISBLANK(E1493),"2 Add",IF(SHA1Range(E1493:K1493) = "2c3eaf569c7900435e6ba2f8b9936d8369db9427","0 Original","1 Modify"))))</f>
        <v>0 Original</v>
      </c>
      <c r="D1493" s="5" t="s">
        <v>3656</v>
      </c>
      <c r="E1493" s="3">
        <v>1606</v>
      </c>
      <c r="F1493" t="s">
        <v>1420</v>
      </c>
      <c r="G1493" t="s">
        <v>642</v>
      </c>
      <c r="H1493" s="9">
        <v>9.99</v>
      </c>
      <c r="I1493" s="3">
        <v>1</v>
      </c>
      <c r="J1493" s="5" t="s">
        <v>68</v>
      </c>
      <c r="K1493" s="15">
        <v>41905.105358796296</v>
      </c>
      <c r="L1493" s="20">
        <f t="shared" si="69"/>
        <v>41905</v>
      </c>
      <c r="M1493" t="str">
        <f t="shared" si="70"/>
        <v>09-2014</v>
      </c>
      <c r="N1493">
        <f t="shared" si="71"/>
        <v>9.99</v>
      </c>
    </row>
    <row r="1494" spans="3:14" x14ac:dyDescent="0.25">
      <c r="C1494" t="str">
        <f>IF(COUNTBLANK(E1494:K1494) = 7,"",IF(AND(NOT(ISBLANK(E1494)),COUNTBLANK(E1494:K1494) = 6),"3 Delete",IF(ISBLANK(E1494),"2 Add",IF(SHA1Range(E1494:K1494) = "8f56e0c81ad0af42171d4fbe0c265f7c6bb183ae","0 Original","1 Modify"))))</f>
        <v>0 Original</v>
      </c>
      <c r="D1494" s="5" t="s">
        <v>3657</v>
      </c>
      <c r="E1494" s="3">
        <v>1607</v>
      </c>
      <c r="F1494" t="s">
        <v>1420</v>
      </c>
      <c r="G1494" t="s">
        <v>503</v>
      </c>
      <c r="H1494" s="9">
        <v>9.99</v>
      </c>
      <c r="I1494" s="3">
        <v>1</v>
      </c>
      <c r="J1494" s="5" t="s">
        <v>68</v>
      </c>
      <c r="K1494" s="15">
        <v>41905.105358796296</v>
      </c>
      <c r="L1494" s="20">
        <f t="shared" si="69"/>
        <v>41905</v>
      </c>
      <c r="M1494" t="str">
        <f t="shared" si="70"/>
        <v>09-2014</v>
      </c>
      <c r="N1494">
        <f t="shared" si="71"/>
        <v>9.99</v>
      </c>
    </row>
    <row r="1495" spans="3:14" x14ac:dyDescent="0.25">
      <c r="C1495" t="str">
        <f>IF(COUNTBLANK(E1495:K1495) = 7,"",IF(AND(NOT(ISBLANK(E1495)),COUNTBLANK(E1495:K1495) = 6),"3 Delete",IF(ISBLANK(E1495),"2 Add",IF(SHA1Range(E1495:K1495) = "ffca54692ac07ec23a3aed21dde9f6421adfcf9e","0 Original","1 Modify"))))</f>
        <v>0 Original</v>
      </c>
      <c r="D1495" s="5" t="s">
        <v>3658</v>
      </c>
      <c r="E1495" s="3">
        <v>1608</v>
      </c>
      <c r="F1495" t="s">
        <v>1420</v>
      </c>
      <c r="G1495" t="s">
        <v>761</v>
      </c>
      <c r="H1495" s="9">
        <v>8.99</v>
      </c>
      <c r="I1495" s="3">
        <v>2</v>
      </c>
      <c r="J1495" s="5" t="s">
        <v>68</v>
      </c>
      <c r="K1495" s="15">
        <v>41905.105358796296</v>
      </c>
      <c r="L1495" s="20">
        <f t="shared" si="69"/>
        <v>41905</v>
      </c>
      <c r="M1495" t="str">
        <f t="shared" si="70"/>
        <v>09-2014</v>
      </c>
      <c r="N1495">
        <f t="shared" si="71"/>
        <v>17.98</v>
      </c>
    </row>
    <row r="1496" spans="3:14" x14ac:dyDescent="0.25">
      <c r="C1496" t="str">
        <f>IF(COUNTBLANK(E1496:K1496) = 7,"",IF(AND(NOT(ISBLANK(E1496)),COUNTBLANK(E1496:K1496) = 6),"3 Delete",IF(ISBLANK(E1496),"2 Add",IF(SHA1Range(E1496:K1496) = "79aaf5a968c19c70ef3cb8378cf659ce14ee9110","0 Original","1 Modify"))))</f>
        <v>0 Original</v>
      </c>
      <c r="D1496" s="5" t="s">
        <v>3659</v>
      </c>
      <c r="E1496" s="3">
        <v>1609</v>
      </c>
      <c r="F1496" t="s">
        <v>1420</v>
      </c>
      <c r="G1496" t="s">
        <v>373</v>
      </c>
      <c r="H1496" s="9">
        <v>7.99</v>
      </c>
      <c r="I1496" s="3">
        <v>1</v>
      </c>
      <c r="J1496" s="5" t="s">
        <v>68</v>
      </c>
      <c r="K1496" s="15">
        <v>41905.105358796296</v>
      </c>
      <c r="L1496" s="20">
        <f t="shared" si="69"/>
        <v>41905</v>
      </c>
      <c r="M1496" t="str">
        <f t="shared" si="70"/>
        <v>09-2014</v>
      </c>
      <c r="N1496">
        <f t="shared" si="71"/>
        <v>7.99</v>
      </c>
    </row>
    <row r="1497" spans="3:14" x14ac:dyDescent="0.25">
      <c r="C1497" t="str">
        <f>IF(COUNTBLANK(E1497:K1497) = 7,"",IF(AND(NOT(ISBLANK(E1497)),COUNTBLANK(E1497:K1497) = 6),"3 Delete",IF(ISBLANK(E1497),"2 Add",IF(SHA1Range(E1497:K1497) = "120af3ca0aae9a1abe07138b24cd18c3b05d384f","0 Original","1 Modify"))))</f>
        <v>0 Original</v>
      </c>
      <c r="D1497" s="5" t="s">
        <v>4268</v>
      </c>
      <c r="E1497" s="3">
        <v>427</v>
      </c>
      <c r="F1497" t="s">
        <v>1421</v>
      </c>
      <c r="G1497" t="s">
        <v>464</v>
      </c>
      <c r="H1497" s="9">
        <v>8.99</v>
      </c>
      <c r="I1497" s="3">
        <v>1</v>
      </c>
      <c r="J1497" s="5" t="s">
        <v>68</v>
      </c>
      <c r="K1497" s="15">
        <v>41905.535543981481</v>
      </c>
      <c r="L1497" s="20">
        <f t="shared" si="69"/>
        <v>41905</v>
      </c>
      <c r="M1497" t="str">
        <f t="shared" si="70"/>
        <v>09-2014</v>
      </c>
      <c r="N1497">
        <f t="shared" si="71"/>
        <v>8.99</v>
      </c>
    </row>
    <row r="1498" spans="3:14" x14ac:dyDescent="0.25">
      <c r="C1498" t="str">
        <f>IF(COUNTBLANK(E1498:K1498) = 7,"",IF(AND(NOT(ISBLANK(E1498)),COUNTBLANK(E1498:K1498) = 6),"3 Delete",IF(ISBLANK(E1498),"2 Add",IF(SHA1Range(E1498:K1498) = "b4d590cb5a1eef197ea11cc2ff4a28ed00c6c767","0 Original","1 Modify"))))</f>
        <v>0 Original</v>
      </c>
      <c r="D1498" s="5" t="s">
        <v>4269</v>
      </c>
      <c r="E1498" s="3">
        <v>428</v>
      </c>
      <c r="F1498" t="s">
        <v>1421</v>
      </c>
      <c r="G1498" t="s">
        <v>543</v>
      </c>
      <c r="H1498" s="9">
        <v>4.99</v>
      </c>
      <c r="I1498" s="3">
        <v>1</v>
      </c>
      <c r="J1498" s="5" t="s">
        <v>68</v>
      </c>
      <c r="K1498" s="15">
        <v>41905.535543981481</v>
      </c>
      <c r="L1498" s="20">
        <f t="shared" si="69"/>
        <v>41905</v>
      </c>
      <c r="M1498" t="str">
        <f t="shared" si="70"/>
        <v>09-2014</v>
      </c>
      <c r="N1498">
        <f t="shared" si="71"/>
        <v>4.99</v>
      </c>
    </row>
    <row r="1499" spans="3:14" x14ac:dyDescent="0.25">
      <c r="C1499" t="str">
        <f>IF(COUNTBLANK(E1499:K1499) = 7,"",IF(AND(NOT(ISBLANK(E1499)),COUNTBLANK(E1499:K1499) = 6),"3 Delete",IF(ISBLANK(E1499),"2 Add",IF(SHA1Range(E1499:K1499) = "0ccd63214b55d7e6515d446e4b04972aeba25a29","0 Original","1 Modify"))))</f>
        <v>0 Original</v>
      </c>
      <c r="D1499" s="5" t="s">
        <v>4270</v>
      </c>
      <c r="E1499" s="3">
        <v>429</v>
      </c>
      <c r="F1499" t="s">
        <v>1421</v>
      </c>
      <c r="G1499" t="s">
        <v>661</v>
      </c>
      <c r="H1499" s="9">
        <v>8.99</v>
      </c>
      <c r="I1499" s="3">
        <v>1</v>
      </c>
      <c r="J1499" s="5" t="s">
        <v>68</v>
      </c>
      <c r="K1499" s="15">
        <v>41905.535543981481</v>
      </c>
      <c r="L1499" s="20">
        <f t="shared" si="69"/>
        <v>41905</v>
      </c>
      <c r="M1499" t="str">
        <f t="shared" si="70"/>
        <v>09-2014</v>
      </c>
      <c r="N1499">
        <f t="shared" si="71"/>
        <v>8.99</v>
      </c>
    </row>
    <row r="1500" spans="3:14" x14ac:dyDescent="0.25">
      <c r="C1500" t="str">
        <f>IF(COUNTBLANK(E1500:K1500) = 7,"",IF(AND(NOT(ISBLANK(E1500)),COUNTBLANK(E1500:K1500) = 6),"3 Delete",IF(ISBLANK(E1500),"2 Add",IF(SHA1Range(E1500:K1500) = "55c4523424bd84058548d623aa8e92e33b84ccfc","0 Original","1 Modify"))))</f>
        <v>0 Original</v>
      </c>
      <c r="D1500" s="5" t="s">
        <v>4271</v>
      </c>
      <c r="E1500" s="3">
        <v>430</v>
      </c>
      <c r="F1500" t="s">
        <v>1421</v>
      </c>
      <c r="G1500" t="s">
        <v>891</v>
      </c>
      <c r="H1500" s="9">
        <v>8.99</v>
      </c>
      <c r="I1500" s="3">
        <v>2</v>
      </c>
      <c r="J1500" s="5" t="s">
        <v>68</v>
      </c>
      <c r="K1500" s="15">
        <v>41905.535543981481</v>
      </c>
      <c r="L1500" s="20">
        <f t="shared" si="69"/>
        <v>41905</v>
      </c>
      <c r="M1500" t="str">
        <f t="shared" si="70"/>
        <v>09-2014</v>
      </c>
      <c r="N1500">
        <f t="shared" si="71"/>
        <v>17.98</v>
      </c>
    </row>
    <row r="1501" spans="3:14" x14ac:dyDescent="0.25">
      <c r="C1501" t="str">
        <f>IF(COUNTBLANK(E1501:K1501) = 7,"",IF(AND(NOT(ISBLANK(E1501)),COUNTBLANK(E1501:K1501) = 6),"3 Delete",IF(ISBLANK(E1501),"2 Add",IF(SHA1Range(E1501:K1501) = "04f0af566d171f00e328a3ffd0b975c262a31013","0 Original","1 Modify"))))</f>
        <v>0 Original</v>
      </c>
      <c r="D1501" s="5" t="s">
        <v>4272</v>
      </c>
      <c r="E1501" s="3">
        <v>431</v>
      </c>
      <c r="F1501" t="s">
        <v>1421</v>
      </c>
      <c r="G1501" t="s">
        <v>881</v>
      </c>
      <c r="H1501" s="9">
        <v>4.99</v>
      </c>
      <c r="I1501" s="3">
        <v>1</v>
      </c>
      <c r="J1501" s="5" t="s">
        <v>68</v>
      </c>
      <c r="K1501" s="15">
        <v>41905.535543981481</v>
      </c>
      <c r="L1501" s="20">
        <f t="shared" si="69"/>
        <v>41905</v>
      </c>
      <c r="M1501" t="str">
        <f t="shared" si="70"/>
        <v>09-2014</v>
      </c>
      <c r="N1501">
        <f t="shared" si="71"/>
        <v>4.99</v>
      </c>
    </row>
    <row r="1502" spans="3:14" x14ac:dyDescent="0.25">
      <c r="C1502" t="str">
        <f>IF(COUNTBLANK(E1502:K1502) = 7,"",IF(AND(NOT(ISBLANK(E1502)),COUNTBLANK(E1502:K1502) = 6),"3 Delete",IF(ISBLANK(E1502),"2 Add",IF(SHA1Range(E1502:K1502) = "6750703d290bc671a1b74e3cde2e4ba86a85a0f7","0 Original","1 Modify"))))</f>
        <v>0 Original</v>
      </c>
      <c r="D1502" s="5" t="s">
        <v>3660</v>
      </c>
      <c r="E1502" s="3">
        <v>2357</v>
      </c>
      <c r="F1502" t="s">
        <v>1422</v>
      </c>
      <c r="G1502" t="s">
        <v>400</v>
      </c>
      <c r="H1502" s="9">
        <v>4.99</v>
      </c>
      <c r="I1502" s="3">
        <v>2</v>
      </c>
      <c r="J1502" s="5" t="s">
        <v>68</v>
      </c>
      <c r="K1502" s="15">
        <v>41905.814918981479</v>
      </c>
      <c r="L1502" s="20">
        <f t="shared" si="69"/>
        <v>41905</v>
      </c>
      <c r="M1502" t="str">
        <f t="shared" si="70"/>
        <v>09-2014</v>
      </c>
      <c r="N1502">
        <f t="shared" si="71"/>
        <v>9.98</v>
      </c>
    </row>
    <row r="1503" spans="3:14" x14ac:dyDescent="0.25">
      <c r="C1503" t="str">
        <f>IF(COUNTBLANK(E1503:K1503) = 7,"",IF(AND(NOT(ISBLANK(E1503)),COUNTBLANK(E1503:K1503) = 6),"3 Delete",IF(ISBLANK(E1503),"2 Add",IF(SHA1Range(E1503:K1503) = "b329eefa8df890eb602c7b450a693de7dbdedd55","0 Original","1 Modify"))))</f>
        <v>0 Original</v>
      </c>
      <c r="D1503" s="5" t="s">
        <v>3661</v>
      </c>
      <c r="E1503" s="3">
        <v>2358</v>
      </c>
      <c r="F1503" t="s">
        <v>1422</v>
      </c>
      <c r="G1503" t="s">
        <v>687</v>
      </c>
      <c r="H1503" s="9">
        <v>9.99</v>
      </c>
      <c r="I1503" s="3">
        <v>1</v>
      </c>
      <c r="J1503" s="5" t="s">
        <v>68</v>
      </c>
      <c r="K1503" s="15">
        <v>41905.814918981479</v>
      </c>
      <c r="L1503" s="20">
        <f t="shared" si="69"/>
        <v>41905</v>
      </c>
      <c r="M1503" t="str">
        <f t="shared" si="70"/>
        <v>09-2014</v>
      </c>
      <c r="N1503">
        <f t="shared" si="71"/>
        <v>9.99</v>
      </c>
    </row>
    <row r="1504" spans="3:14" x14ac:dyDescent="0.25">
      <c r="C1504" t="str">
        <f>IF(COUNTBLANK(E1504:K1504) = 7,"",IF(AND(NOT(ISBLANK(E1504)),COUNTBLANK(E1504:K1504) = 6),"3 Delete",IF(ISBLANK(E1504),"2 Add",IF(SHA1Range(E1504:K1504) = "7694b355a27e17a07efe3383ddc48fc26a24180f","0 Original","1 Modify"))))</f>
        <v>0 Original</v>
      </c>
      <c r="D1504" s="5" t="s">
        <v>3662</v>
      </c>
      <c r="E1504" s="3">
        <v>3000</v>
      </c>
      <c r="F1504" t="s">
        <v>1423</v>
      </c>
      <c r="G1504" t="s">
        <v>552</v>
      </c>
      <c r="H1504" s="9">
        <v>6.99</v>
      </c>
      <c r="I1504" s="3">
        <v>2</v>
      </c>
      <c r="J1504" s="5" t="s">
        <v>68</v>
      </c>
      <c r="K1504" s="15">
        <v>41906.70417824074</v>
      </c>
      <c r="L1504" s="20">
        <f t="shared" si="69"/>
        <v>41906</v>
      </c>
      <c r="M1504" t="str">
        <f t="shared" si="70"/>
        <v>09-2014</v>
      </c>
      <c r="N1504">
        <f t="shared" si="71"/>
        <v>13.98</v>
      </c>
    </row>
    <row r="1505" spans="3:14" x14ac:dyDescent="0.25">
      <c r="C1505" t="str">
        <f>IF(COUNTBLANK(E1505:K1505) = 7,"",IF(AND(NOT(ISBLANK(E1505)),COUNTBLANK(E1505:K1505) = 6),"3 Delete",IF(ISBLANK(E1505),"2 Add",IF(SHA1Range(E1505:K1505) = "38a04316ec957e22367aeb234f0fb9ff0d6137a4","0 Original","1 Modify"))))</f>
        <v>0 Original</v>
      </c>
      <c r="D1505" s="5" t="s">
        <v>3663</v>
      </c>
      <c r="E1505" s="3">
        <v>3001</v>
      </c>
      <c r="F1505" t="s">
        <v>1423</v>
      </c>
      <c r="G1505" t="s">
        <v>579</v>
      </c>
      <c r="H1505" s="9">
        <v>9.99</v>
      </c>
      <c r="I1505" s="3">
        <v>1</v>
      </c>
      <c r="J1505" s="5" t="s">
        <v>68</v>
      </c>
      <c r="K1505" s="15">
        <v>41906.70417824074</v>
      </c>
      <c r="L1505" s="20">
        <f t="shared" si="69"/>
        <v>41906</v>
      </c>
      <c r="M1505" t="str">
        <f t="shared" si="70"/>
        <v>09-2014</v>
      </c>
      <c r="N1505">
        <f t="shared" si="71"/>
        <v>9.99</v>
      </c>
    </row>
    <row r="1506" spans="3:14" x14ac:dyDescent="0.25">
      <c r="C1506" t="str">
        <f>IF(COUNTBLANK(E1506:K1506) = 7,"",IF(AND(NOT(ISBLANK(E1506)),COUNTBLANK(E1506:K1506) = 6),"3 Delete",IF(ISBLANK(E1506),"2 Add",IF(SHA1Range(E1506:K1506) = "f8a58c8e4ce60d428ccf34233e5f61c6313bd6d8","0 Original","1 Modify"))))</f>
        <v>0 Original</v>
      </c>
      <c r="D1506" s="5" t="s">
        <v>3664</v>
      </c>
      <c r="E1506" s="3">
        <v>3002</v>
      </c>
      <c r="F1506" t="s">
        <v>1423</v>
      </c>
      <c r="G1506" t="s">
        <v>707</v>
      </c>
      <c r="H1506" s="9">
        <v>7.99</v>
      </c>
      <c r="I1506" s="3">
        <v>1</v>
      </c>
      <c r="J1506" s="5" t="s">
        <v>68</v>
      </c>
      <c r="K1506" s="15">
        <v>41906.70417824074</v>
      </c>
      <c r="L1506" s="20">
        <f t="shared" si="69"/>
        <v>41906</v>
      </c>
      <c r="M1506" t="str">
        <f t="shared" si="70"/>
        <v>09-2014</v>
      </c>
      <c r="N1506">
        <f t="shared" si="71"/>
        <v>7.99</v>
      </c>
    </row>
    <row r="1507" spans="3:14" x14ac:dyDescent="0.25">
      <c r="C1507" t="str">
        <f>IF(COUNTBLANK(E1507:K1507) = 7,"",IF(AND(NOT(ISBLANK(E1507)),COUNTBLANK(E1507:K1507) = 6),"3 Delete",IF(ISBLANK(E1507),"2 Add",IF(SHA1Range(E1507:K1507) = "4070dcf47a069bac3ed0f4779d7317fa6708cde3","0 Original","1 Modify"))))</f>
        <v>0 Original</v>
      </c>
      <c r="D1507" s="5" t="s">
        <v>3665</v>
      </c>
      <c r="E1507" s="3">
        <v>2426</v>
      </c>
      <c r="F1507" t="s">
        <v>1424</v>
      </c>
      <c r="G1507" t="s">
        <v>552</v>
      </c>
      <c r="H1507" s="9">
        <v>6.99</v>
      </c>
      <c r="I1507" s="3">
        <v>1</v>
      </c>
      <c r="J1507" s="5" t="s">
        <v>68</v>
      </c>
      <c r="K1507" s="15">
        <v>41907.793564814812</v>
      </c>
      <c r="L1507" s="20">
        <f t="shared" si="69"/>
        <v>41907</v>
      </c>
      <c r="M1507" t="str">
        <f t="shared" si="70"/>
        <v>09-2014</v>
      </c>
      <c r="N1507">
        <f t="shared" si="71"/>
        <v>6.99</v>
      </c>
    </row>
    <row r="1508" spans="3:14" x14ac:dyDescent="0.25">
      <c r="C1508" t="str">
        <f>IF(COUNTBLANK(E1508:K1508) = 7,"",IF(AND(NOT(ISBLANK(E1508)),COUNTBLANK(E1508:K1508) = 6),"3 Delete",IF(ISBLANK(E1508),"2 Add",IF(SHA1Range(E1508:K1508) = "2a7b378ebde25e489a06f7aa5eec63e63904c696","0 Original","1 Modify"))))</f>
        <v>0 Original</v>
      </c>
      <c r="D1508" s="5" t="s">
        <v>3666</v>
      </c>
      <c r="E1508" s="3">
        <v>2427</v>
      </c>
      <c r="F1508" t="s">
        <v>1424</v>
      </c>
      <c r="G1508" t="s">
        <v>514</v>
      </c>
      <c r="H1508" s="9">
        <v>6.99</v>
      </c>
      <c r="I1508" s="3">
        <v>2</v>
      </c>
      <c r="J1508" s="5" t="s">
        <v>68</v>
      </c>
      <c r="K1508" s="15">
        <v>41907.793564814812</v>
      </c>
      <c r="L1508" s="20">
        <f t="shared" si="69"/>
        <v>41907</v>
      </c>
      <c r="M1508" t="str">
        <f t="shared" si="70"/>
        <v>09-2014</v>
      </c>
      <c r="N1508">
        <f t="shared" si="71"/>
        <v>13.98</v>
      </c>
    </row>
    <row r="1509" spans="3:14" x14ac:dyDescent="0.25">
      <c r="C1509" t="str">
        <f>IF(COUNTBLANK(E1509:K1509) = 7,"",IF(AND(NOT(ISBLANK(E1509)),COUNTBLANK(E1509:K1509) = 6),"3 Delete",IF(ISBLANK(E1509),"2 Add",IF(SHA1Range(E1509:K1509) = "1c34c55f9d5e388b4951c6cae9e600eefc144ab9","0 Original","1 Modify"))))</f>
        <v>0 Original</v>
      </c>
      <c r="D1509" s="5" t="s">
        <v>3667</v>
      </c>
      <c r="E1509" s="3">
        <v>2428</v>
      </c>
      <c r="F1509" t="s">
        <v>1424</v>
      </c>
      <c r="G1509" t="s">
        <v>400</v>
      </c>
      <c r="H1509" s="9">
        <v>4.99</v>
      </c>
      <c r="I1509" s="3">
        <v>2</v>
      </c>
      <c r="J1509" s="5" t="s">
        <v>68</v>
      </c>
      <c r="K1509" s="15">
        <v>41907.793564814812</v>
      </c>
      <c r="L1509" s="20">
        <f t="shared" si="69"/>
        <v>41907</v>
      </c>
      <c r="M1509" t="str">
        <f t="shared" si="70"/>
        <v>09-2014</v>
      </c>
      <c r="N1509">
        <f t="shared" si="71"/>
        <v>9.98</v>
      </c>
    </row>
    <row r="1510" spans="3:14" x14ac:dyDescent="0.25">
      <c r="C1510" t="str">
        <f>IF(COUNTBLANK(E1510:K1510) = 7,"",IF(AND(NOT(ISBLANK(E1510)),COUNTBLANK(E1510:K1510) = 6),"3 Delete",IF(ISBLANK(E1510),"2 Add",IF(SHA1Range(E1510:K1510) = "6954dd034e9db9ed8cb3ebe3da932d5fc870e218","0 Original","1 Modify"))))</f>
        <v>0 Original</v>
      </c>
      <c r="D1510" s="5" t="s">
        <v>3668</v>
      </c>
      <c r="E1510" s="3">
        <v>3146</v>
      </c>
      <c r="F1510" t="s">
        <v>1425</v>
      </c>
      <c r="G1510" t="s">
        <v>400</v>
      </c>
      <c r="H1510" s="9">
        <v>4.99</v>
      </c>
      <c r="I1510" s="3">
        <v>2</v>
      </c>
      <c r="J1510" s="5" t="s">
        <v>68</v>
      </c>
      <c r="K1510" s="15">
        <v>41907.822060185186</v>
      </c>
      <c r="L1510" s="20">
        <f t="shared" si="69"/>
        <v>41907</v>
      </c>
      <c r="M1510" t="str">
        <f t="shared" si="70"/>
        <v>09-2014</v>
      </c>
      <c r="N1510">
        <f t="shared" si="71"/>
        <v>9.98</v>
      </c>
    </row>
    <row r="1511" spans="3:14" x14ac:dyDescent="0.25">
      <c r="C1511" t="str">
        <f>IF(COUNTBLANK(E1511:K1511) = 7,"",IF(AND(NOT(ISBLANK(E1511)),COUNTBLANK(E1511:K1511) = 6),"3 Delete",IF(ISBLANK(E1511),"2 Add",IF(SHA1Range(E1511:K1511) = "dce29af8470b11dd3d7970c04b11dfdfb44c03a6","0 Original","1 Modify"))))</f>
        <v>0 Original</v>
      </c>
      <c r="D1511" s="5" t="s">
        <v>3669</v>
      </c>
      <c r="E1511" s="3">
        <v>3147</v>
      </c>
      <c r="F1511" t="s">
        <v>1425</v>
      </c>
      <c r="G1511" t="s">
        <v>749</v>
      </c>
      <c r="H1511" s="9">
        <v>5.99</v>
      </c>
      <c r="I1511" s="3">
        <v>1</v>
      </c>
      <c r="J1511" s="5" t="s">
        <v>68</v>
      </c>
      <c r="K1511" s="15">
        <v>41907.822060185186</v>
      </c>
      <c r="L1511" s="20">
        <f t="shared" si="69"/>
        <v>41907</v>
      </c>
      <c r="M1511" t="str">
        <f t="shared" si="70"/>
        <v>09-2014</v>
      </c>
      <c r="N1511">
        <f t="shared" si="71"/>
        <v>5.99</v>
      </c>
    </row>
    <row r="1512" spans="3:14" x14ac:dyDescent="0.25">
      <c r="C1512" t="str">
        <f>IF(COUNTBLANK(E1512:K1512) = 7,"",IF(AND(NOT(ISBLANK(E1512)),COUNTBLANK(E1512:K1512) = 6),"3 Delete",IF(ISBLANK(E1512),"2 Add",IF(SHA1Range(E1512:K1512) = "e8665b3586e5b52f66f18061ae8761d31d420cb1","0 Original","1 Modify"))))</f>
        <v>0 Original</v>
      </c>
      <c r="D1512" s="5" t="s">
        <v>3670</v>
      </c>
      <c r="E1512" s="3">
        <v>530</v>
      </c>
      <c r="F1512" t="s">
        <v>1426</v>
      </c>
      <c r="G1512" t="s">
        <v>823</v>
      </c>
      <c r="H1512" s="9">
        <v>5.99</v>
      </c>
      <c r="I1512" s="3">
        <v>1</v>
      </c>
      <c r="J1512" s="5" t="s">
        <v>68</v>
      </c>
      <c r="K1512" s="15">
        <v>41908.903738425928</v>
      </c>
      <c r="L1512" s="20">
        <f t="shared" si="69"/>
        <v>41908</v>
      </c>
      <c r="M1512" t="str">
        <f t="shared" si="70"/>
        <v>09-2014</v>
      </c>
      <c r="N1512">
        <f t="shared" si="71"/>
        <v>5.99</v>
      </c>
    </row>
    <row r="1513" spans="3:14" x14ac:dyDescent="0.25">
      <c r="C1513" t="str">
        <f>IF(COUNTBLANK(E1513:K1513) = 7,"",IF(AND(NOT(ISBLANK(E1513)),COUNTBLANK(E1513:K1513) = 6),"3 Delete",IF(ISBLANK(E1513),"2 Add",IF(SHA1Range(E1513:K1513) = "8611a67c8c066ee182619b624a92fa7466b88742","0 Original","1 Modify"))))</f>
        <v>0 Original</v>
      </c>
      <c r="D1513" s="5" t="s">
        <v>3671</v>
      </c>
      <c r="E1513" s="3">
        <v>531</v>
      </c>
      <c r="F1513" t="s">
        <v>1426</v>
      </c>
      <c r="G1513" t="s">
        <v>848</v>
      </c>
      <c r="H1513" s="9">
        <v>8.99</v>
      </c>
      <c r="I1513" s="3">
        <v>2</v>
      </c>
      <c r="J1513" s="5" t="s">
        <v>68</v>
      </c>
      <c r="K1513" s="15">
        <v>41908.903738425928</v>
      </c>
      <c r="L1513" s="20">
        <f t="shared" si="69"/>
        <v>41908</v>
      </c>
      <c r="M1513" t="str">
        <f t="shared" si="70"/>
        <v>09-2014</v>
      </c>
      <c r="N1513">
        <f t="shared" si="71"/>
        <v>17.98</v>
      </c>
    </row>
    <row r="1514" spans="3:14" x14ac:dyDescent="0.25">
      <c r="C1514" t="str">
        <f>IF(COUNTBLANK(E1514:K1514) = 7,"",IF(AND(NOT(ISBLANK(E1514)),COUNTBLANK(E1514:K1514) = 6),"3 Delete",IF(ISBLANK(E1514),"2 Add",IF(SHA1Range(E1514:K1514) = "574a3c51e36ca4a36a06dfa366caa59e88b53106","0 Original","1 Modify"))))</f>
        <v>0 Original</v>
      </c>
      <c r="D1514" s="5" t="s">
        <v>4273</v>
      </c>
      <c r="E1514" s="3">
        <v>532</v>
      </c>
      <c r="F1514" t="s">
        <v>1426</v>
      </c>
      <c r="G1514" t="s">
        <v>628</v>
      </c>
      <c r="H1514" s="9">
        <v>6.99</v>
      </c>
      <c r="I1514" s="3">
        <v>1</v>
      </c>
      <c r="J1514" s="5" t="s">
        <v>68</v>
      </c>
      <c r="K1514" s="15">
        <v>41908.903738425928</v>
      </c>
      <c r="L1514" s="20">
        <f t="shared" si="69"/>
        <v>41908</v>
      </c>
      <c r="M1514" t="str">
        <f t="shared" si="70"/>
        <v>09-2014</v>
      </c>
      <c r="N1514">
        <f t="shared" si="71"/>
        <v>6.99</v>
      </c>
    </row>
    <row r="1515" spans="3:14" x14ac:dyDescent="0.25">
      <c r="C1515" t="str">
        <f>IF(COUNTBLANK(E1515:K1515) = 7,"",IF(AND(NOT(ISBLANK(E1515)),COUNTBLANK(E1515:K1515) = 6),"3 Delete",IF(ISBLANK(E1515),"2 Add",IF(SHA1Range(E1515:K1515) = "a6b361c7c03e810791c296bb863785e5514432fb","0 Original","1 Modify"))))</f>
        <v>0 Original</v>
      </c>
      <c r="D1515" s="5" t="s">
        <v>3672</v>
      </c>
      <c r="E1515" s="3">
        <v>1300</v>
      </c>
      <c r="F1515" t="s">
        <v>1427</v>
      </c>
      <c r="G1515" t="s">
        <v>482</v>
      </c>
      <c r="H1515" s="9">
        <v>8.99</v>
      </c>
      <c r="I1515" s="3">
        <v>1</v>
      </c>
      <c r="J1515" s="5" t="s">
        <v>68</v>
      </c>
      <c r="K1515" s="15">
        <v>41909.121064814812</v>
      </c>
      <c r="L1515" s="20">
        <f t="shared" si="69"/>
        <v>41909</v>
      </c>
      <c r="M1515" t="str">
        <f t="shared" si="70"/>
        <v>09-2014</v>
      </c>
      <c r="N1515">
        <f t="shared" si="71"/>
        <v>8.99</v>
      </c>
    </row>
    <row r="1516" spans="3:14" x14ac:dyDescent="0.25">
      <c r="C1516" t="str">
        <f>IF(COUNTBLANK(E1516:K1516) = 7,"",IF(AND(NOT(ISBLANK(E1516)),COUNTBLANK(E1516:K1516) = 6),"3 Delete",IF(ISBLANK(E1516),"2 Add",IF(SHA1Range(E1516:K1516) = "230dbd4422318dc6809273abb42b85a05e01a628","0 Original","1 Modify"))))</f>
        <v>0 Original</v>
      </c>
      <c r="D1516" s="5" t="s">
        <v>3673</v>
      </c>
      <c r="E1516" s="3">
        <v>1301</v>
      </c>
      <c r="F1516" t="s">
        <v>1427</v>
      </c>
      <c r="G1516" t="s">
        <v>684</v>
      </c>
      <c r="H1516" s="9">
        <v>8.99</v>
      </c>
      <c r="I1516" s="3">
        <v>2</v>
      </c>
      <c r="J1516" s="5" t="s">
        <v>68</v>
      </c>
      <c r="K1516" s="15">
        <v>41909.121064814812</v>
      </c>
      <c r="L1516" s="20">
        <f t="shared" si="69"/>
        <v>41909</v>
      </c>
      <c r="M1516" t="str">
        <f t="shared" si="70"/>
        <v>09-2014</v>
      </c>
      <c r="N1516">
        <f t="shared" si="71"/>
        <v>17.98</v>
      </c>
    </row>
    <row r="1517" spans="3:14" x14ac:dyDescent="0.25">
      <c r="C1517" t="str">
        <f>IF(COUNTBLANK(E1517:K1517) = 7,"",IF(AND(NOT(ISBLANK(E1517)),COUNTBLANK(E1517:K1517) = 6),"3 Delete",IF(ISBLANK(E1517),"2 Add",IF(SHA1Range(E1517:K1517) = "a98851ed3d5cf9333a9270c8d30d19f0708c0317","0 Original","1 Modify"))))</f>
        <v>0 Original</v>
      </c>
      <c r="D1517" s="5" t="s">
        <v>3674</v>
      </c>
      <c r="E1517" s="3">
        <v>1302</v>
      </c>
      <c r="F1517" t="s">
        <v>1427</v>
      </c>
      <c r="G1517" t="s">
        <v>704</v>
      </c>
      <c r="H1517" s="9">
        <v>4.99</v>
      </c>
      <c r="I1517" s="3">
        <v>1</v>
      </c>
      <c r="J1517" s="5" t="s">
        <v>68</v>
      </c>
      <c r="K1517" s="15">
        <v>41909.121064814812</v>
      </c>
      <c r="L1517" s="20">
        <f t="shared" si="69"/>
        <v>41909</v>
      </c>
      <c r="M1517" t="str">
        <f t="shared" si="70"/>
        <v>09-2014</v>
      </c>
      <c r="N1517">
        <f t="shared" si="71"/>
        <v>4.99</v>
      </c>
    </row>
    <row r="1518" spans="3:14" x14ac:dyDescent="0.25">
      <c r="C1518" t="str">
        <f>IF(COUNTBLANK(E1518:K1518) = 7,"",IF(AND(NOT(ISBLANK(E1518)),COUNTBLANK(E1518:K1518) = 6),"3 Delete",IF(ISBLANK(E1518),"2 Add",IF(SHA1Range(E1518:K1518) = "5dec60462305841ec3bfeeb51d6d5a5e92a88628","0 Original","1 Modify"))))</f>
        <v>0 Original</v>
      </c>
      <c r="D1518" s="5" t="s">
        <v>3675</v>
      </c>
      <c r="E1518" s="3">
        <v>1303</v>
      </c>
      <c r="F1518" t="s">
        <v>1427</v>
      </c>
      <c r="G1518" t="s">
        <v>642</v>
      </c>
      <c r="H1518" s="9">
        <v>9.99</v>
      </c>
      <c r="I1518" s="3">
        <v>1</v>
      </c>
      <c r="J1518" s="5" t="s">
        <v>68</v>
      </c>
      <c r="K1518" s="15">
        <v>41909.121064814812</v>
      </c>
      <c r="L1518" s="20">
        <f t="shared" si="69"/>
        <v>41909</v>
      </c>
      <c r="M1518" t="str">
        <f t="shared" si="70"/>
        <v>09-2014</v>
      </c>
      <c r="N1518">
        <f t="shared" si="71"/>
        <v>9.99</v>
      </c>
    </row>
    <row r="1519" spans="3:14" x14ac:dyDescent="0.25">
      <c r="C1519" t="str">
        <f>IF(COUNTBLANK(E1519:K1519) = 7,"",IF(AND(NOT(ISBLANK(E1519)),COUNTBLANK(E1519:K1519) = 6),"3 Delete",IF(ISBLANK(E1519),"2 Add",IF(SHA1Range(E1519:K1519) = "8d5746d024f61ea0958e6b496344bdb9b07f7f92","0 Original","1 Modify"))))</f>
        <v>0 Original</v>
      </c>
      <c r="D1519" s="5" t="s">
        <v>3676</v>
      </c>
      <c r="E1519" s="3">
        <v>1304</v>
      </c>
      <c r="F1519" t="s">
        <v>1427</v>
      </c>
      <c r="G1519" t="s">
        <v>781</v>
      </c>
      <c r="H1519" s="9">
        <v>5.99</v>
      </c>
      <c r="I1519" s="3">
        <v>1</v>
      </c>
      <c r="J1519" s="5" t="s">
        <v>68</v>
      </c>
      <c r="K1519" s="15">
        <v>41909.121064814812</v>
      </c>
      <c r="L1519" s="20">
        <f t="shared" si="69"/>
        <v>41909</v>
      </c>
      <c r="M1519" t="str">
        <f t="shared" si="70"/>
        <v>09-2014</v>
      </c>
      <c r="N1519">
        <f t="shared" si="71"/>
        <v>5.99</v>
      </c>
    </row>
    <row r="1520" spans="3:14" x14ac:dyDescent="0.25">
      <c r="C1520" t="str">
        <f>IF(COUNTBLANK(E1520:K1520) = 7,"",IF(AND(NOT(ISBLANK(E1520)),COUNTBLANK(E1520:K1520) = 6),"3 Delete",IF(ISBLANK(E1520),"2 Add",IF(SHA1Range(E1520:K1520) = "ab88abacc82885197711d13ad2ebbba0f7c3c2f8","0 Original","1 Modify"))))</f>
        <v>0 Original</v>
      </c>
      <c r="D1520" s="5" t="s">
        <v>3677</v>
      </c>
      <c r="E1520" s="3">
        <v>3166</v>
      </c>
      <c r="F1520" t="s">
        <v>1428</v>
      </c>
      <c r="G1520" t="s">
        <v>642</v>
      </c>
      <c r="H1520" s="9">
        <v>9.99</v>
      </c>
      <c r="I1520" s="3">
        <v>2</v>
      </c>
      <c r="J1520" s="5" t="s">
        <v>68</v>
      </c>
      <c r="K1520" s="15">
        <v>41909.854097222225</v>
      </c>
      <c r="L1520" s="20">
        <f t="shared" si="69"/>
        <v>41909</v>
      </c>
      <c r="M1520" t="str">
        <f t="shared" si="70"/>
        <v>09-2014</v>
      </c>
      <c r="N1520">
        <f t="shared" si="71"/>
        <v>19.98</v>
      </c>
    </row>
    <row r="1521" spans="3:14" x14ac:dyDescent="0.25">
      <c r="C1521" t="str">
        <f>IF(COUNTBLANK(E1521:K1521) = 7,"",IF(AND(NOT(ISBLANK(E1521)),COUNTBLANK(E1521:K1521) = 6),"3 Delete",IF(ISBLANK(E1521),"2 Add",IF(SHA1Range(E1521:K1521) = "ec8940c30acd4053c322c196be022d2877683768","0 Original","1 Modify"))))</f>
        <v>0 Original</v>
      </c>
      <c r="D1521" s="5" t="s">
        <v>3678</v>
      </c>
      <c r="E1521" s="3">
        <v>3167</v>
      </c>
      <c r="F1521" t="s">
        <v>1428</v>
      </c>
      <c r="G1521" t="s">
        <v>552</v>
      </c>
      <c r="H1521" s="9">
        <v>6.99</v>
      </c>
      <c r="I1521" s="3">
        <v>2</v>
      </c>
      <c r="J1521" s="5" t="s">
        <v>68</v>
      </c>
      <c r="K1521" s="15">
        <v>41909.854097222225</v>
      </c>
      <c r="L1521" s="20">
        <f t="shared" si="69"/>
        <v>41909</v>
      </c>
      <c r="M1521" t="str">
        <f t="shared" si="70"/>
        <v>09-2014</v>
      </c>
      <c r="N1521">
        <f t="shared" si="71"/>
        <v>13.98</v>
      </c>
    </row>
    <row r="1522" spans="3:14" x14ac:dyDescent="0.25">
      <c r="C1522" t="str">
        <f>IF(COUNTBLANK(E1522:K1522) = 7,"",IF(AND(NOT(ISBLANK(E1522)),COUNTBLANK(E1522:K1522) = 6),"3 Delete",IF(ISBLANK(E1522),"2 Add",IF(SHA1Range(E1522:K1522) = "44f78757c559aeecb1d138f55d27f75e288eb180","0 Original","1 Modify"))))</f>
        <v>0 Original</v>
      </c>
      <c r="D1522" s="5" t="s">
        <v>3679</v>
      </c>
      <c r="E1522" s="3">
        <v>1114</v>
      </c>
      <c r="F1522" t="s">
        <v>1429</v>
      </c>
      <c r="G1522" t="s">
        <v>684</v>
      </c>
      <c r="H1522" s="9">
        <v>8.99</v>
      </c>
      <c r="I1522" s="3">
        <v>1</v>
      </c>
      <c r="J1522" s="5" t="s">
        <v>68</v>
      </c>
      <c r="K1522" s="15">
        <v>41909.899664351855</v>
      </c>
      <c r="L1522" s="20">
        <f t="shared" si="69"/>
        <v>41909</v>
      </c>
      <c r="M1522" t="str">
        <f t="shared" si="70"/>
        <v>09-2014</v>
      </c>
      <c r="N1522">
        <f t="shared" si="71"/>
        <v>8.99</v>
      </c>
    </row>
    <row r="1523" spans="3:14" x14ac:dyDescent="0.25">
      <c r="C1523" t="str">
        <f>IF(COUNTBLANK(E1523:K1523) = 7,"",IF(AND(NOT(ISBLANK(E1523)),COUNTBLANK(E1523:K1523) = 6),"3 Delete",IF(ISBLANK(E1523),"2 Add",IF(SHA1Range(E1523:K1523) = "0ec1aecf6d1b50ed9b540055c4766ef7fc367fad","0 Original","1 Modify"))))</f>
        <v>0 Original</v>
      </c>
      <c r="D1523" s="5" t="s">
        <v>3680</v>
      </c>
      <c r="E1523" s="3">
        <v>1115</v>
      </c>
      <c r="F1523" t="s">
        <v>1429</v>
      </c>
      <c r="G1523" t="s">
        <v>570</v>
      </c>
      <c r="H1523" s="9">
        <v>6.99</v>
      </c>
      <c r="I1523" s="3">
        <v>1</v>
      </c>
      <c r="J1523" s="5" t="s">
        <v>68</v>
      </c>
      <c r="K1523" s="15">
        <v>41909.899664351855</v>
      </c>
      <c r="L1523" s="20">
        <f t="shared" si="69"/>
        <v>41909</v>
      </c>
      <c r="M1523" t="str">
        <f t="shared" si="70"/>
        <v>09-2014</v>
      </c>
      <c r="N1523">
        <f t="shared" si="71"/>
        <v>6.99</v>
      </c>
    </row>
    <row r="1524" spans="3:14" x14ac:dyDescent="0.25">
      <c r="C1524" t="str">
        <f>IF(COUNTBLANK(E1524:K1524) = 7,"",IF(AND(NOT(ISBLANK(E1524)),COUNTBLANK(E1524:K1524) = 6),"3 Delete",IF(ISBLANK(E1524),"2 Add",IF(SHA1Range(E1524:K1524) = "cb2eb0aeb9ccb242b9d133a5305623f7bbe19c4b","0 Original","1 Modify"))))</f>
        <v>0 Original</v>
      </c>
      <c r="D1524" s="5" t="s">
        <v>3681</v>
      </c>
      <c r="E1524" s="3">
        <v>1116</v>
      </c>
      <c r="F1524" t="s">
        <v>1429</v>
      </c>
      <c r="G1524" t="s">
        <v>588</v>
      </c>
      <c r="H1524" s="9">
        <v>4.99</v>
      </c>
      <c r="I1524" s="3">
        <v>1</v>
      </c>
      <c r="J1524" s="5" t="s">
        <v>68</v>
      </c>
      <c r="K1524" s="15">
        <v>41909.899664351855</v>
      </c>
      <c r="L1524" s="20">
        <f t="shared" si="69"/>
        <v>41909</v>
      </c>
      <c r="M1524" t="str">
        <f t="shared" si="70"/>
        <v>09-2014</v>
      </c>
      <c r="N1524">
        <f t="shared" si="71"/>
        <v>4.99</v>
      </c>
    </row>
    <row r="1525" spans="3:14" x14ac:dyDescent="0.25">
      <c r="C1525" t="str">
        <f>IF(COUNTBLANK(E1525:K1525) = 7,"",IF(AND(NOT(ISBLANK(E1525)),COUNTBLANK(E1525:K1525) = 6),"3 Delete",IF(ISBLANK(E1525),"2 Add",IF(SHA1Range(E1525:K1525) = "4b1f00c89ff112e250aa02efa8a0cf8522c36d72","0 Original","1 Modify"))))</f>
        <v>0 Original</v>
      </c>
      <c r="D1525" s="5" t="s">
        <v>3682</v>
      </c>
      <c r="E1525" s="3">
        <v>1356</v>
      </c>
      <c r="F1525" t="s">
        <v>1430</v>
      </c>
      <c r="G1525" t="s">
        <v>697</v>
      </c>
      <c r="H1525" s="9">
        <v>5.99</v>
      </c>
      <c r="I1525" s="3">
        <v>1</v>
      </c>
      <c r="J1525" s="5" t="s">
        <v>68</v>
      </c>
      <c r="K1525" s="15">
        <v>41910.090300925927</v>
      </c>
      <c r="L1525" s="20">
        <f t="shared" si="69"/>
        <v>41910</v>
      </c>
      <c r="M1525" t="str">
        <f t="shared" si="70"/>
        <v>09-2014</v>
      </c>
      <c r="N1525">
        <f t="shared" si="71"/>
        <v>5.99</v>
      </c>
    </row>
    <row r="1526" spans="3:14" x14ac:dyDescent="0.25">
      <c r="C1526" t="str">
        <f>IF(COUNTBLANK(E1526:K1526) = 7,"",IF(AND(NOT(ISBLANK(E1526)),COUNTBLANK(E1526:K1526) = 6),"3 Delete",IF(ISBLANK(E1526),"2 Add",IF(SHA1Range(E1526:K1526) = "72e9afccdb954615a0a763103c7588d6e110effb","0 Original","1 Modify"))))</f>
        <v>0 Original</v>
      </c>
      <c r="D1526" s="5" t="s">
        <v>3683</v>
      </c>
      <c r="E1526" s="3">
        <v>1357</v>
      </c>
      <c r="F1526" t="s">
        <v>1430</v>
      </c>
      <c r="G1526" t="s">
        <v>891</v>
      </c>
      <c r="H1526" s="9">
        <v>8.99</v>
      </c>
      <c r="I1526" s="3">
        <v>1</v>
      </c>
      <c r="J1526" s="5" t="s">
        <v>68</v>
      </c>
      <c r="K1526" s="15">
        <v>41910.090300925927</v>
      </c>
      <c r="L1526" s="20">
        <f t="shared" si="69"/>
        <v>41910</v>
      </c>
      <c r="M1526" t="str">
        <f t="shared" si="70"/>
        <v>09-2014</v>
      </c>
      <c r="N1526">
        <f t="shared" si="71"/>
        <v>8.99</v>
      </c>
    </row>
    <row r="1527" spans="3:14" x14ac:dyDescent="0.25">
      <c r="C1527" t="str">
        <f>IF(COUNTBLANK(E1527:K1527) = 7,"",IF(AND(NOT(ISBLANK(E1527)),COUNTBLANK(E1527:K1527) = 6),"3 Delete",IF(ISBLANK(E1527),"2 Add",IF(SHA1Range(E1527:K1527) = "2b46530184c8538e73e3545143a10e5eeb0fb978","0 Original","1 Modify"))))</f>
        <v>0 Original</v>
      </c>
      <c r="D1527" s="5" t="s">
        <v>3684</v>
      </c>
      <c r="E1527" s="3">
        <v>1358</v>
      </c>
      <c r="F1527" t="s">
        <v>1430</v>
      </c>
      <c r="G1527" t="s">
        <v>945</v>
      </c>
      <c r="H1527" s="9">
        <v>4.99</v>
      </c>
      <c r="I1527" s="3">
        <v>1</v>
      </c>
      <c r="J1527" s="5" t="s">
        <v>68</v>
      </c>
      <c r="K1527" s="15">
        <v>41910.090300925927</v>
      </c>
      <c r="L1527" s="20">
        <f t="shared" si="69"/>
        <v>41910</v>
      </c>
      <c r="M1527" t="str">
        <f t="shared" si="70"/>
        <v>09-2014</v>
      </c>
      <c r="N1527">
        <f t="shared" si="71"/>
        <v>4.99</v>
      </c>
    </row>
    <row r="1528" spans="3:14" x14ac:dyDescent="0.25">
      <c r="C1528" t="str">
        <f>IF(COUNTBLANK(E1528:K1528) = 7,"",IF(AND(NOT(ISBLANK(E1528)),COUNTBLANK(E1528:K1528) = 6),"3 Delete",IF(ISBLANK(E1528),"2 Add",IF(SHA1Range(E1528:K1528) = "70bb95e6d95ad321cee8115055343ee2322be413","0 Original","1 Modify"))))</f>
        <v>0 Original</v>
      </c>
      <c r="D1528" s="5" t="s">
        <v>3685</v>
      </c>
      <c r="E1528" s="3">
        <v>1359</v>
      </c>
      <c r="F1528" t="s">
        <v>1430</v>
      </c>
      <c r="G1528" t="s">
        <v>389</v>
      </c>
      <c r="H1528" s="9">
        <v>4.99</v>
      </c>
      <c r="I1528" s="3">
        <v>1</v>
      </c>
      <c r="J1528" s="5" t="s">
        <v>68</v>
      </c>
      <c r="K1528" s="15">
        <v>41910.090300925927</v>
      </c>
      <c r="L1528" s="20">
        <f t="shared" si="69"/>
        <v>41910</v>
      </c>
      <c r="M1528" t="str">
        <f t="shared" si="70"/>
        <v>09-2014</v>
      </c>
      <c r="N1528">
        <f t="shared" si="71"/>
        <v>4.99</v>
      </c>
    </row>
    <row r="1529" spans="3:14" x14ac:dyDescent="0.25">
      <c r="C1529" t="str">
        <f>IF(COUNTBLANK(E1529:K1529) = 7,"",IF(AND(NOT(ISBLANK(E1529)),COUNTBLANK(E1529:K1529) = 6),"3 Delete",IF(ISBLANK(E1529),"2 Add",IF(SHA1Range(E1529:K1529) = "4ff85db524a16a6cfe4eb9cca5e98525d322ba1c","0 Original","1 Modify"))))</f>
        <v>0 Original</v>
      </c>
      <c r="D1529" s="5" t="s">
        <v>3686</v>
      </c>
      <c r="E1529" s="3">
        <v>1736</v>
      </c>
      <c r="F1529" t="s">
        <v>1431</v>
      </c>
      <c r="G1529" t="s">
        <v>735</v>
      </c>
      <c r="H1529" s="9">
        <v>4.99</v>
      </c>
      <c r="I1529" s="3">
        <v>1</v>
      </c>
      <c r="J1529" s="5" t="s">
        <v>68</v>
      </c>
      <c r="K1529" s="15">
        <v>41910.301064814812</v>
      </c>
      <c r="L1529" s="20">
        <f t="shared" si="69"/>
        <v>41910</v>
      </c>
      <c r="M1529" t="str">
        <f t="shared" si="70"/>
        <v>09-2014</v>
      </c>
      <c r="N1529">
        <f t="shared" si="71"/>
        <v>4.99</v>
      </c>
    </row>
    <row r="1530" spans="3:14" x14ac:dyDescent="0.25">
      <c r="C1530" t="str">
        <f>IF(COUNTBLANK(E1530:K1530) = 7,"",IF(AND(NOT(ISBLANK(E1530)),COUNTBLANK(E1530:K1530) = 6),"3 Delete",IF(ISBLANK(E1530),"2 Add",IF(SHA1Range(E1530:K1530) = "ba705be4256b09670f74a0e6acb1c2c038df6fbb","0 Original","1 Modify"))))</f>
        <v>0 Original</v>
      </c>
      <c r="D1530" s="5" t="s">
        <v>3687</v>
      </c>
      <c r="E1530" s="3">
        <v>1737</v>
      </c>
      <c r="F1530" t="s">
        <v>1431</v>
      </c>
      <c r="G1530" t="s">
        <v>935</v>
      </c>
      <c r="H1530" s="9">
        <v>6.99</v>
      </c>
      <c r="I1530" s="3">
        <v>2</v>
      </c>
      <c r="J1530" s="5" t="s">
        <v>68</v>
      </c>
      <c r="K1530" s="15">
        <v>41910.301064814812</v>
      </c>
      <c r="L1530" s="20">
        <f t="shared" si="69"/>
        <v>41910</v>
      </c>
      <c r="M1530" t="str">
        <f t="shared" si="70"/>
        <v>09-2014</v>
      </c>
      <c r="N1530">
        <f t="shared" si="71"/>
        <v>13.98</v>
      </c>
    </row>
    <row r="1531" spans="3:14" x14ac:dyDescent="0.25">
      <c r="C1531" t="str">
        <f>IF(COUNTBLANK(E1531:K1531) = 7,"",IF(AND(NOT(ISBLANK(E1531)),COUNTBLANK(E1531:K1531) = 6),"3 Delete",IF(ISBLANK(E1531),"2 Add",IF(SHA1Range(E1531:K1531) = "ce6ab4759c779d878ab9fad55f52abd0bb79aaf7","0 Original","1 Modify"))))</f>
        <v>0 Original</v>
      </c>
      <c r="D1531" s="5" t="s">
        <v>3688</v>
      </c>
      <c r="E1531" s="3">
        <v>1738</v>
      </c>
      <c r="F1531" t="s">
        <v>1431</v>
      </c>
      <c r="G1531" t="s">
        <v>771</v>
      </c>
      <c r="H1531" s="9">
        <v>9.99</v>
      </c>
      <c r="I1531" s="3">
        <v>1</v>
      </c>
      <c r="J1531" s="5" t="s">
        <v>68</v>
      </c>
      <c r="K1531" s="15">
        <v>41910.301064814812</v>
      </c>
      <c r="L1531" s="20">
        <f t="shared" si="69"/>
        <v>41910</v>
      </c>
      <c r="M1531" t="str">
        <f t="shared" si="70"/>
        <v>09-2014</v>
      </c>
      <c r="N1531">
        <f t="shared" si="71"/>
        <v>9.99</v>
      </c>
    </row>
    <row r="1532" spans="3:14" x14ac:dyDescent="0.25">
      <c r="C1532" t="str">
        <f>IF(COUNTBLANK(E1532:K1532) = 7,"",IF(AND(NOT(ISBLANK(E1532)),COUNTBLANK(E1532:K1532) = 6),"3 Delete",IF(ISBLANK(E1532),"2 Add",IF(SHA1Range(E1532:K1532) = "3df4799e343e1d7031d1ea1cdd31c40a414ec2c5","0 Original","1 Modify"))))</f>
        <v>0 Original</v>
      </c>
      <c r="D1532" s="5" t="s">
        <v>3689</v>
      </c>
      <c r="E1532" s="3">
        <v>1739</v>
      </c>
      <c r="F1532" t="s">
        <v>1431</v>
      </c>
      <c r="G1532" t="s">
        <v>732</v>
      </c>
      <c r="H1532" s="9">
        <v>9.99</v>
      </c>
      <c r="I1532" s="3">
        <v>1</v>
      </c>
      <c r="J1532" s="5" t="s">
        <v>68</v>
      </c>
      <c r="K1532" s="15">
        <v>41910.301064814812</v>
      </c>
      <c r="L1532" s="20">
        <f t="shared" si="69"/>
        <v>41910</v>
      </c>
      <c r="M1532" t="str">
        <f t="shared" si="70"/>
        <v>09-2014</v>
      </c>
      <c r="N1532">
        <f t="shared" si="71"/>
        <v>9.99</v>
      </c>
    </row>
    <row r="1533" spans="3:14" x14ac:dyDescent="0.25">
      <c r="C1533" t="str">
        <f>IF(COUNTBLANK(E1533:K1533) = 7,"",IF(AND(NOT(ISBLANK(E1533)),COUNTBLANK(E1533:K1533) = 6),"3 Delete",IF(ISBLANK(E1533),"2 Add",IF(SHA1Range(E1533:K1533) = "62ee2c63d61a6162e7fb7e9f26daed311fb668ed","0 Original","1 Modify"))))</f>
        <v>0 Original</v>
      </c>
      <c r="D1533" s="5" t="s">
        <v>3690</v>
      </c>
      <c r="E1533" s="3">
        <v>3117</v>
      </c>
      <c r="F1533" t="s">
        <v>1432</v>
      </c>
      <c r="G1533" t="s">
        <v>707</v>
      </c>
      <c r="H1533" s="9">
        <v>7.99</v>
      </c>
      <c r="I1533" s="3">
        <v>1</v>
      </c>
      <c r="J1533" s="5" t="s">
        <v>68</v>
      </c>
      <c r="K1533" s="15">
        <v>41910.456400462965</v>
      </c>
      <c r="L1533" s="20">
        <f t="shared" si="69"/>
        <v>41910</v>
      </c>
      <c r="M1533" t="str">
        <f t="shared" si="70"/>
        <v>09-2014</v>
      </c>
      <c r="N1533">
        <f t="shared" si="71"/>
        <v>7.99</v>
      </c>
    </row>
    <row r="1534" spans="3:14" x14ac:dyDescent="0.25">
      <c r="C1534" t="str">
        <f>IF(COUNTBLANK(E1534:K1534) = 7,"",IF(AND(NOT(ISBLANK(E1534)),COUNTBLANK(E1534:K1534) = 6),"3 Delete",IF(ISBLANK(E1534),"2 Add",IF(SHA1Range(E1534:K1534) = "69431a5de9954160892ca1289000196fd145526c","0 Original","1 Modify"))))</f>
        <v>0 Original</v>
      </c>
      <c r="D1534" s="5" t="s">
        <v>3691</v>
      </c>
      <c r="E1534" s="3">
        <v>3118</v>
      </c>
      <c r="F1534" t="s">
        <v>1432</v>
      </c>
      <c r="G1534" t="s">
        <v>687</v>
      </c>
      <c r="H1534" s="9">
        <v>9.99</v>
      </c>
      <c r="I1534" s="3">
        <v>1</v>
      </c>
      <c r="J1534" s="5" t="s">
        <v>68</v>
      </c>
      <c r="K1534" s="15">
        <v>41910.456400462965</v>
      </c>
      <c r="L1534" s="20">
        <f t="shared" si="69"/>
        <v>41910</v>
      </c>
      <c r="M1534" t="str">
        <f t="shared" si="70"/>
        <v>09-2014</v>
      </c>
      <c r="N1534">
        <f t="shared" si="71"/>
        <v>9.99</v>
      </c>
    </row>
    <row r="1535" spans="3:14" x14ac:dyDescent="0.25">
      <c r="C1535" t="str">
        <f>IF(COUNTBLANK(E1535:K1535) = 7,"",IF(AND(NOT(ISBLANK(E1535)),COUNTBLANK(E1535:K1535) = 6),"3 Delete",IF(ISBLANK(E1535),"2 Add",IF(SHA1Range(E1535:K1535) = "3ad864d30794b1600ff85b2cb7378dd127b9a87e","0 Original","1 Modify"))))</f>
        <v>0 Original</v>
      </c>
      <c r="D1535" s="5" t="s">
        <v>3692</v>
      </c>
      <c r="E1535" s="3">
        <v>3119</v>
      </c>
      <c r="F1535" t="s">
        <v>1432</v>
      </c>
      <c r="G1535" t="s">
        <v>400</v>
      </c>
      <c r="H1535" s="9">
        <v>4.99</v>
      </c>
      <c r="I1535" s="3">
        <v>2</v>
      </c>
      <c r="J1535" s="5" t="s">
        <v>68</v>
      </c>
      <c r="K1535" s="15">
        <v>41910.456400462965</v>
      </c>
      <c r="L1535" s="20">
        <f t="shared" si="69"/>
        <v>41910</v>
      </c>
      <c r="M1535" t="str">
        <f t="shared" si="70"/>
        <v>09-2014</v>
      </c>
      <c r="N1535">
        <f t="shared" si="71"/>
        <v>9.98</v>
      </c>
    </row>
    <row r="1536" spans="3:14" x14ac:dyDescent="0.25">
      <c r="C1536" t="str">
        <f>IF(COUNTBLANK(E1536:K1536) = 7,"",IF(AND(NOT(ISBLANK(E1536)),COUNTBLANK(E1536:K1536) = 6),"3 Delete",IF(ISBLANK(E1536),"2 Add",IF(SHA1Range(E1536:K1536) = "a0a5b48a59470b94f05d64ce59e1e8d42c7584d9","0 Original","1 Modify"))))</f>
        <v>0 Original</v>
      </c>
      <c r="D1536" s="5" t="s">
        <v>3693</v>
      </c>
      <c r="E1536" s="3">
        <v>3120</v>
      </c>
      <c r="F1536" t="s">
        <v>1432</v>
      </c>
      <c r="G1536" t="s">
        <v>373</v>
      </c>
      <c r="H1536" s="9">
        <v>7.99</v>
      </c>
      <c r="I1536" s="3">
        <v>1</v>
      </c>
      <c r="J1536" s="5" t="s">
        <v>68</v>
      </c>
      <c r="K1536" s="15">
        <v>41910.456400462965</v>
      </c>
      <c r="L1536" s="20">
        <f t="shared" si="69"/>
        <v>41910</v>
      </c>
      <c r="M1536" t="str">
        <f t="shared" si="70"/>
        <v>09-2014</v>
      </c>
      <c r="N1536">
        <f t="shared" si="71"/>
        <v>7.99</v>
      </c>
    </row>
    <row r="1537" spans="3:14" x14ac:dyDescent="0.25">
      <c r="C1537" t="str">
        <f>IF(COUNTBLANK(E1537:K1537) = 7,"",IF(AND(NOT(ISBLANK(E1537)),COUNTBLANK(E1537:K1537) = 6),"3 Delete",IF(ISBLANK(E1537),"2 Add",IF(SHA1Range(E1537:K1537) = "9556b74cb75a7c3ed7c22b38832f81a39a031241","0 Original","1 Modify"))))</f>
        <v>0 Original</v>
      </c>
      <c r="D1537" s="5" t="s">
        <v>3694</v>
      </c>
      <c r="E1537" s="3">
        <v>2565</v>
      </c>
      <c r="F1537" t="s">
        <v>1433</v>
      </c>
      <c r="G1537" t="s">
        <v>642</v>
      </c>
      <c r="H1537" s="9">
        <v>9.99</v>
      </c>
      <c r="I1537" s="3">
        <v>2</v>
      </c>
      <c r="J1537" s="5" t="s">
        <v>68</v>
      </c>
      <c r="K1537" s="15">
        <v>41910.718726851854</v>
      </c>
      <c r="L1537" s="20">
        <f t="shared" si="69"/>
        <v>41910</v>
      </c>
      <c r="M1537" t="str">
        <f t="shared" si="70"/>
        <v>09-2014</v>
      </c>
      <c r="N1537">
        <f t="shared" si="71"/>
        <v>19.98</v>
      </c>
    </row>
    <row r="1538" spans="3:14" x14ac:dyDescent="0.25">
      <c r="C1538" t="str">
        <f>IF(COUNTBLANK(E1538:K1538) = 7,"",IF(AND(NOT(ISBLANK(E1538)),COUNTBLANK(E1538:K1538) = 6),"3 Delete",IF(ISBLANK(E1538),"2 Add",IF(SHA1Range(E1538:K1538) = "df32d8ca020f4417b789df190cc3a6e55cac1d17","0 Original","1 Modify"))))</f>
        <v>0 Original</v>
      </c>
      <c r="D1538" s="5" t="s">
        <v>3695</v>
      </c>
      <c r="E1538" s="3">
        <v>2566</v>
      </c>
      <c r="F1538" t="s">
        <v>1433</v>
      </c>
      <c r="G1538" t="s">
        <v>579</v>
      </c>
      <c r="H1538" s="9">
        <v>9.99</v>
      </c>
      <c r="I1538" s="3">
        <v>1</v>
      </c>
      <c r="J1538" s="5" t="s">
        <v>68</v>
      </c>
      <c r="K1538" s="15">
        <v>41910.718726851854</v>
      </c>
      <c r="L1538" s="20">
        <f t="shared" si="69"/>
        <v>41910</v>
      </c>
      <c r="M1538" t="str">
        <f t="shared" si="70"/>
        <v>09-2014</v>
      </c>
      <c r="N1538">
        <f t="shared" si="71"/>
        <v>9.99</v>
      </c>
    </row>
    <row r="1539" spans="3:14" x14ac:dyDescent="0.25">
      <c r="C1539" t="str">
        <f>IF(COUNTBLANK(E1539:K1539) = 7,"",IF(AND(NOT(ISBLANK(E1539)),COUNTBLANK(E1539:K1539) = 6),"3 Delete",IF(ISBLANK(E1539),"2 Add",IF(SHA1Range(E1539:K1539) = "32da75603ebbffcc6fb99eaacf5187674d238dca","0 Original","1 Modify"))))</f>
        <v>0 Original</v>
      </c>
      <c r="D1539" s="5" t="s">
        <v>4274</v>
      </c>
      <c r="E1539" s="3">
        <v>889</v>
      </c>
      <c r="F1539" t="s">
        <v>1434</v>
      </c>
      <c r="G1539" t="s">
        <v>482</v>
      </c>
      <c r="H1539" s="9">
        <v>8.99</v>
      </c>
      <c r="I1539" s="3">
        <v>2</v>
      </c>
      <c r="J1539" s="5" t="s">
        <v>68</v>
      </c>
      <c r="K1539" s="15">
        <v>41910.964999999997</v>
      </c>
      <c r="L1539" s="20">
        <f t="shared" ref="L1539:L1602" si="72">DATEVALUE(LEFT(F1539,10))</f>
        <v>41910</v>
      </c>
      <c r="M1539" t="str">
        <f t="shared" ref="M1539:M1602" si="73">TEXT(L1539,"mm-yyyy")</f>
        <v>09-2014</v>
      </c>
      <c r="N1539">
        <f t="shared" ref="N1539:N1602" si="74">H1539*I1539</f>
        <v>17.98</v>
      </c>
    </row>
    <row r="1540" spans="3:14" x14ac:dyDescent="0.25">
      <c r="C1540" t="str">
        <f>IF(COUNTBLANK(E1540:K1540) = 7,"",IF(AND(NOT(ISBLANK(E1540)),COUNTBLANK(E1540:K1540) = 6),"3 Delete",IF(ISBLANK(E1540),"2 Add",IF(SHA1Range(E1540:K1540) = "b6862a2e72a8de4e2c152b3044c9c0a55f0db893","0 Original","1 Modify"))))</f>
        <v>0 Original</v>
      </c>
      <c r="D1540" s="5" t="s">
        <v>4275</v>
      </c>
      <c r="E1540" s="3">
        <v>890</v>
      </c>
      <c r="F1540" t="s">
        <v>1434</v>
      </c>
      <c r="G1540" t="s">
        <v>389</v>
      </c>
      <c r="H1540" s="9">
        <v>4.99</v>
      </c>
      <c r="I1540" s="3">
        <v>2</v>
      </c>
      <c r="J1540" s="5" t="s">
        <v>68</v>
      </c>
      <c r="K1540" s="15">
        <v>41910.964999999997</v>
      </c>
      <c r="L1540" s="20">
        <f t="shared" si="72"/>
        <v>41910</v>
      </c>
      <c r="M1540" t="str">
        <f t="shared" si="73"/>
        <v>09-2014</v>
      </c>
      <c r="N1540">
        <f t="shared" si="74"/>
        <v>9.98</v>
      </c>
    </row>
    <row r="1541" spans="3:14" x14ac:dyDescent="0.25">
      <c r="C1541" t="str">
        <f>IF(COUNTBLANK(E1541:K1541) = 7,"",IF(AND(NOT(ISBLANK(E1541)),COUNTBLANK(E1541:K1541) = 6),"3 Delete",IF(ISBLANK(E1541),"2 Add",IF(SHA1Range(E1541:K1541) = "130e4cd8f6ca4f6aa12de44506c70f095d811817","0 Original","1 Modify"))))</f>
        <v>0 Original</v>
      </c>
      <c r="D1541" s="5" t="s">
        <v>4276</v>
      </c>
      <c r="E1541" s="3">
        <v>891</v>
      </c>
      <c r="F1541" t="s">
        <v>1434</v>
      </c>
      <c r="G1541" t="s">
        <v>732</v>
      </c>
      <c r="H1541" s="9">
        <v>9.99</v>
      </c>
      <c r="I1541" s="3">
        <v>1</v>
      </c>
      <c r="J1541" s="5" t="s">
        <v>68</v>
      </c>
      <c r="K1541" s="15">
        <v>41910.964999999997</v>
      </c>
      <c r="L1541" s="20">
        <f t="shared" si="72"/>
        <v>41910</v>
      </c>
      <c r="M1541" t="str">
        <f t="shared" si="73"/>
        <v>09-2014</v>
      </c>
      <c r="N1541">
        <f t="shared" si="74"/>
        <v>9.99</v>
      </c>
    </row>
    <row r="1542" spans="3:14" x14ac:dyDescent="0.25">
      <c r="C1542" t="str">
        <f>IF(COUNTBLANK(E1542:K1542) = 7,"",IF(AND(NOT(ISBLANK(E1542)),COUNTBLANK(E1542:K1542) = 6),"3 Delete",IF(ISBLANK(E1542),"2 Add",IF(SHA1Range(E1542:K1542) = "a3de9ec52c1d15d99db26d3d978c5545e333bde2","0 Original","1 Modify"))))</f>
        <v>0 Original</v>
      </c>
      <c r="D1542" s="5" t="s">
        <v>4277</v>
      </c>
      <c r="E1542" s="3">
        <v>892</v>
      </c>
      <c r="F1542" t="s">
        <v>1434</v>
      </c>
      <c r="G1542" t="s">
        <v>761</v>
      </c>
      <c r="H1542" s="9">
        <v>8.99</v>
      </c>
      <c r="I1542" s="3">
        <v>1</v>
      </c>
      <c r="J1542" s="5" t="s">
        <v>68</v>
      </c>
      <c r="K1542" s="15">
        <v>41910.964999999997</v>
      </c>
      <c r="L1542" s="20">
        <f t="shared" si="72"/>
        <v>41910</v>
      </c>
      <c r="M1542" t="str">
        <f t="shared" si="73"/>
        <v>09-2014</v>
      </c>
      <c r="N1542">
        <f t="shared" si="74"/>
        <v>8.99</v>
      </c>
    </row>
    <row r="1543" spans="3:14" x14ac:dyDescent="0.25">
      <c r="C1543" t="str">
        <f>IF(COUNTBLANK(E1543:K1543) = 7,"",IF(AND(NOT(ISBLANK(E1543)),COUNTBLANK(E1543:K1543) = 6),"3 Delete",IF(ISBLANK(E1543),"2 Add",IF(SHA1Range(E1543:K1543) = "6263715d6cb5c3467a37be76ef05a43c3cab2c25","0 Original","1 Modify"))))</f>
        <v>0 Original</v>
      </c>
      <c r="D1543" s="5" t="s">
        <v>4278</v>
      </c>
      <c r="E1543" s="3">
        <v>893</v>
      </c>
      <c r="F1543" t="s">
        <v>1434</v>
      </c>
      <c r="G1543" t="s">
        <v>697</v>
      </c>
      <c r="H1543" s="9">
        <v>5.99</v>
      </c>
      <c r="I1543" s="3">
        <v>1</v>
      </c>
      <c r="J1543" s="5" t="s">
        <v>68</v>
      </c>
      <c r="K1543" s="15">
        <v>41910.964999999997</v>
      </c>
      <c r="L1543" s="20">
        <f t="shared" si="72"/>
        <v>41910</v>
      </c>
      <c r="M1543" t="str">
        <f t="shared" si="73"/>
        <v>09-2014</v>
      </c>
      <c r="N1543">
        <f t="shared" si="74"/>
        <v>5.99</v>
      </c>
    </row>
    <row r="1544" spans="3:14" x14ac:dyDescent="0.25">
      <c r="C1544" t="str">
        <f>IF(COUNTBLANK(E1544:K1544) = 7,"",IF(AND(NOT(ISBLANK(E1544)),COUNTBLANK(E1544:K1544) = 6),"3 Delete",IF(ISBLANK(E1544),"2 Add",IF(SHA1Range(E1544:K1544) = "af4e3177ce1c234b02b8df447acf0d0bd59b070a","0 Original","1 Modify"))))</f>
        <v>0 Original</v>
      </c>
      <c r="D1544" s="5" t="s">
        <v>4279</v>
      </c>
      <c r="E1544" s="3">
        <v>894</v>
      </c>
      <c r="F1544" t="s">
        <v>1434</v>
      </c>
      <c r="G1544" t="s">
        <v>842</v>
      </c>
      <c r="H1544" s="9">
        <v>4.99</v>
      </c>
      <c r="I1544" s="3">
        <v>1</v>
      </c>
      <c r="J1544" s="5" t="s">
        <v>68</v>
      </c>
      <c r="K1544" s="15">
        <v>41910.964999999997</v>
      </c>
      <c r="L1544" s="20">
        <f t="shared" si="72"/>
        <v>41910</v>
      </c>
      <c r="M1544" t="str">
        <f t="shared" si="73"/>
        <v>09-2014</v>
      </c>
      <c r="N1544">
        <f t="shared" si="74"/>
        <v>4.99</v>
      </c>
    </row>
    <row r="1545" spans="3:14" x14ac:dyDescent="0.25">
      <c r="C1545" t="str">
        <f>IF(COUNTBLANK(E1545:K1545) = 7,"",IF(AND(NOT(ISBLANK(E1545)),COUNTBLANK(E1545:K1545) = 6),"3 Delete",IF(ISBLANK(E1545),"2 Add",IF(SHA1Range(E1545:K1545) = "3a054ecf20d0b0023dfc510f374690f85e60e4bb","0 Original","1 Modify"))))</f>
        <v>0 Original</v>
      </c>
      <c r="D1545" s="5" t="s">
        <v>3696</v>
      </c>
      <c r="E1545" s="3">
        <v>1661</v>
      </c>
      <c r="F1545" t="s">
        <v>1435</v>
      </c>
      <c r="G1545" t="s">
        <v>935</v>
      </c>
      <c r="H1545" s="9">
        <v>6.99</v>
      </c>
      <c r="I1545" s="3">
        <v>2</v>
      </c>
      <c r="J1545" s="5" t="s">
        <v>68</v>
      </c>
      <c r="K1545" s="15">
        <v>41912.053969907407</v>
      </c>
      <c r="L1545" s="20">
        <f t="shared" si="72"/>
        <v>41912</v>
      </c>
      <c r="M1545" t="str">
        <f t="shared" si="73"/>
        <v>09-2014</v>
      </c>
      <c r="N1545">
        <f t="shared" si="74"/>
        <v>13.98</v>
      </c>
    </row>
    <row r="1546" spans="3:14" x14ac:dyDescent="0.25">
      <c r="C1546" t="str">
        <f>IF(COUNTBLANK(E1546:K1546) = 7,"",IF(AND(NOT(ISBLANK(E1546)),COUNTBLANK(E1546:K1546) = 6),"3 Delete",IF(ISBLANK(E1546),"2 Add",IF(SHA1Range(E1546:K1546) = "a09fee96f2a600f2a56ba049699711449e1999a1","0 Original","1 Modify"))))</f>
        <v>0 Original</v>
      </c>
      <c r="D1546" s="5" t="s">
        <v>3697</v>
      </c>
      <c r="E1546" s="3">
        <v>1662</v>
      </c>
      <c r="F1546" t="s">
        <v>1435</v>
      </c>
      <c r="G1546" t="s">
        <v>680</v>
      </c>
      <c r="H1546" s="9">
        <v>8.99</v>
      </c>
      <c r="I1546" s="3">
        <v>1</v>
      </c>
      <c r="J1546" s="5" t="s">
        <v>68</v>
      </c>
      <c r="K1546" s="15">
        <v>41912.053969907407</v>
      </c>
      <c r="L1546" s="20">
        <f t="shared" si="72"/>
        <v>41912</v>
      </c>
      <c r="M1546" t="str">
        <f t="shared" si="73"/>
        <v>09-2014</v>
      </c>
      <c r="N1546">
        <f t="shared" si="74"/>
        <v>8.99</v>
      </c>
    </row>
    <row r="1547" spans="3:14" x14ac:dyDescent="0.25">
      <c r="C1547" t="str">
        <f>IF(COUNTBLANK(E1547:K1547) = 7,"",IF(AND(NOT(ISBLANK(E1547)),COUNTBLANK(E1547:K1547) = 6),"3 Delete",IF(ISBLANK(E1547),"2 Add",IF(SHA1Range(E1547:K1547) = "5f719edaaa0d539a273a3799d1e60f8cb9d1037b","0 Original","1 Modify"))))</f>
        <v>0 Original</v>
      </c>
      <c r="D1547" s="5" t="s">
        <v>4280</v>
      </c>
      <c r="E1547" s="3">
        <v>727</v>
      </c>
      <c r="F1547" t="s">
        <v>1436</v>
      </c>
      <c r="G1547" t="s">
        <v>642</v>
      </c>
      <c r="H1547" s="9">
        <v>9.99</v>
      </c>
      <c r="I1547" s="3">
        <v>1</v>
      </c>
      <c r="J1547" s="5" t="s">
        <v>68</v>
      </c>
      <c r="K1547" s="15">
        <v>41912.951331018521</v>
      </c>
      <c r="L1547" s="20">
        <f t="shared" si="72"/>
        <v>41912</v>
      </c>
      <c r="M1547" t="str">
        <f t="shared" si="73"/>
        <v>09-2014</v>
      </c>
      <c r="N1547">
        <f t="shared" si="74"/>
        <v>9.99</v>
      </c>
    </row>
    <row r="1548" spans="3:14" x14ac:dyDescent="0.25">
      <c r="C1548" t="str">
        <f>IF(COUNTBLANK(E1548:K1548) = 7,"",IF(AND(NOT(ISBLANK(E1548)),COUNTBLANK(E1548:K1548) = 6),"3 Delete",IF(ISBLANK(E1548),"2 Add",IF(SHA1Range(E1548:K1548) = "3f677da2e0b2956dae806c319bf9f2da3915868c","0 Original","1 Modify"))))</f>
        <v>0 Original</v>
      </c>
      <c r="D1548" s="5" t="s">
        <v>4281</v>
      </c>
      <c r="E1548" s="3">
        <v>728</v>
      </c>
      <c r="F1548" t="s">
        <v>1436</v>
      </c>
      <c r="G1548" t="s">
        <v>735</v>
      </c>
      <c r="H1548" s="9">
        <v>4.99</v>
      </c>
      <c r="I1548" s="3">
        <v>1</v>
      </c>
      <c r="J1548" s="5" t="s">
        <v>68</v>
      </c>
      <c r="K1548" s="15">
        <v>41912.951331018521</v>
      </c>
      <c r="L1548" s="20">
        <f t="shared" si="72"/>
        <v>41912</v>
      </c>
      <c r="M1548" t="str">
        <f t="shared" si="73"/>
        <v>09-2014</v>
      </c>
      <c r="N1548">
        <f t="shared" si="74"/>
        <v>4.99</v>
      </c>
    </row>
    <row r="1549" spans="3:14" x14ac:dyDescent="0.25">
      <c r="C1549" t="str">
        <f>IF(COUNTBLANK(E1549:K1549) = 7,"",IF(AND(NOT(ISBLANK(E1549)),COUNTBLANK(E1549:K1549) = 6),"3 Delete",IF(ISBLANK(E1549),"2 Add",IF(SHA1Range(E1549:K1549) = "3190d226573764f8de219411bece20486b877729","0 Original","1 Modify"))))</f>
        <v>0 Original</v>
      </c>
      <c r="D1549" s="5" t="s">
        <v>4282</v>
      </c>
      <c r="E1549" s="3">
        <v>729</v>
      </c>
      <c r="F1549" t="s">
        <v>1436</v>
      </c>
      <c r="G1549" t="s">
        <v>396</v>
      </c>
      <c r="H1549" s="9">
        <v>8.99</v>
      </c>
      <c r="I1549" s="3">
        <v>2</v>
      </c>
      <c r="J1549" s="5" t="s">
        <v>68</v>
      </c>
      <c r="K1549" s="15">
        <v>41912.951331018521</v>
      </c>
      <c r="L1549" s="20">
        <f t="shared" si="72"/>
        <v>41912</v>
      </c>
      <c r="M1549" t="str">
        <f t="shared" si="73"/>
        <v>09-2014</v>
      </c>
      <c r="N1549">
        <f t="shared" si="74"/>
        <v>17.98</v>
      </c>
    </row>
    <row r="1550" spans="3:14" x14ac:dyDescent="0.25">
      <c r="C1550" t="str">
        <f>IF(COUNTBLANK(E1550:K1550) = 7,"",IF(AND(NOT(ISBLANK(E1550)),COUNTBLANK(E1550:K1550) = 6),"3 Delete",IF(ISBLANK(E1550),"2 Add",IF(SHA1Range(E1550:K1550) = "5968227310af656b9f892ae83947596ab31721cd","0 Original","1 Modify"))))</f>
        <v>0 Original</v>
      </c>
      <c r="D1550" s="5" t="s">
        <v>3698</v>
      </c>
      <c r="E1550" s="3">
        <v>1392</v>
      </c>
      <c r="F1550" t="s">
        <v>1437</v>
      </c>
      <c r="G1550" t="s">
        <v>845</v>
      </c>
      <c r="H1550" s="9">
        <v>7.99</v>
      </c>
      <c r="I1550" s="3">
        <v>2</v>
      </c>
      <c r="J1550" s="5" t="s">
        <v>68</v>
      </c>
      <c r="K1550" s="15">
        <v>41914.386493055557</v>
      </c>
      <c r="L1550" s="20">
        <f t="shared" si="72"/>
        <v>41914</v>
      </c>
      <c r="M1550" t="str">
        <f t="shared" si="73"/>
        <v>10-2014</v>
      </c>
      <c r="N1550">
        <f t="shared" si="74"/>
        <v>15.98</v>
      </c>
    </row>
    <row r="1551" spans="3:14" x14ac:dyDescent="0.25">
      <c r="C1551" t="str">
        <f>IF(COUNTBLANK(E1551:K1551) = 7,"",IF(AND(NOT(ISBLANK(E1551)),COUNTBLANK(E1551:K1551) = 6),"3 Delete",IF(ISBLANK(E1551),"2 Add",IF(SHA1Range(E1551:K1551) = "3a5b0671bd8a373502e3991e30a21433baa5280a","0 Original","1 Modify"))))</f>
        <v>0 Original</v>
      </c>
      <c r="D1551" s="5" t="s">
        <v>3699</v>
      </c>
      <c r="E1551" s="3">
        <v>1393</v>
      </c>
      <c r="F1551" t="s">
        <v>1437</v>
      </c>
      <c r="G1551" t="s">
        <v>445</v>
      </c>
      <c r="H1551" s="9">
        <v>7.99</v>
      </c>
      <c r="I1551" s="3">
        <v>1</v>
      </c>
      <c r="J1551" s="5" t="s">
        <v>68</v>
      </c>
      <c r="K1551" s="15">
        <v>41914.386493055557</v>
      </c>
      <c r="L1551" s="20">
        <f t="shared" si="72"/>
        <v>41914</v>
      </c>
      <c r="M1551" t="str">
        <f t="shared" si="73"/>
        <v>10-2014</v>
      </c>
      <c r="N1551">
        <f t="shared" si="74"/>
        <v>7.99</v>
      </c>
    </row>
    <row r="1552" spans="3:14" x14ac:dyDescent="0.25">
      <c r="C1552" t="str">
        <f>IF(COUNTBLANK(E1552:K1552) = 7,"",IF(AND(NOT(ISBLANK(E1552)),COUNTBLANK(E1552:K1552) = 6),"3 Delete",IF(ISBLANK(E1552),"2 Add",IF(SHA1Range(E1552:K1552) = "220dcdc142a54c324d59ef81eebcc2adbac2a811","0 Original","1 Modify"))))</f>
        <v>0 Original</v>
      </c>
      <c r="D1552" s="5" t="s">
        <v>3700</v>
      </c>
      <c r="E1552" s="3">
        <v>1394</v>
      </c>
      <c r="F1552" t="s">
        <v>1437</v>
      </c>
      <c r="G1552" t="s">
        <v>897</v>
      </c>
      <c r="H1552" s="9">
        <v>6.99</v>
      </c>
      <c r="I1552" s="3">
        <v>2</v>
      </c>
      <c r="J1552" s="5" t="s">
        <v>68</v>
      </c>
      <c r="K1552" s="15">
        <v>41914.386493055557</v>
      </c>
      <c r="L1552" s="20">
        <f t="shared" si="72"/>
        <v>41914</v>
      </c>
      <c r="M1552" t="str">
        <f t="shared" si="73"/>
        <v>10-2014</v>
      </c>
      <c r="N1552">
        <f t="shared" si="74"/>
        <v>13.98</v>
      </c>
    </row>
    <row r="1553" spans="3:14" x14ac:dyDescent="0.25">
      <c r="C1553" t="str">
        <f>IF(COUNTBLANK(E1553:K1553) = 7,"",IF(AND(NOT(ISBLANK(E1553)),COUNTBLANK(E1553:K1553) = 6),"3 Delete",IF(ISBLANK(E1553),"2 Add",IF(SHA1Range(E1553:K1553) = "5f3a7e00a39c671d6a249b9f42d14c4234d661d3","0 Original","1 Modify"))))</f>
        <v>0 Original</v>
      </c>
      <c r="D1553" s="5" t="s">
        <v>3701</v>
      </c>
      <c r="E1553" s="3">
        <v>1395</v>
      </c>
      <c r="F1553" t="s">
        <v>1437</v>
      </c>
      <c r="G1553" t="s">
        <v>690</v>
      </c>
      <c r="H1553" s="9">
        <v>7.99</v>
      </c>
      <c r="I1553" s="3">
        <v>1</v>
      </c>
      <c r="J1553" s="5" t="s">
        <v>68</v>
      </c>
      <c r="K1553" s="15">
        <v>41914.386493055557</v>
      </c>
      <c r="L1553" s="20">
        <f t="shared" si="72"/>
        <v>41914</v>
      </c>
      <c r="M1553" t="str">
        <f t="shared" si="73"/>
        <v>10-2014</v>
      </c>
      <c r="N1553">
        <f t="shared" si="74"/>
        <v>7.99</v>
      </c>
    </row>
    <row r="1554" spans="3:14" x14ac:dyDescent="0.25">
      <c r="C1554" t="str">
        <f>IF(COUNTBLANK(E1554:K1554) = 7,"",IF(AND(NOT(ISBLANK(E1554)),COUNTBLANK(E1554:K1554) = 6),"3 Delete",IF(ISBLANK(E1554),"2 Add",IF(SHA1Range(E1554:K1554) = "bae54821ce96bcf909cfd3dccd796b926c42a622","0 Original","1 Modify"))))</f>
        <v>0 Original</v>
      </c>
      <c r="D1554" s="5" t="s">
        <v>3702</v>
      </c>
      <c r="E1554" s="3">
        <v>1396</v>
      </c>
      <c r="F1554" t="s">
        <v>1437</v>
      </c>
      <c r="G1554" t="s">
        <v>912</v>
      </c>
      <c r="H1554" s="9">
        <v>6.99</v>
      </c>
      <c r="I1554" s="3">
        <v>1</v>
      </c>
      <c r="J1554" s="5" t="s">
        <v>68</v>
      </c>
      <c r="K1554" s="15">
        <v>41914.386493055557</v>
      </c>
      <c r="L1554" s="20">
        <f t="shared" si="72"/>
        <v>41914</v>
      </c>
      <c r="M1554" t="str">
        <f t="shared" si="73"/>
        <v>10-2014</v>
      </c>
      <c r="N1554">
        <f t="shared" si="74"/>
        <v>6.99</v>
      </c>
    </row>
    <row r="1555" spans="3:14" x14ac:dyDescent="0.25">
      <c r="C1555" t="str">
        <f>IF(COUNTBLANK(E1555:K1555) = 7,"",IF(AND(NOT(ISBLANK(E1555)),COUNTBLANK(E1555:K1555) = 6),"3 Delete",IF(ISBLANK(E1555),"2 Add",IF(SHA1Range(E1555:K1555) = "7d64800db8f8b741c6176a95d36e520ee3b8d0e6","0 Original","1 Modify"))))</f>
        <v>0 Original</v>
      </c>
      <c r="D1555" s="5" t="s">
        <v>3703</v>
      </c>
      <c r="E1555" s="3">
        <v>1397</v>
      </c>
      <c r="F1555" t="s">
        <v>1437</v>
      </c>
      <c r="G1555" t="s">
        <v>389</v>
      </c>
      <c r="H1555" s="9">
        <v>4.99</v>
      </c>
      <c r="I1555" s="3">
        <v>2</v>
      </c>
      <c r="J1555" s="5" t="s">
        <v>68</v>
      </c>
      <c r="K1555" s="15">
        <v>41914.386493055557</v>
      </c>
      <c r="L1555" s="20">
        <f t="shared" si="72"/>
        <v>41914</v>
      </c>
      <c r="M1555" t="str">
        <f t="shared" si="73"/>
        <v>10-2014</v>
      </c>
      <c r="N1555">
        <f t="shared" si="74"/>
        <v>9.98</v>
      </c>
    </row>
    <row r="1556" spans="3:14" x14ac:dyDescent="0.25">
      <c r="C1556" t="str">
        <f>IF(COUNTBLANK(E1556:K1556) = 7,"",IF(AND(NOT(ISBLANK(E1556)),COUNTBLANK(E1556:K1556) = 6),"3 Delete",IF(ISBLANK(E1556),"2 Add",IF(SHA1Range(E1556:K1556) = "f38040fd6940f4c99ea5576fa1ef62ea9bae0b66","0 Original","1 Modify"))))</f>
        <v>0 Original</v>
      </c>
      <c r="D1556" s="5" t="s">
        <v>3704</v>
      </c>
      <c r="E1556" s="3">
        <v>1398</v>
      </c>
      <c r="F1556" t="s">
        <v>1437</v>
      </c>
      <c r="G1556" t="s">
        <v>610</v>
      </c>
      <c r="H1556" s="9">
        <v>9.99</v>
      </c>
      <c r="I1556" s="3">
        <v>2</v>
      </c>
      <c r="J1556" s="5" t="s">
        <v>68</v>
      </c>
      <c r="K1556" s="15">
        <v>41914.386493055557</v>
      </c>
      <c r="L1556" s="20">
        <f t="shared" si="72"/>
        <v>41914</v>
      </c>
      <c r="M1556" t="str">
        <f t="shared" si="73"/>
        <v>10-2014</v>
      </c>
      <c r="N1556">
        <f t="shared" si="74"/>
        <v>19.98</v>
      </c>
    </row>
    <row r="1557" spans="3:14" x14ac:dyDescent="0.25">
      <c r="C1557" t="str">
        <f>IF(COUNTBLANK(E1557:K1557) = 7,"",IF(AND(NOT(ISBLANK(E1557)),COUNTBLANK(E1557:K1557) = 6),"3 Delete",IF(ISBLANK(E1557),"2 Add",IF(SHA1Range(E1557:K1557) = "a1ffb4a18573beedfb49ae18f572531416006d1d","0 Original","1 Modify"))))</f>
        <v>0 Original</v>
      </c>
      <c r="D1557" s="5" t="s">
        <v>4283</v>
      </c>
      <c r="E1557" s="3">
        <v>299</v>
      </c>
      <c r="F1557" t="s">
        <v>1438</v>
      </c>
      <c r="G1557" t="s">
        <v>774</v>
      </c>
      <c r="H1557" s="9">
        <v>5.99</v>
      </c>
      <c r="I1557" s="3">
        <v>1</v>
      </c>
      <c r="J1557" s="5" t="s">
        <v>68</v>
      </c>
      <c r="K1557" s="15">
        <v>41914.636030092595</v>
      </c>
      <c r="L1557" s="20">
        <f t="shared" si="72"/>
        <v>41914</v>
      </c>
      <c r="M1557" t="str">
        <f t="shared" si="73"/>
        <v>10-2014</v>
      </c>
      <c r="N1557">
        <f t="shared" si="74"/>
        <v>5.99</v>
      </c>
    </row>
    <row r="1558" spans="3:14" x14ac:dyDescent="0.25">
      <c r="C1558" t="str">
        <f>IF(COUNTBLANK(E1558:K1558) = 7,"",IF(AND(NOT(ISBLANK(E1558)),COUNTBLANK(E1558:K1558) = 6),"3 Delete",IF(ISBLANK(E1558),"2 Add",IF(SHA1Range(E1558:K1558) = "5350e766eb0a7f3c8af8c0ad24198c91dfee1f8e","0 Original","1 Modify"))))</f>
        <v>0 Original</v>
      </c>
      <c r="D1558" s="5" t="s">
        <v>4284</v>
      </c>
      <c r="E1558" s="3">
        <v>300</v>
      </c>
      <c r="F1558" t="s">
        <v>1438</v>
      </c>
      <c r="G1558" t="s">
        <v>552</v>
      </c>
      <c r="H1558" s="9">
        <v>6.99</v>
      </c>
      <c r="I1558" s="3">
        <v>2</v>
      </c>
      <c r="J1558" s="5" t="s">
        <v>68</v>
      </c>
      <c r="K1558" s="15">
        <v>41914.636030092595</v>
      </c>
      <c r="L1558" s="20">
        <f t="shared" si="72"/>
        <v>41914</v>
      </c>
      <c r="M1558" t="str">
        <f t="shared" si="73"/>
        <v>10-2014</v>
      </c>
      <c r="N1558">
        <f t="shared" si="74"/>
        <v>13.98</v>
      </c>
    </row>
    <row r="1559" spans="3:14" x14ac:dyDescent="0.25">
      <c r="C1559" t="str">
        <f>IF(COUNTBLANK(E1559:K1559) = 7,"",IF(AND(NOT(ISBLANK(E1559)),COUNTBLANK(E1559:K1559) = 6),"3 Delete",IF(ISBLANK(E1559),"2 Add",IF(SHA1Range(E1559:K1559) = "ee3900f227b9251f975c953d8dac167a00c7011e","0 Original","1 Modify"))))</f>
        <v>0 Original</v>
      </c>
      <c r="D1559" s="5" t="s">
        <v>4285</v>
      </c>
      <c r="E1559" s="3">
        <v>301</v>
      </c>
      <c r="F1559" t="s">
        <v>1438</v>
      </c>
      <c r="G1559" t="s">
        <v>442</v>
      </c>
      <c r="H1559" s="9">
        <v>4.99</v>
      </c>
      <c r="I1559" s="3">
        <v>1</v>
      </c>
      <c r="J1559" s="5" t="s">
        <v>68</v>
      </c>
      <c r="K1559" s="15">
        <v>41914.636030092595</v>
      </c>
      <c r="L1559" s="20">
        <f t="shared" si="72"/>
        <v>41914</v>
      </c>
      <c r="M1559" t="str">
        <f t="shared" si="73"/>
        <v>10-2014</v>
      </c>
      <c r="N1559">
        <f t="shared" si="74"/>
        <v>4.99</v>
      </c>
    </row>
    <row r="1560" spans="3:14" x14ac:dyDescent="0.25">
      <c r="C1560" t="str">
        <f>IF(COUNTBLANK(E1560:K1560) = 7,"",IF(AND(NOT(ISBLANK(E1560)),COUNTBLANK(E1560:K1560) = 6),"3 Delete",IF(ISBLANK(E1560),"2 Add",IF(SHA1Range(E1560:K1560) = "1ac6ea3e449533b28a12949e28b56de8e0bfe252","0 Original","1 Modify"))))</f>
        <v>0 Original</v>
      </c>
      <c r="D1560" s="5" t="s">
        <v>4286</v>
      </c>
      <c r="E1560" s="3">
        <v>302</v>
      </c>
      <c r="F1560" t="s">
        <v>1438</v>
      </c>
      <c r="G1560" t="s">
        <v>690</v>
      </c>
      <c r="H1560" s="9">
        <v>7.99</v>
      </c>
      <c r="I1560" s="3">
        <v>1</v>
      </c>
      <c r="J1560" s="5" t="s">
        <v>68</v>
      </c>
      <c r="K1560" s="15">
        <v>41914.636030092595</v>
      </c>
      <c r="L1560" s="20">
        <f t="shared" si="72"/>
        <v>41914</v>
      </c>
      <c r="M1560" t="str">
        <f t="shared" si="73"/>
        <v>10-2014</v>
      </c>
      <c r="N1560">
        <f t="shared" si="74"/>
        <v>7.99</v>
      </c>
    </row>
    <row r="1561" spans="3:14" x14ac:dyDescent="0.25">
      <c r="C1561" t="str">
        <f>IF(COUNTBLANK(E1561:K1561) = 7,"",IF(AND(NOT(ISBLANK(E1561)),COUNTBLANK(E1561:K1561) = 6),"3 Delete",IF(ISBLANK(E1561),"2 Add",IF(SHA1Range(E1561:K1561) = "8c07d956bb12447649e2affe53253a65408a7863","0 Original","1 Modify"))))</f>
        <v>0 Original</v>
      </c>
      <c r="D1561" s="5" t="s">
        <v>4287</v>
      </c>
      <c r="E1561" s="3">
        <v>303</v>
      </c>
      <c r="F1561" t="s">
        <v>1438</v>
      </c>
      <c r="G1561" t="s">
        <v>693</v>
      </c>
      <c r="H1561" s="9">
        <v>7.99</v>
      </c>
      <c r="I1561" s="3">
        <v>1</v>
      </c>
      <c r="J1561" s="5" t="s">
        <v>68</v>
      </c>
      <c r="K1561" s="15">
        <v>41914.636030092595</v>
      </c>
      <c r="L1561" s="20">
        <f t="shared" si="72"/>
        <v>41914</v>
      </c>
      <c r="M1561" t="str">
        <f t="shared" si="73"/>
        <v>10-2014</v>
      </c>
      <c r="N1561">
        <f t="shared" si="74"/>
        <v>7.99</v>
      </c>
    </row>
    <row r="1562" spans="3:14" x14ac:dyDescent="0.25">
      <c r="C1562" t="str">
        <f>IF(COUNTBLANK(E1562:K1562) = 7,"",IF(AND(NOT(ISBLANK(E1562)),COUNTBLANK(E1562:K1562) = 6),"3 Delete",IF(ISBLANK(E1562),"2 Add",IF(SHA1Range(E1562:K1562) = "fd1eb6a611b35800a0ef88e9355678adb92abab1","0 Original","1 Modify"))))</f>
        <v>0 Original</v>
      </c>
      <c r="D1562" s="5" t="s">
        <v>4288</v>
      </c>
      <c r="E1562" s="3">
        <v>304</v>
      </c>
      <c r="F1562" t="s">
        <v>1438</v>
      </c>
      <c r="G1562" t="s">
        <v>746</v>
      </c>
      <c r="H1562" s="9">
        <v>7.99</v>
      </c>
      <c r="I1562" s="3">
        <v>1</v>
      </c>
      <c r="J1562" s="5" t="s">
        <v>68</v>
      </c>
      <c r="K1562" s="15">
        <v>41914.636030092595</v>
      </c>
      <c r="L1562" s="20">
        <f t="shared" si="72"/>
        <v>41914</v>
      </c>
      <c r="M1562" t="str">
        <f t="shared" si="73"/>
        <v>10-2014</v>
      </c>
      <c r="N1562">
        <f t="shared" si="74"/>
        <v>7.99</v>
      </c>
    </row>
    <row r="1563" spans="3:14" x14ac:dyDescent="0.25">
      <c r="C1563" t="str">
        <f>IF(COUNTBLANK(E1563:K1563) = 7,"",IF(AND(NOT(ISBLANK(E1563)),COUNTBLANK(E1563:K1563) = 6),"3 Delete",IF(ISBLANK(E1563),"2 Add",IF(SHA1Range(E1563:K1563) = "758879457ce6e7916af40be1d4840cb14888769c","0 Original","1 Modify"))))</f>
        <v>0 Original</v>
      </c>
      <c r="D1563" s="5" t="s">
        <v>4289</v>
      </c>
      <c r="E1563" s="3">
        <v>305</v>
      </c>
      <c r="F1563" t="s">
        <v>1438</v>
      </c>
      <c r="G1563" t="s">
        <v>628</v>
      </c>
      <c r="H1563" s="9">
        <v>6.99</v>
      </c>
      <c r="I1563" s="3">
        <v>1</v>
      </c>
      <c r="J1563" s="5" t="s">
        <v>68</v>
      </c>
      <c r="K1563" s="15">
        <v>41914.636030092595</v>
      </c>
      <c r="L1563" s="20">
        <f t="shared" si="72"/>
        <v>41914</v>
      </c>
      <c r="M1563" t="str">
        <f t="shared" si="73"/>
        <v>10-2014</v>
      </c>
      <c r="N1563">
        <f t="shared" si="74"/>
        <v>6.99</v>
      </c>
    </row>
    <row r="1564" spans="3:14" x14ac:dyDescent="0.25">
      <c r="C1564" t="str">
        <f>IF(COUNTBLANK(E1564:K1564) = 7,"",IF(AND(NOT(ISBLANK(E1564)),COUNTBLANK(E1564:K1564) = 6),"3 Delete",IF(ISBLANK(E1564),"2 Add",IF(SHA1Range(E1564:K1564) = "d584506b010b3f17c228abec62cfaff20e64875c","0 Original","1 Modify"))))</f>
        <v>0 Original</v>
      </c>
      <c r="D1564" s="5" t="s">
        <v>4290</v>
      </c>
      <c r="E1564" s="3">
        <v>306</v>
      </c>
      <c r="F1564" t="s">
        <v>1438</v>
      </c>
      <c r="G1564" t="s">
        <v>861</v>
      </c>
      <c r="H1564" s="9">
        <v>8.99</v>
      </c>
      <c r="I1564" s="3">
        <v>1</v>
      </c>
      <c r="J1564" s="5" t="s">
        <v>68</v>
      </c>
      <c r="K1564" s="15">
        <v>41914.636030092595</v>
      </c>
      <c r="L1564" s="20">
        <f t="shared" si="72"/>
        <v>41914</v>
      </c>
      <c r="M1564" t="str">
        <f t="shared" si="73"/>
        <v>10-2014</v>
      </c>
      <c r="N1564">
        <f t="shared" si="74"/>
        <v>8.99</v>
      </c>
    </row>
    <row r="1565" spans="3:14" x14ac:dyDescent="0.25">
      <c r="C1565" t="str">
        <f>IF(COUNTBLANK(E1565:K1565) = 7,"",IF(AND(NOT(ISBLANK(E1565)),COUNTBLANK(E1565:K1565) = 6),"3 Delete",IF(ISBLANK(E1565),"2 Add",IF(SHA1Range(E1565:K1565) = "15da56c7afd5e716acdbe67c7c0af4ba02479163","0 Original","1 Modify"))))</f>
        <v>0 Original</v>
      </c>
      <c r="D1565" s="5" t="s">
        <v>3705</v>
      </c>
      <c r="E1565" s="3">
        <v>3329</v>
      </c>
      <c r="F1565" t="s">
        <v>1439</v>
      </c>
      <c r="G1565" t="s">
        <v>579</v>
      </c>
      <c r="H1565" s="9">
        <v>9.99</v>
      </c>
      <c r="I1565" s="3">
        <v>1</v>
      </c>
      <c r="J1565" s="5" t="s">
        <v>68</v>
      </c>
      <c r="K1565" s="15">
        <v>41915.038831018515</v>
      </c>
      <c r="L1565" s="20">
        <f t="shared" si="72"/>
        <v>41915</v>
      </c>
      <c r="M1565" t="str">
        <f t="shared" si="73"/>
        <v>10-2014</v>
      </c>
      <c r="N1565">
        <f t="shared" si="74"/>
        <v>9.99</v>
      </c>
    </row>
    <row r="1566" spans="3:14" x14ac:dyDescent="0.25">
      <c r="C1566" t="str">
        <f>IF(COUNTBLANK(E1566:K1566) = 7,"",IF(AND(NOT(ISBLANK(E1566)),COUNTBLANK(E1566:K1566) = 6),"3 Delete",IF(ISBLANK(E1566),"2 Add",IF(SHA1Range(E1566:K1566) = "62a2af57f088caf75d0cf8546d6b4590fa988f4d","0 Original","1 Modify"))))</f>
        <v>0 Original</v>
      </c>
      <c r="D1566" s="5" t="s">
        <v>3706</v>
      </c>
      <c r="E1566" s="3">
        <v>3330</v>
      </c>
      <c r="F1566" t="s">
        <v>1439</v>
      </c>
      <c r="G1566" t="s">
        <v>687</v>
      </c>
      <c r="H1566" s="9">
        <v>9.99</v>
      </c>
      <c r="I1566" s="3">
        <v>1</v>
      </c>
      <c r="J1566" s="5" t="s">
        <v>68</v>
      </c>
      <c r="K1566" s="15">
        <v>41915.038831018515</v>
      </c>
      <c r="L1566" s="20">
        <f t="shared" si="72"/>
        <v>41915</v>
      </c>
      <c r="M1566" t="str">
        <f t="shared" si="73"/>
        <v>10-2014</v>
      </c>
      <c r="N1566">
        <f t="shared" si="74"/>
        <v>9.99</v>
      </c>
    </row>
    <row r="1567" spans="3:14" x14ac:dyDescent="0.25">
      <c r="C1567" t="str">
        <f>IF(COUNTBLANK(E1567:K1567) = 7,"",IF(AND(NOT(ISBLANK(E1567)),COUNTBLANK(E1567:K1567) = 6),"3 Delete",IF(ISBLANK(E1567),"2 Add",IF(SHA1Range(E1567:K1567) = "f28949d9c44ada490012f4cd974163f9c8da109e","0 Original","1 Modify"))))</f>
        <v>0 Original</v>
      </c>
      <c r="D1567" s="5" t="s">
        <v>3707</v>
      </c>
      <c r="E1567" s="3">
        <v>3331</v>
      </c>
      <c r="F1567" t="s">
        <v>1439</v>
      </c>
      <c r="G1567" t="s">
        <v>749</v>
      </c>
      <c r="H1567" s="9">
        <v>5.99</v>
      </c>
      <c r="I1567" s="3">
        <v>1</v>
      </c>
      <c r="J1567" s="5" t="s">
        <v>68</v>
      </c>
      <c r="K1567" s="15">
        <v>41915.038831018515</v>
      </c>
      <c r="L1567" s="20">
        <f t="shared" si="72"/>
        <v>41915</v>
      </c>
      <c r="M1567" t="str">
        <f t="shared" si="73"/>
        <v>10-2014</v>
      </c>
      <c r="N1567">
        <f t="shared" si="74"/>
        <v>5.99</v>
      </c>
    </row>
    <row r="1568" spans="3:14" x14ac:dyDescent="0.25">
      <c r="C1568" t="str">
        <f>IF(COUNTBLANK(E1568:K1568) = 7,"",IF(AND(NOT(ISBLANK(E1568)),COUNTBLANK(E1568:K1568) = 6),"3 Delete",IF(ISBLANK(E1568),"2 Add",IF(SHA1Range(E1568:K1568) = "8dc4d7c1605d2f4cdc3e3f3f000d47d9af68c1dc","0 Original","1 Modify"))))</f>
        <v>0 Original</v>
      </c>
      <c r="D1568" s="5" t="s">
        <v>3708</v>
      </c>
      <c r="E1568" s="3">
        <v>3332</v>
      </c>
      <c r="F1568" t="s">
        <v>1439</v>
      </c>
      <c r="G1568" t="s">
        <v>514</v>
      </c>
      <c r="H1568" s="9">
        <v>6.99</v>
      </c>
      <c r="I1568" s="3">
        <v>1</v>
      </c>
      <c r="J1568" s="5" t="s">
        <v>68</v>
      </c>
      <c r="K1568" s="15">
        <v>41915.038831018515</v>
      </c>
      <c r="L1568" s="20">
        <f t="shared" si="72"/>
        <v>41915</v>
      </c>
      <c r="M1568" t="str">
        <f t="shared" si="73"/>
        <v>10-2014</v>
      </c>
      <c r="N1568">
        <f t="shared" si="74"/>
        <v>6.99</v>
      </c>
    </row>
    <row r="1569" spans="3:14" x14ac:dyDescent="0.25">
      <c r="C1569" t="str">
        <f>IF(COUNTBLANK(E1569:K1569) = 7,"",IF(AND(NOT(ISBLANK(E1569)),COUNTBLANK(E1569:K1569) = 6),"3 Delete",IF(ISBLANK(E1569),"2 Add",IF(SHA1Range(E1569:K1569) = "15dd9880fc6c49365cb25d8e8e6de4c52cb121fc","0 Original","1 Modify"))))</f>
        <v>0 Original</v>
      </c>
      <c r="D1569" s="5" t="s">
        <v>3709</v>
      </c>
      <c r="E1569" s="3">
        <v>2526</v>
      </c>
      <c r="F1569" t="s">
        <v>1440</v>
      </c>
      <c r="G1569" t="s">
        <v>514</v>
      </c>
      <c r="H1569" s="9">
        <v>6.99</v>
      </c>
      <c r="I1569" s="3">
        <v>1</v>
      </c>
      <c r="J1569" s="5" t="s">
        <v>68</v>
      </c>
      <c r="K1569" s="15">
        <v>41917.776550925926</v>
      </c>
      <c r="L1569" s="20">
        <f t="shared" si="72"/>
        <v>41917</v>
      </c>
      <c r="M1569" t="str">
        <f t="shared" si="73"/>
        <v>10-2014</v>
      </c>
      <c r="N1569">
        <f t="shared" si="74"/>
        <v>6.99</v>
      </c>
    </row>
    <row r="1570" spans="3:14" x14ac:dyDescent="0.25">
      <c r="C1570" t="str">
        <f>IF(COUNTBLANK(E1570:K1570) = 7,"",IF(AND(NOT(ISBLANK(E1570)),COUNTBLANK(E1570:K1570) = 6),"3 Delete",IF(ISBLANK(E1570),"2 Add",IF(SHA1Range(E1570:K1570) = "a9a39d77046944d9ea9ab79e310f1b3a857fb682","0 Original","1 Modify"))))</f>
        <v>0 Original</v>
      </c>
      <c r="D1570" s="5" t="s">
        <v>3710</v>
      </c>
      <c r="E1570" s="3">
        <v>3179</v>
      </c>
      <c r="F1570" t="s">
        <v>1441</v>
      </c>
      <c r="G1570" t="s">
        <v>373</v>
      </c>
      <c r="H1570" s="9">
        <v>7.99</v>
      </c>
      <c r="I1570" s="3">
        <v>1</v>
      </c>
      <c r="J1570" s="5" t="s">
        <v>68</v>
      </c>
      <c r="K1570" s="15">
        <v>41918.101990740739</v>
      </c>
      <c r="L1570" s="20">
        <f t="shared" si="72"/>
        <v>41918</v>
      </c>
      <c r="M1570" t="str">
        <f t="shared" si="73"/>
        <v>10-2014</v>
      </c>
      <c r="N1570">
        <f t="shared" si="74"/>
        <v>7.99</v>
      </c>
    </row>
    <row r="1571" spans="3:14" x14ac:dyDescent="0.25">
      <c r="C1571" t="str">
        <f>IF(COUNTBLANK(E1571:K1571) = 7,"",IF(AND(NOT(ISBLANK(E1571)),COUNTBLANK(E1571:K1571) = 6),"3 Delete",IF(ISBLANK(E1571),"2 Add",IF(SHA1Range(E1571:K1571) = "83857a0e6ff9a082449b8ed3bbe1f0c6214c2853","0 Original","1 Modify"))))</f>
        <v>0 Original</v>
      </c>
      <c r="D1571" s="5" t="s">
        <v>3711</v>
      </c>
      <c r="E1571" s="3">
        <v>3180</v>
      </c>
      <c r="F1571" t="s">
        <v>1441</v>
      </c>
      <c r="G1571" t="s">
        <v>373</v>
      </c>
      <c r="H1571" s="9">
        <v>7.99</v>
      </c>
      <c r="I1571" s="3">
        <v>1</v>
      </c>
      <c r="J1571" s="5" t="s">
        <v>68</v>
      </c>
      <c r="K1571" s="15">
        <v>41918.101990740739</v>
      </c>
      <c r="L1571" s="20">
        <f t="shared" si="72"/>
        <v>41918</v>
      </c>
      <c r="M1571" t="str">
        <f t="shared" si="73"/>
        <v>10-2014</v>
      </c>
      <c r="N1571">
        <f t="shared" si="74"/>
        <v>7.99</v>
      </c>
    </row>
    <row r="1572" spans="3:14" x14ac:dyDescent="0.25">
      <c r="C1572" t="str">
        <f>IF(COUNTBLANK(E1572:K1572) = 7,"",IF(AND(NOT(ISBLANK(E1572)),COUNTBLANK(E1572:K1572) = 6),"3 Delete",IF(ISBLANK(E1572),"2 Add",IF(SHA1Range(E1572:K1572) = "b6617f1f3c2241f28da5d71b9947a2ebbbd6412b","0 Original","1 Modify"))))</f>
        <v>0 Original</v>
      </c>
      <c r="D1572" s="5" t="s">
        <v>3712</v>
      </c>
      <c r="E1572" s="3">
        <v>3181</v>
      </c>
      <c r="F1572" t="s">
        <v>1441</v>
      </c>
      <c r="G1572" t="s">
        <v>948</v>
      </c>
      <c r="H1572" s="9">
        <v>4.99</v>
      </c>
      <c r="I1572" s="3">
        <v>1</v>
      </c>
      <c r="J1572" s="5" t="s">
        <v>68</v>
      </c>
      <c r="K1572" s="15">
        <v>41918.101990740739</v>
      </c>
      <c r="L1572" s="20">
        <f t="shared" si="72"/>
        <v>41918</v>
      </c>
      <c r="M1572" t="str">
        <f t="shared" si="73"/>
        <v>10-2014</v>
      </c>
      <c r="N1572">
        <f t="shared" si="74"/>
        <v>4.99</v>
      </c>
    </row>
    <row r="1573" spans="3:14" x14ac:dyDescent="0.25">
      <c r="C1573" t="str">
        <f>IF(COUNTBLANK(E1573:K1573) = 7,"",IF(AND(NOT(ISBLANK(E1573)),COUNTBLANK(E1573:K1573) = 6),"3 Delete",IF(ISBLANK(E1573),"2 Add",IF(SHA1Range(E1573:K1573) = "b9231d49aedc94a6e0a2d6c1c5031e4b7ef9f295","0 Original","1 Modify"))))</f>
        <v>0 Original</v>
      </c>
      <c r="D1573" s="5" t="s">
        <v>3713</v>
      </c>
      <c r="E1573" s="3">
        <v>3770</v>
      </c>
      <c r="F1573" t="s">
        <v>1442</v>
      </c>
      <c r="G1573" t="s">
        <v>514</v>
      </c>
      <c r="H1573" s="9">
        <v>6.99</v>
      </c>
      <c r="I1573" s="3">
        <v>1</v>
      </c>
      <c r="J1573" s="5" t="s">
        <v>68</v>
      </c>
      <c r="K1573" s="15">
        <v>41918.21434027778</v>
      </c>
      <c r="L1573" s="20">
        <f t="shared" si="72"/>
        <v>41918</v>
      </c>
      <c r="M1573" t="str">
        <f t="shared" si="73"/>
        <v>10-2014</v>
      </c>
      <c r="N1573">
        <f t="shared" si="74"/>
        <v>6.99</v>
      </c>
    </row>
    <row r="1574" spans="3:14" x14ac:dyDescent="0.25">
      <c r="C1574" t="str">
        <f>IF(COUNTBLANK(E1574:K1574) = 7,"",IF(AND(NOT(ISBLANK(E1574)),COUNTBLANK(E1574:K1574) = 6),"3 Delete",IF(ISBLANK(E1574),"2 Add",IF(SHA1Range(E1574:K1574) = "aa10f1768217b3470980295e52c90786981b1d57","0 Original","1 Modify"))))</f>
        <v>0 Original</v>
      </c>
      <c r="D1574" s="5" t="s">
        <v>3714</v>
      </c>
      <c r="E1574" s="3">
        <v>3771</v>
      </c>
      <c r="F1574" t="s">
        <v>1442</v>
      </c>
      <c r="G1574" t="s">
        <v>687</v>
      </c>
      <c r="H1574" s="9">
        <v>9.99</v>
      </c>
      <c r="I1574" s="3">
        <v>1</v>
      </c>
      <c r="J1574" s="5" t="s">
        <v>68</v>
      </c>
      <c r="K1574" s="15">
        <v>41918.21434027778</v>
      </c>
      <c r="L1574" s="20">
        <f t="shared" si="72"/>
        <v>41918</v>
      </c>
      <c r="M1574" t="str">
        <f t="shared" si="73"/>
        <v>10-2014</v>
      </c>
      <c r="N1574">
        <f t="shared" si="74"/>
        <v>9.99</v>
      </c>
    </row>
    <row r="1575" spans="3:14" x14ac:dyDescent="0.25">
      <c r="C1575" t="str">
        <f>IF(COUNTBLANK(E1575:K1575) = 7,"",IF(AND(NOT(ISBLANK(E1575)),COUNTBLANK(E1575:K1575) = 6),"3 Delete",IF(ISBLANK(E1575),"2 Add",IF(SHA1Range(E1575:K1575) = "353f4b32800d7f2c0bf09d6809c9279a58babb64","0 Original","1 Modify"))))</f>
        <v>0 Original</v>
      </c>
      <c r="D1575" s="5" t="s">
        <v>3715</v>
      </c>
      <c r="E1575" s="3">
        <v>3772</v>
      </c>
      <c r="F1575" t="s">
        <v>1442</v>
      </c>
      <c r="G1575" t="s">
        <v>687</v>
      </c>
      <c r="H1575" s="9">
        <v>9.99</v>
      </c>
      <c r="I1575" s="3">
        <v>2</v>
      </c>
      <c r="J1575" s="5" t="s">
        <v>68</v>
      </c>
      <c r="K1575" s="15">
        <v>41918.21434027778</v>
      </c>
      <c r="L1575" s="20">
        <f t="shared" si="72"/>
        <v>41918</v>
      </c>
      <c r="M1575" t="str">
        <f t="shared" si="73"/>
        <v>10-2014</v>
      </c>
      <c r="N1575">
        <f t="shared" si="74"/>
        <v>19.98</v>
      </c>
    </row>
    <row r="1576" spans="3:14" x14ac:dyDescent="0.25">
      <c r="C1576" t="str">
        <f>IF(COUNTBLANK(E1576:K1576) = 7,"",IF(AND(NOT(ISBLANK(E1576)),COUNTBLANK(E1576:K1576) = 6),"3 Delete",IF(ISBLANK(E1576),"2 Add",IF(SHA1Range(E1576:K1576) = "b55885da9d38224c15a6aec317d05d07f711f43c","0 Original","1 Modify"))))</f>
        <v>0 Original</v>
      </c>
      <c r="D1576" s="5" t="s">
        <v>3716</v>
      </c>
      <c r="E1576" s="3">
        <v>1095</v>
      </c>
      <c r="F1576" t="s">
        <v>1443</v>
      </c>
      <c r="G1576" t="s">
        <v>842</v>
      </c>
      <c r="H1576" s="9">
        <v>4.99</v>
      </c>
      <c r="I1576" s="3">
        <v>1</v>
      </c>
      <c r="J1576" s="5" t="s">
        <v>68</v>
      </c>
      <c r="K1576" s="15">
        <v>41918.461562500001</v>
      </c>
      <c r="L1576" s="20">
        <f t="shared" si="72"/>
        <v>41918</v>
      </c>
      <c r="M1576" t="str">
        <f t="shared" si="73"/>
        <v>10-2014</v>
      </c>
      <c r="N1576">
        <f t="shared" si="74"/>
        <v>4.99</v>
      </c>
    </row>
    <row r="1577" spans="3:14" x14ac:dyDescent="0.25">
      <c r="C1577" t="str">
        <f>IF(COUNTBLANK(E1577:K1577) = 7,"",IF(AND(NOT(ISBLANK(E1577)),COUNTBLANK(E1577:K1577) = 6),"3 Delete",IF(ISBLANK(E1577),"2 Add",IF(SHA1Range(E1577:K1577) = "94460bffefeac54a36526765e3eb9b6fb46c28c2","0 Original","1 Modify"))))</f>
        <v>0 Original</v>
      </c>
      <c r="D1577" s="5" t="s">
        <v>4291</v>
      </c>
      <c r="E1577" s="3">
        <v>759</v>
      </c>
      <c r="F1577" t="s">
        <v>1444</v>
      </c>
      <c r="G1577" t="s">
        <v>697</v>
      </c>
      <c r="H1577" s="9">
        <v>5.99</v>
      </c>
      <c r="I1577" s="3">
        <v>2</v>
      </c>
      <c r="J1577" s="5" t="s">
        <v>68</v>
      </c>
      <c r="K1577" s="15">
        <v>41918.622858796298</v>
      </c>
      <c r="L1577" s="20">
        <f t="shared" si="72"/>
        <v>41918</v>
      </c>
      <c r="M1577" t="str">
        <f t="shared" si="73"/>
        <v>10-2014</v>
      </c>
      <c r="N1577">
        <f t="shared" si="74"/>
        <v>11.98</v>
      </c>
    </row>
    <row r="1578" spans="3:14" x14ac:dyDescent="0.25">
      <c r="C1578" t="str">
        <f>IF(COUNTBLANK(E1578:K1578) = 7,"",IF(AND(NOT(ISBLANK(E1578)),COUNTBLANK(E1578:K1578) = 6),"3 Delete",IF(ISBLANK(E1578),"2 Add",IF(SHA1Range(E1578:K1578) = "57b0c4bdcb90732f0b659251662b4222082d12ac","0 Original","1 Modify"))))</f>
        <v>0 Original</v>
      </c>
      <c r="D1578" s="5" t="s">
        <v>4292</v>
      </c>
      <c r="E1578" s="3">
        <v>760</v>
      </c>
      <c r="F1578" t="s">
        <v>1444</v>
      </c>
      <c r="G1578" t="s">
        <v>955</v>
      </c>
      <c r="H1578" s="9">
        <v>8.99</v>
      </c>
      <c r="I1578" s="3">
        <v>2</v>
      </c>
      <c r="J1578" s="5" t="s">
        <v>68</v>
      </c>
      <c r="K1578" s="15">
        <v>41918.622858796298</v>
      </c>
      <c r="L1578" s="20">
        <f t="shared" si="72"/>
        <v>41918</v>
      </c>
      <c r="M1578" t="str">
        <f t="shared" si="73"/>
        <v>10-2014</v>
      </c>
      <c r="N1578">
        <f t="shared" si="74"/>
        <v>17.98</v>
      </c>
    </row>
    <row r="1579" spans="3:14" x14ac:dyDescent="0.25">
      <c r="C1579" t="str">
        <f>IF(COUNTBLANK(E1579:K1579) = 7,"",IF(AND(NOT(ISBLANK(E1579)),COUNTBLANK(E1579:K1579) = 6),"3 Delete",IF(ISBLANK(E1579),"2 Add",IF(SHA1Range(E1579:K1579) = "90a1799f7c4d57f947623434efbfd3b9888d6c58","0 Original","1 Modify"))))</f>
        <v>0 Original</v>
      </c>
      <c r="D1579" s="5" t="s">
        <v>3717</v>
      </c>
      <c r="E1579" s="3">
        <v>2011</v>
      </c>
      <c r="F1579" t="s">
        <v>1445</v>
      </c>
      <c r="G1579" t="s">
        <v>588</v>
      </c>
      <c r="H1579" s="9">
        <v>4.99</v>
      </c>
      <c r="I1579" s="3">
        <v>1</v>
      </c>
      <c r="J1579" s="5" t="s">
        <v>68</v>
      </c>
      <c r="K1579" s="15">
        <v>41918.971250000002</v>
      </c>
      <c r="L1579" s="20">
        <f t="shared" si="72"/>
        <v>41918</v>
      </c>
      <c r="M1579" t="str">
        <f t="shared" si="73"/>
        <v>10-2014</v>
      </c>
      <c r="N1579">
        <f t="shared" si="74"/>
        <v>4.99</v>
      </c>
    </row>
    <row r="1580" spans="3:14" x14ac:dyDescent="0.25">
      <c r="C1580" t="str">
        <f>IF(COUNTBLANK(E1580:K1580) = 7,"",IF(AND(NOT(ISBLANK(E1580)),COUNTBLANK(E1580:K1580) = 6),"3 Delete",IF(ISBLANK(E1580),"2 Add",IF(SHA1Range(E1580:K1580) = "eee8b18c497afb62fc3df8c673ce042c1bbb671d","0 Original","1 Modify"))))</f>
        <v>0 Original</v>
      </c>
      <c r="D1580" s="5" t="s">
        <v>3718</v>
      </c>
      <c r="E1580" s="3">
        <v>2012</v>
      </c>
      <c r="F1580" t="s">
        <v>1445</v>
      </c>
      <c r="G1580" t="s">
        <v>503</v>
      </c>
      <c r="H1580" s="9">
        <v>9.99</v>
      </c>
      <c r="I1580" s="3">
        <v>2</v>
      </c>
      <c r="J1580" s="5" t="s">
        <v>68</v>
      </c>
      <c r="K1580" s="15">
        <v>41918.971250000002</v>
      </c>
      <c r="L1580" s="20">
        <f t="shared" si="72"/>
        <v>41918</v>
      </c>
      <c r="M1580" t="str">
        <f t="shared" si="73"/>
        <v>10-2014</v>
      </c>
      <c r="N1580">
        <f t="shared" si="74"/>
        <v>19.98</v>
      </c>
    </row>
    <row r="1581" spans="3:14" x14ac:dyDescent="0.25">
      <c r="C1581" t="str">
        <f>IF(COUNTBLANK(E1581:K1581) = 7,"",IF(AND(NOT(ISBLANK(E1581)),COUNTBLANK(E1581:K1581) = 6),"3 Delete",IF(ISBLANK(E1581),"2 Add",IF(SHA1Range(E1581:K1581) = "78f16fc4b487d4a6f24d48ea3204649aed9178c0","0 Original","1 Modify"))))</f>
        <v>0 Original</v>
      </c>
      <c r="D1581" s="5" t="s">
        <v>3719</v>
      </c>
      <c r="E1581" s="3">
        <v>2013</v>
      </c>
      <c r="F1581" t="s">
        <v>1445</v>
      </c>
      <c r="G1581" t="s">
        <v>642</v>
      </c>
      <c r="H1581" s="9">
        <v>9.99</v>
      </c>
      <c r="I1581" s="3">
        <v>2</v>
      </c>
      <c r="J1581" s="5" t="s">
        <v>68</v>
      </c>
      <c r="K1581" s="15">
        <v>41918.971250000002</v>
      </c>
      <c r="L1581" s="20">
        <f t="shared" si="72"/>
        <v>41918</v>
      </c>
      <c r="M1581" t="str">
        <f t="shared" si="73"/>
        <v>10-2014</v>
      </c>
      <c r="N1581">
        <f t="shared" si="74"/>
        <v>19.98</v>
      </c>
    </row>
    <row r="1582" spans="3:14" x14ac:dyDescent="0.25">
      <c r="C1582" t="str">
        <f>IF(COUNTBLANK(E1582:K1582) = 7,"",IF(AND(NOT(ISBLANK(E1582)),COUNTBLANK(E1582:K1582) = 6),"3 Delete",IF(ISBLANK(E1582),"2 Add",IF(SHA1Range(E1582:K1582) = "96b8b208a7787b314c3494934f4fdeae93f704b2","0 Original","1 Modify"))))</f>
        <v>0 Original</v>
      </c>
      <c r="D1582" s="5" t="s">
        <v>3720</v>
      </c>
      <c r="E1582" s="3">
        <v>2014</v>
      </c>
      <c r="F1582" t="s">
        <v>1445</v>
      </c>
      <c r="G1582" t="s">
        <v>781</v>
      </c>
      <c r="H1582" s="9">
        <v>5.99</v>
      </c>
      <c r="I1582" s="3">
        <v>1</v>
      </c>
      <c r="J1582" s="5" t="s">
        <v>68</v>
      </c>
      <c r="K1582" s="15">
        <v>41918.971250000002</v>
      </c>
      <c r="L1582" s="20">
        <f t="shared" si="72"/>
        <v>41918</v>
      </c>
      <c r="M1582" t="str">
        <f t="shared" si="73"/>
        <v>10-2014</v>
      </c>
      <c r="N1582">
        <f t="shared" si="74"/>
        <v>5.99</v>
      </c>
    </row>
    <row r="1583" spans="3:14" x14ac:dyDescent="0.25">
      <c r="C1583" t="str">
        <f>IF(COUNTBLANK(E1583:K1583) = 7,"",IF(AND(NOT(ISBLANK(E1583)),COUNTBLANK(E1583:K1583) = 6),"3 Delete",IF(ISBLANK(E1583),"2 Add",IF(SHA1Range(E1583:K1583) = "46c4c0fff031f4255a495a07b878ebef01331a13","0 Original","1 Modify"))))</f>
        <v>0 Original</v>
      </c>
      <c r="D1583" s="5" t="s">
        <v>3721</v>
      </c>
      <c r="E1583" s="3">
        <v>2015</v>
      </c>
      <c r="F1583" t="s">
        <v>1445</v>
      </c>
      <c r="G1583" t="s">
        <v>687</v>
      </c>
      <c r="H1583" s="9">
        <v>9.99</v>
      </c>
      <c r="I1583" s="3">
        <v>2</v>
      </c>
      <c r="J1583" s="5" t="s">
        <v>68</v>
      </c>
      <c r="K1583" s="15">
        <v>41918.971250000002</v>
      </c>
      <c r="L1583" s="20">
        <f t="shared" si="72"/>
        <v>41918</v>
      </c>
      <c r="M1583" t="str">
        <f t="shared" si="73"/>
        <v>10-2014</v>
      </c>
      <c r="N1583">
        <f t="shared" si="74"/>
        <v>19.98</v>
      </c>
    </row>
    <row r="1584" spans="3:14" x14ac:dyDescent="0.25">
      <c r="C1584" t="str">
        <f>IF(COUNTBLANK(E1584:K1584) = 7,"",IF(AND(NOT(ISBLANK(E1584)),COUNTBLANK(E1584:K1584) = 6),"3 Delete",IF(ISBLANK(E1584),"2 Add",IF(SHA1Range(E1584:K1584) = "8b11acf7cceeec5facfd14e26a1cf7605c2f2484","0 Original","1 Modify"))))</f>
        <v>0 Original</v>
      </c>
      <c r="D1584" s="5" t="s">
        <v>3722</v>
      </c>
      <c r="E1584" s="3">
        <v>2016</v>
      </c>
      <c r="F1584" t="s">
        <v>1445</v>
      </c>
      <c r="G1584" t="s">
        <v>585</v>
      </c>
      <c r="H1584" s="9">
        <v>9.99</v>
      </c>
      <c r="I1584" s="3">
        <v>1</v>
      </c>
      <c r="J1584" s="5" t="s">
        <v>68</v>
      </c>
      <c r="K1584" s="15">
        <v>41918.971250000002</v>
      </c>
      <c r="L1584" s="20">
        <f t="shared" si="72"/>
        <v>41918</v>
      </c>
      <c r="M1584" t="str">
        <f t="shared" si="73"/>
        <v>10-2014</v>
      </c>
      <c r="N1584">
        <f t="shared" si="74"/>
        <v>9.99</v>
      </c>
    </row>
    <row r="1585" spans="3:14" x14ac:dyDescent="0.25">
      <c r="C1585" t="str">
        <f>IF(COUNTBLANK(E1585:K1585) = 7,"",IF(AND(NOT(ISBLANK(E1585)),COUNTBLANK(E1585:K1585) = 6),"3 Delete",IF(ISBLANK(E1585),"2 Add",IF(SHA1Range(E1585:K1585) = "c5cb5eda4346f293778da63c599db453b861ccc4","0 Original","1 Modify"))))</f>
        <v>0 Original</v>
      </c>
      <c r="D1585" s="5" t="s">
        <v>3723</v>
      </c>
      <c r="E1585" s="3">
        <v>2017</v>
      </c>
      <c r="F1585" t="s">
        <v>1445</v>
      </c>
      <c r="G1585" t="s">
        <v>739</v>
      </c>
      <c r="H1585" s="9">
        <v>8.99</v>
      </c>
      <c r="I1585" s="3">
        <v>1</v>
      </c>
      <c r="J1585" s="5" t="s">
        <v>68</v>
      </c>
      <c r="K1585" s="15">
        <v>41918.971250000002</v>
      </c>
      <c r="L1585" s="20">
        <f t="shared" si="72"/>
        <v>41918</v>
      </c>
      <c r="M1585" t="str">
        <f t="shared" si="73"/>
        <v>10-2014</v>
      </c>
      <c r="N1585">
        <f t="shared" si="74"/>
        <v>8.99</v>
      </c>
    </row>
    <row r="1586" spans="3:14" x14ac:dyDescent="0.25">
      <c r="C1586" t="str">
        <f>IF(COUNTBLANK(E1586:K1586) = 7,"",IF(AND(NOT(ISBLANK(E1586)),COUNTBLANK(E1586:K1586) = 6),"3 Delete",IF(ISBLANK(E1586),"2 Add",IF(SHA1Range(E1586:K1586) = "2a68be1f52bd26feb3485cf9de35aa574a939ac8","0 Original","1 Modify"))))</f>
        <v>0 Original</v>
      </c>
      <c r="D1586" s="5" t="s">
        <v>3724</v>
      </c>
      <c r="E1586" s="3">
        <v>3533</v>
      </c>
      <c r="F1586" t="s">
        <v>1446</v>
      </c>
      <c r="G1586" t="s">
        <v>687</v>
      </c>
      <c r="H1586" s="9">
        <v>9.99</v>
      </c>
      <c r="I1586" s="3">
        <v>1</v>
      </c>
      <c r="J1586" s="5" t="s">
        <v>68</v>
      </c>
      <c r="K1586" s="15">
        <v>41920.827361111114</v>
      </c>
      <c r="L1586" s="20">
        <f t="shared" si="72"/>
        <v>41920</v>
      </c>
      <c r="M1586" t="str">
        <f t="shared" si="73"/>
        <v>10-2014</v>
      </c>
      <c r="N1586">
        <f t="shared" si="74"/>
        <v>9.99</v>
      </c>
    </row>
    <row r="1587" spans="3:14" x14ac:dyDescent="0.25">
      <c r="C1587" t="str">
        <f>IF(COUNTBLANK(E1587:K1587) = 7,"",IF(AND(NOT(ISBLANK(E1587)),COUNTBLANK(E1587:K1587) = 6),"3 Delete",IF(ISBLANK(E1587),"2 Add",IF(SHA1Range(E1587:K1587) = "14bf53e20ddbe10118bb00925a1ec998ced16ca0","0 Original","1 Modify"))))</f>
        <v>0 Original</v>
      </c>
      <c r="D1587" s="5" t="s">
        <v>3725</v>
      </c>
      <c r="E1587" s="3">
        <v>3534</v>
      </c>
      <c r="F1587" t="s">
        <v>1446</v>
      </c>
      <c r="G1587" t="s">
        <v>514</v>
      </c>
      <c r="H1587" s="9">
        <v>6.99</v>
      </c>
      <c r="I1587" s="3">
        <v>2</v>
      </c>
      <c r="J1587" s="5" t="s">
        <v>68</v>
      </c>
      <c r="K1587" s="15">
        <v>41920.827361111114</v>
      </c>
      <c r="L1587" s="20">
        <f t="shared" si="72"/>
        <v>41920</v>
      </c>
      <c r="M1587" t="str">
        <f t="shared" si="73"/>
        <v>10-2014</v>
      </c>
      <c r="N1587">
        <f t="shared" si="74"/>
        <v>13.98</v>
      </c>
    </row>
    <row r="1588" spans="3:14" x14ac:dyDescent="0.25">
      <c r="C1588" t="str">
        <f>IF(COUNTBLANK(E1588:K1588) = 7,"",IF(AND(NOT(ISBLANK(E1588)),COUNTBLANK(E1588:K1588) = 6),"3 Delete",IF(ISBLANK(E1588),"2 Add",IF(SHA1Range(E1588:K1588) = "f419db07654c11649299bd742462d1a2406488af","0 Original","1 Modify"))))</f>
        <v>0 Original</v>
      </c>
      <c r="D1588" s="5" t="s">
        <v>3726</v>
      </c>
      <c r="E1588" s="3">
        <v>3535</v>
      </c>
      <c r="F1588" t="s">
        <v>1446</v>
      </c>
      <c r="G1588" t="s">
        <v>707</v>
      </c>
      <c r="H1588" s="9">
        <v>7.99</v>
      </c>
      <c r="I1588" s="3">
        <v>1</v>
      </c>
      <c r="J1588" s="5" t="s">
        <v>68</v>
      </c>
      <c r="K1588" s="15">
        <v>41920.827361111114</v>
      </c>
      <c r="L1588" s="20">
        <f t="shared" si="72"/>
        <v>41920</v>
      </c>
      <c r="M1588" t="str">
        <f t="shared" si="73"/>
        <v>10-2014</v>
      </c>
      <c r="N1588">
        <f t="shared" si="74"/>
        <v>7.99</v>
      </c>
    </row>
    <row r="1589" spans="3:14" x14ac:dyDescent="0.25">
      <c r="C1589" t="str">
        <f>IF(COUNTBLANK(E1589:K1589) = 7,"",IF(AND(NOT(ISBLANK(E1589)),COUNTBLANK(E1589:K1589) = 6),"3 Delete",IF(ISBLANK(E1589),"2 Add",IF(SHA1Range(E1589:K1589) = "768d2281f99148463fc107b8875f7bd2f31d7b67","0 Original","1 Modify"))))</f>
        <v>0 Original</v>
      </c>
      <c r="D1589" s="5" t="s">
        <v>3727</v>
      </c>
      <c r="E1589" s="3">
        <v>683</v>
      </c>
      <c r="F1589" t="s">
        <v>1447</v>
      </c>
      <c r="G1589" t="s">
        <v>600</v>
      </c>
      <c r="H1589" s="9">
        <v>5.99</v>
      </c>
      <c r="I1589" s="3">
        <v>1</v>
      </c>
      <c r="J1589" s="5" t="s">
        <v>68</v>
      </c>
      <c r="K1589" s="15">
        <v>41921.88548611111</v>
      </c>
      <c r="L1589" s="20">
        <f t="shared" si="72"/>
        <v>41921</v>
      </c>
      <c r="M1589" t="str">
        <f t="shared" si="73"/>
        <v>10-2014</v>
      </c>
      <c r="N1589">
        <f t="shared" si="74"/>
        <v>5.99</v>
      </c>
    </row>
    <row r="1590" spans="3:14" x14ac:dyDescent="0.25">
      <c r="C1590" t="str">
        <f>IF(COUNTBLANK(E1590:K1590) = 7,"",IF(AND(NOT(ISBLANK(E1590)),COUNTBLANK(E1590:K1590) = 6),"3 Delete",IF(ISBLANK(E1590),"2 Add",IF(SHA1Range(E1590:K1590) = "1d7866343a36de7556f20c73aaa9abb795123940","0 Original","1 Modify"))))</f>
        <v>0 Original</v>
      </c>
      <c r="D1590" s="5" t="s">
        <v>4293</v>
      </c>
      <c r="E1590" s="3">
        <v>684</v>
      </c>
      <c r="F1590" t="s">
        <v>1447</v>
      </c>
      <c r="G1590" t="s">
        <v>488</v>
      </c>
      <c r="H1590" s="9">
        <v>8.99</v>
      </c>
      <c r="I1590" s="3">
        <v>1</v>
      </c>
      <c r="J1590" s="5" t="s">
        <v>68</v>
      </c>
      <c r="K1590" s="15">
        <v>41921.88548611111</v>
      </c>
      <c r="L1590" s="20">
        <f t="shared" si="72"/>
        <v>41921</v>
      </c>
      <c r="M1590" t="str">
        <f t="shared" si="73"/>
        <v>10-2014</v>
      </c>
      <c r="N1590">
        <f t="shared" si="74"/>
        <v>8.99</v>
      </c>
    </row>
    <row r="1591" spans="3:14" x14ac:dyDescent="0.25">
      <c r="C1591" t="str">
        <f>IF(COUNTBLANK(E1591:K1591) = 7,"",IF(AND(NOT(ISBLANK(E1591)),COUNTBLANK(E1591:K1591) = 6),"3 Delete",IF(ISBLANK(E1591),"2 Add",IF(SHA1Range(E1591:K1591) = "09f775b4baa45301ed043172ac0949dcd366305c","0 Original","1 Modify"))))</f>
        <v>0 Original</v>
      </c>
      <c r="D1591" s="5" t="s">
        <v>4294</v>
      </c>
      <c r="E1591" s="3">
        <v>685</v>
      </c>
      <c r="F1591" t="s">
        <v>1447</v>
      </c>
      <c r="G1591" t="s">
        <v>426</v>
      </c>
      <c r="H1591" s="9">
        <v>8.99</v>
      </c>
      <c r="I1591" s="3">
        <v>1</v>
      </c>
      <c r="J1591" s="5" t="s">
        <v>68</v>
      </c>
      <c r="K1591" s="15">
        <v>41921.88548611111</v>
      </c>
      <c r="L1591" s="20">
        <f t="shared" si="72"/>
        <v>41921</v>
      </c>
      <c r="M1591" t="str">
        <f t="shared" si="73"/>
        <v>10-2014</v>
      </c>
      <c r="N1591">
        <f t="shared" si="74"/>
        <v>8.99</v>
      </c>
    </row>
    <row r="1592" spans="3:14" x14ac:dyDescent="0.25">
      <c r="C1592" t="str">
        <f>IF(COUNTBLANK(E1592:K1592) = 7,"",IF(AND(NOT(ISBLANK(E1592)),COUNTBLANK(E1592:K1592) = 6),"3 Delete",IF(ISBLANK(E1592),"2 Add",IF(SHA1Range(E1592:K1592) = "35b40cbe82bb8be7697d33eb77c62dd86fd57941","0 Original","1 Modify"))))</f>
        <v>0 Original</v>
      </c>
      <c r="D1592" s="5" t="s">
        <v>4295</v>
      </c>
      <c r="E1592" s="3">
        <v>686</v>
      </c>
      <c r="F1592" t="s">
        <v>1447</v>
      </c>
      <c r="G1592" t="s">
        <v>408</v>
      </c>
      <c r="H1592" s="9">
        <v>9.99</v>
      </c>
      <c r="I1592" s="3">
        <v>2</v>
      </c>
      <c r="J1592" s="5" t="s">
        <v>68</v>
      </c>
      <c r="K1592" s="15">
        <v>41921.88548611111</v>
      </c>
      <c r="L1592" s="20">
        <f t="shared" si="72"/>
        <v>41921</v>
      </c>
      <c r="M1592" t="str">
        <f t="shared" si="73"/>
        <v>10-2014</v>
      </c>
      <c r="N1592">
        <f t="shared" si="74"/>
        <v>19.98</v>
      </c>
    </row>
    <row r="1593" spans="3:14" x14ac:dyDescent="0.25">
      <c r="C1593" t="str">
        <f>IF(COUNTBLANK(E1593:K1593) = 7,"",IF(AND(NOT(ISBLANK(E1593)),COUNTBLANK(E1593:K1593) = 6),"3 Delete",IF(ISBLANK(E1593),"2 Add",IF(SHA1Range(E1593:K1593) = "dcb428753ab6bc560f037b05666f982a9a453f0c","0 Original","1 Modify"))))</f>
        <v>0 Original</v>
      </c>
      <c r="D1593" s="5" t="s">
        <v>4296</v>
      </c>
      <c r="E1593" s="3">
        <v>687</v>
      </c>
      <c r="F1593" t="s">
        <v>1447</v>
      </c>
      <c r="G1593" t="s">
        <v>891</v>
      </c>
      <c r="H1593" s="9">
        <v>8.99</v>
      </c>
      <c r="I1593" s="3">
        <v>1</v>
      </c>
      <c r="J1593" s="5" t="s">
        <v>68</v>
      </c>
      <c r="K1593" s="15">
        <v>41921.88548611111</v>
      </c>
      <c r="L1593" s="20">
        <f t="shared" si="72"/>
        <v>41921</v>
      </c>
      <c r="M1593" t="str">
        <f t="shared" si="73"/>
        <v>10-2014</v>
      </c>
      <c r="N1593">
        <f t="shared" si="74"/>
        <v>8.99</v>
      </c>
    </row>
    <row r="1594" spans="3:14" x14ac:dyDescent="0.25">
      <c r="C1594" t="str">
        <f>IF(COUNTBLANK(E1594:K1594) = 7,"",IF(AND(NOT(ISBLANK(E1594)),COUNTBLANK(E1594:K1594) = 6),"3 Delete",IF(ISBLANK(E1594),"2 Add",IF(SHA1Range(E1594:K1594) = "9a5c923d793ac31536d3034c0424fd75f7ab822a","0 Original","1 Modify"))))</f>
        <v>0 Original</v>
      </c>
      <c r="D1594" s="5" t="s">
        <v>3728</v>
      </c>
      <c r="E1594" s="3">
        <v>2898</v>
      </c>
      <c r="F1594" t="s">
        <v>1448</v>
      </c>
      <c r="G1594" t="s">
        <v>749</v>
      </c>
      <c r="H1594" s="9">
        <v>5.99</v>
      </c>
      <c r="I1594" s="3">
        <v>1</v>
      </c>
      <c r="J1594" s="5" t="s">
        <v>68</v>
      </c>
      <c r="K1594" s="15">
        <v>41922.316053240742</v>
      </c>
      <c r="L1594" s="20">
        <f t="shared" si="72"/>
        <v>41922</v>
      </c>
      <c r="M1594" t="str">
        <f t="shared" si="73"/>
        <v>10-2014</v>
      </c>
      <c r="N1594">
        <f t="shared" si="74"/>
        <v>5.99</v>
      </c>
    </row>
    <row r="1595" spans="3:14" x14ac:dyDescent="0.25">
      <c r="C1595" t="str">
        <f>IF(COUNTBLANK(E1595:K1595) = 7,"",IF(AND(NOT(ISBLANK(E1595)),COUNTBLANK(E1595:K1595) = 6),"3 Delete",IF(ISBLANK(E1595),"2 Add",IF(SHA1Range(E1595:K1595) = "75c82b92034341f997d464b1da0004bcfb55ef52","0 Original","1 Modify"))))</f>
        <v>0 Original</v>
      </c>
      <c r="D1595" s="5" t="s">
        <v>3729</v>
      </c>
      <c r="E1595" s="3">
        <v>2899</v>
      </c>
      <c r="F1595" t="s">
        <v>1448</v>
      </c>
      <c r="G1595" t="s">
        <v>948</v>
      </c>
      <c r="H1595" s="9">
        <v>4.99</v>
      </c>
      <c r="I1595" s="3">
        <v>1</v>
      </c>
      <c r="J1595" s="5" t="s">
        <v>68</v>
      </c>
      <c r="K1595" s="15">
        <v>41922.316053240742</v>
      </c>
      <c r="L1595" s="20">
        <f t="shared" si="72"/>
        <v>41922</v>
      </c>
      <c r="M1595" t="str">
        <f t="shared" si="73"/>
        <v>10-2014</v>
      </c>
      <c r="N1595">
        <f t="shared" si="74"/>
        <v>4.99</v>
      </c>
    </row>
    <row r="1596" spans="3:14" x14ac:dyDescent="0.25">
      <c r="C1596" t="str">
        <f>IF(COUNTBLANK(E1596:K1596) = 7,"",IF(AND(NOT(ISBLANK(E1596)),COUNTBLANK(E1596:K1596) = 6),"3 Delete",IF(ISBLANK(E1596),"2 Add",IF(SHA1Range(E1596:K1596) = "1e2af5e144cc912e37840b1088462881338aa6a7","0 Original","1 Modify"))))</f>
        <v>0 Original</v>
      </c>
      <c r="D1596" s="5" t="s">
        <v>3730</v>
      </c>
      <c r="E1596" s="3">
        <v>2900</v>
      </c>
      <c r="F1596" t="s">
        <v>1448</v>
      </c>
      <c r="G1596" t="s">
        <v>552</v>
      </c>
      <c r="H1596" s="9">
        <v>6.99</v>
      </c>
      <c r="I1596" s="3">
        <v>1</v>
      </c>
      <c r="J1596" s="5" t="s">
        <v>68</v>
      </c>
      <c r="K1596" s="15">
        <v>41922.316053240742</v>
      </c>
      <c r="L1596" s="20">
        <f t="shared" si="72"/>
        <v>41922</v>
      </c>
      <c r="M1596" t="str">
        <f t="shared" si="73"/>
        <v>10-2014</v>
      </c>
      <c r="N1596">
        <f t="shared" si="74"/>
        <v>6.99</v>
      </c>
    </row>
    <row r="1597" spans="3:14" x14ac:dyDescent="0.25">
      <c r="C1597" t="str">
        <f>IF(COUNTBLANK(E1597:K1597) = 7,"",IF(AND(NOT(ISBLANK(E1597)),COUNTBLANK(E1597:K1597) = 6),"3 Delete",IF(ISBLANK(E1597),"2 Add",IF(SHA1Range(E1597:K1597) = "cbea6b7eb443c682590fcbf62ccb25bcdd7997ac","0 Original","1 Modify"))))</f>
        <v>0 Original</v>
      </c>
      <c r="D1597" s="5" t="s">
        <v>3731</v>
      </c>
      <c r="E1597" s="3">
        <v>2901</v>
      </c>
      <c r="F1597" t="s">
        <v>1448</v>
      </c>
      <c r="G1597" t="s">
        <v>642</v>
      </c>
      <c r="H1597" s="9">
        <v>9.99</v>
      </c>
      <c r="I1597" s="3">
        <v>2</v>
      </c>
      <c r="J1597" s="5" t="s">
        <v>68</v>
      </c>
      <c r="K1597" s="15">
        <v>41922.316053240742</v>
      </c>
      <c r="L1597" s="20">
        <f t="shared" si="72"/>
        <v>41922</v>
      </c>
      <c r="M1597" t="str">
        <f t="shared" si="73"/>
        <v>10-2014</v>
      </c>
      <c r="N1597">
        <f t="shared" si="74"/>
        <v>19.98</v>
      </c>
    </row>
    <row r="1598" spans="3:14" x14ac:dyDescent="0.25">
      <c r="C1598" t="str">
        <f>IF(COUNTBLANK(E1598:K1598) = 7,"",IF(AND(NOT(ISBLANK(E1598)),COUNTBLANK(E1598:K1598) = 6),"3 Delete",IF(ISBLANK(E1598),"2 Add",IF(SHA1Range(E1598:K1598) = "19eab820d8719138613289016e59f5da13def7f6","0 Original","1 Modify"))))</f>
        <v>0 Original</v>
      </c>
      <c r="D1598" s="5" t="s">
        <v>3732</v>
      </c>
      <c r="E1598" s="3">
        <v>3392</v>
      </c>
      <c r="F1598" t="s">
        <v>1449</v>
      </c>
      <c r="G1598" t="s">
        <v>707</v>
      </c>
      <c r="H1598" s="9">
        <v>7.99</v>
      </c>
      <c r="I1598" s="3">
        <v>2</v>
      </c>
      <c r="J1598" s="5" t="s">
        <v>68</v>
      </c>
      <c r="K1598" s="15">
        <v>41922.48164351852</v>
      </c>
      <c r="L1598" s="20">
        <f t="shared" si="72"/>
        <v>41922</v>
      </c>
      <c r="M1598" t="str">
        <f t="shared" si="73"/>
        <v>10-2014</v>
      </c>
      <c r="N1598">
        <f t="shared" si="74"/>
        <v>15.98</v>
      </c>
    </row>
    <row r="1599" spans="3:14" x14ac:dyDescent="0.25">
      <c r="C1599" t="str">
        <f>IF(COUNTBLANK(E1599:K1599) = 7,"",IF(AND(NOT(ISBLANK(E1599)),COUNTBLANK(E1599:K1599) = 6),"3 Delete",IF(ISBLANK(E1599),"2 Add",IF(SHA1Range(E1599:K1599) = "a9e6c5ac01948c6948e43b7bc3c8e089723289bf","0 Original","1 Modify"))))</f>
        <v>0 Original</v>
      </c>
      <c r="D1599" s="5" t="s">
        <v>3733</v>
      </c>
      <c r="E1599" s="3">
        <v>3393</v>
      </c>
      <c r="F1599" t="s">
        <v>1449</v>
      </c>
      <c r="G1599" t="s">
        <v>552</v>
      </c>
      <c r="H1599" s="9">
        <v>6.99</v>
      </c>
      <c r="I1599" s="3">
        <v>1</v>
      </c>
      <c r="J1599" s="5" t="s">
        <v>68</v>
      </c>
      <c r="K1599" s="15">
        <v>41922.48164351852</v>
      </c>
      <c r="L1599" s="20">
        <f t="shared" si="72"/>
        <v>41922</v>
      </c>
      <c r="M1599" t="str">
        <f t="shared" si="73"/>
        <v>10-2014</v>
      </c>
      <c r="N1599">
        <f t="shared" si="74"/>
        <v>6.99</v>
      </c>
    </row>
    <row r="1600" spans="3:14" x14ac:dyDescent="0.25">
      <c r="C1600" t="str">
        <f>IF(COUNTBLANK(E1600:K1600) = 7,"",IF(AND(NOT(ISBLANK(E1600)),COUNTBLANK(E1600:K1600) = 6),"3 Delete",IF(ISBLANK(E1600),"2 Add",IF(SHA1Range(E1600:K1600) = "217758b1c39beb3be7c8d9fd3dc3d95f832e4a1b","0 Original","1 Modify"))))</f>
        <v>0 Original</v>
      </c>
      <c r="D1600" s="5" t="s">
        <v>3734</v>
      </c>
      <c r="E1600" s="3">
        <v>3394</v>
      </c>
      <c r="F1600" t="s">
        <v>1449</v>
      </c>
      <c r="G1600" t="s">
        <v>579</v>
      </c>
      <c r="H1600" s="9">
        <v>9.99</v>
      </c>
      <c r="I1600" s="3">
        <v>1</v>
      </c>
      <c r="J1600" s="5" t="s">
        <v>68</v>
      </c>
      <c r="K1600" s="15">
        <v>41922.48164351852</v>
      </c>
      <c r="L1600" s="20">
        <f t="shared" si="72"/>
        <v>41922</v>
      </c>
      <c r="M1600" t="str">
        <f t="shared" si="73"/>
        <v>10-2014</v>
      </c>
      <c r="N1600">
        <f t="shared" si="74"/>
        <v>9.99</v>
      </c>
    </row>
    <row r="1601" spans="3:14" x14ac:dyDescent="0.25">
      <c r="C1601" t="str">
        <f>IF(COUNTBLANK(E1601:K1601) = 7,"",IF(AND(NOT(ISBLANK(E1601)),COUNTBLANK(E1601:K1601) = 6),"3 Delete",IF(ISBLANK(E1601),"2 Add",IF(SHA1Range(E1601:K1601) = "e6cb0b497e856faae255b1ade19df9d442c83d0c","0 Original","1 Modify"))))</f>
        <v>0 Original</v>
      </c>
      <c r="D1601" s="5" t="s">
        <v>3735</v>
      </c>
      <c r="E1601" s="3">
        <v>3395</v>
      </c>
      <c r="F1601" t="s">
        <v>1449</v>
      </c>
      <c r="G1601" t="s">
        <v>687</v>
      </c>
      <c r="H1601" s="9">
        <v>9.99</v>
      </c>
      <c r="I1601" s="3">
        <v>2</v>
      </c>
      <c r="J1601" s="5" t="s">
        <v>68</v>
      </c>
      <c r="K1601" s="15">
        <v>41922.48164351852</v>
      </c>
      <c r="L1601" s="20">
        <f t="shared" si="72"/>
        <v>41922</v>
      </c>
      <c r="M1601" t="str">
        <f t="shared" si="73"/>
        <v>10-2014</v>
      </c>
      <c r="N1601">
        <f t="shared" si="74"/>
        <v>19.98</v>
      </c>
    </row>
    <row r="1602" spans="3:14" x14ac:dyDescent="0.25">
      <c r="C1602" t="str">
        <f>IF(COUNTBLANK(E1602:K1602) = 7,"",IF(AND(NOT(ISBLANK(E1602)),COUNTBLANK(E1602:K1602) = 6),"3 Delete",IF(ISBLANK(E1602),"2 Add",IF(SHA1Range(E1602:K1602) = "10372ad24a87179f36276fbd0dfa962a8cf41741","0 Original","1 Modify"))))</f>
        <v>0 Original</v>
      </c>
      <c r="D1602" s="5" t="s">
        <v>3736</v>
      </c>
      <c r="E1602" s="3">
        <v>3396</v>
      </c>
      <c r="F1602" t="s">
        <v>1449</v>
      </c>
      <c r="G1602" t="s">
        <v>373</v>
      </c>
      <c r="H1602" s="9">
        <v>7.99</v>
      </c>
      <c r="I1602" s="3">
        <v>1</v>
      </c>
      <c r="J1602" s="5" t="s">
        <v>68</v>
      </c>
      <c r="K1602" s="15">
        <v>41922.48164351852</v>
      </c>
      <c r="L1602" s="20">
        <f t="shared" si="72"/>
        <v>41922</v>
      </c>
      <c r="M1602" t="str">
        <f t="shared" si="73"/>
        <v>10-2014</v>
      </c>
      <c r="N1602">
        <f t="shared" si="74"/>
        <v>7.99</v>
      </c>
    </row>
    <row r="1603" spans="3:14" x14ac:dyDescent="0.25">
      <c r="C1603" t="str">
        <f>IF(COUNTBLANK(E1603:K1603) = 7,"",IF(AND(NOT(ISBLANK(E1603)),COUNTBLANK(E1603:K1603) = 6),"3 Delete",IF(ISBLANK(E1603),"2 Add",IF(SHA1Range(E1603:K1603) = "6c07e2fd73b1b196e4b8ab365610e59b0d1c05da","0 Original","1 Modify"))))</f>
        <v>0 Original</v>
      </c>
      <c r="D1603" s="5" t="s">
        <v>3737</v>
      </c>
      <c r="E1603" s="3">
        <v>3397</v>
      </c>
      <c r="F1603" t="s">
        <v>1449</v>
      </c>
      <c r="G1603" t="s">
        <v>749</v>
      </c>
      <c r="H1603" s="9">
        <v>5.99</v>
      </c>
      <c r="I1603" s="3">
        <v>2</v>
      </c>
      <c r="J1603" s="5" t="s">
        <v>68</v>
      </c>
      <c r="K1603" s="15">
        <v>41922.48164351852</v>
      </c>
      <c r="L1603" s="20">
        <f t="shared" ref="L1603:L1666" si="75">DATEVALUE(LEFT(F1603,10))</f>
        <v>41922</v>
      </c>
      <c r="M1603" t="str">
        <f t="shared" ref="M1603:M1666" si="76">TEXT(L1603,"mm-yyyy")</f>
        <v>10-2014</v>
      </c>
      <c r="N1603">
        <f t="shared" ref="N1603:N1666" si="77">H1603*I1603</f>
        <v>11.98</v>
      </c>
    </row>
    <row r="1604" spans="3:14" x14ac:dyDescent="0.25">
      <c r="C1604" t="str">
        <f>IF(COUNTBLANK(E1604:K1604) = 7,"",IF(AND(NOT(ISBLANK(E1604)),COUNTBLANK(E1604:K1604) = 6),"3 Delete",IF(ISBLANK(E1604),"2 Add",IF(SHA1Range(E1604:K1604) = "43dc22f3f4be8bbcd505fd38cfd485f1eabe9ec2","0 Original","1 Modify"))))</f>
        <v>0 Original</v>
      </c>
      <c r="D1604" s="5" t="s">
        <v>3738</v>
      </c>
      <c r="E1604" s="3">
        <v>2240</v>
      </c>
      <c r="F1604" t="s">
        <v>1450</v>
      </c>
      <c r="G1604" t="s">
        <v>761</v>
      </c>
      <c r="H1604" s="9">
        <v>8.99</v>
      </c>
      <c r="I1604" s="3">
        <v>1</v>
      </c>
      <c r="J1604" s="5" t="s">
        <v>68</v>
      </c>
      <c r="K1604" s="15">
        <v>41922.665659722225</v>
      </c>
      <c r="L1604" s="20">
        <f t="shared" si="75"/>
        <v>41922</v>
      </c>
      <c r="M1604" t="str">
        <f t="shared" si="76"/>
        <v>10-2014</v>
      </c>
      <c r="N1604">
        <f t="shared" si="77"/>
        <v>8.99</v>
      </c>
    </row>
    <row r="1605" spans="3:14" x14ac:dyDescent="0.25">
      <c r="C1605" t="str">
        <f>IF(COUNTBLANK(E1605:K1605) = 7,"",IF(AND(NOT(ISBLANK(E1605)),COUNTBLANK(E1605:K1605) = 6),"3 Delete",IF(ISBLANK(E1605),"2 Add",IF(SHA1Range(E1605:K1605) = "20e64848f9b41965766a3f37749270c101a4a49f","0 Original","1 Modify"))))</f>
        <v>0 Original</v>
      </c>
      <c r="D1605" s="5" t="s">
        <v>3739</v>
      </c>
      <c r="E1605" s="3">
        <v>2241</v>
      </c>
      <c r="F1605" t="s">
        <v>1450</v>
      </c>
      <c r="G1605" t="s">
        <v>704</v>
      </c>
      <c r="H1605" s="9">
        <v>4.99</v>
      </c>
      <c r="I1605" s="3">
        <v>1</v>
      </c>
      <c r="J1605" s="5" t="s">
        <v>68</v>
      </c>
      <c r="K1605" s="15">
        <v>41922.665659722225</v>
      </c>
      <c r="L1605" s="20">
        <f t="shared" si="75"/>
        <v>41922</v>
      </c>
      <c r="M1605" t="str">
        <f t="shared" si="76"/>
        <v>10-2014</v>
      </c>
      <c r="N1605">
        <f t="shared" si="77"/>
        <v>4.99</v>
      </c>
    </row>
    <row r="1606" spans="3:14" x14ac:dyDescent="0.25">
      <c r="C1606" t="str">
        <f>IF(COUNTBLANK(E1606:K1606) = 7,"",IF(AND(NOT(ISBLANK(E1606)),COUNTBLANK(E1606:K1606) = 6),"3 Delete",IF(ISBLANK(E1606),"2 Add",IF(SHA1Range(E1606:K1606) = "6447c5ff18b09bd7df570954712e9b42a0abfeb8","0 Original","1 Modify"))))</f>
        <v>0 Original</v>
      </c>
      <c r="D1606" s="5" t="s">
        <v>3740</v>
      </c>
      <c r="E1606" s="3">
        <v>2242</v>
      </c>
      <c r="F1606" t="s">
        <v>1450</v>
      </c>
      <c r="G1606" t="s">
        <v>684</v>
      </c>
      <c r="H1606" s="9">
        <v>8.99</v>
      </c>
      <c r="I1606" s="3">
        <v>2</v>
      </c>
      <c r="J1606" s="5" t="s">
        <v>68</v>
      </c>
      <c r="K1606" s="15">
        <v>41922.665659722225</v>
      </c>
      <c r="L1606" s="20">
        <f t="shared" si="75"/>
        <v>41922</v>
      </c>
      <c r="M1606" t="str">
        <f t="shared" si="76"/>
        <v>10-2014</v>
      </c>
      <c r="N1606">
        <f t="shared" si="77"/>
        <v>17.98</v>
      </c>
    </row>
    <row r="1607" spans="3:14" x14ac:dyDescent="0.25">
      <c r="C1607" t="str">
        <f>IF(COUNTBLANK(E1607:K1607) = 7,"",IF(AND(NOT(ISBLANK(E1607)),COUNTBLANK(E1607:K1607) = 6),"3 Delete",IF(ISBLANK(E1607),"2 Add",IF(SHA1Range(E1607:K1607) = "0a464ad32a8f08147cf570f706fd3837590fd1b6","0 Original","1 Modify"))))</f>
        <v>0 Original</v>
      </c>
      <c r="D1607" s="5" t="s">
        <v>3741</v>
      </c>
      <c r="E1607" s="3">
        <v>3706</v>
      </c>
      <c r="F1607" t="s">
        <v>1451</v>
      </c>
      <c r="G1607" t="s">
        <v>400</v>
      </c>
      <c r="H1607" s="9">
        <v>4.99</v>
      </c>
      <c r="I1607" s="3">
        <v>1</v>
      </c>
      <c r="J1607" s="5" t="s">
        <v>68</v>
      </c>
      <c r="K1607" s="15">
        <v>41923.006712962961</v>
      </c>
      <c r="L1607" s="20">
        <f t="shared" si="75"/>
        <v>41923</v>
      </c>
      <c r="M1607" t="str">
        <f t="shared" si="76"/>
        <v>10-2014</v>
      </c>
      <c r="N1607">
        <f t="shared" si="77"/>
        <v>4.99</v>
      </c>
    </row>
    <row r="1608" spans="3:14" x14ac:dyDescent="0.25">
      <c r="C1608" t="str">
        <f>IF(COUNTBLANK(E1608:K1608) = 7,"",IF(AND(NOT(ISBLANK(E1608)),COUNTBLANK(E1608:K1608) = 6),"3 Delete",IF(ISBLANK(E1608),"2 Add",IF(SHA1Range(E1608:K1608) = "f73ffb29d25e7213f9288a68c1a0cd7d8ad4513c","0 Original","1 Modify"))))</f>
        <v>0 Original</v>
      </c>
      <c r="D1608" s="5" t="s">
        <v>3742</v>
      </c>
      <c r="E1608" s="3">
        <v>3707</v>
      </c>
      <c r="F1608" t="s">
        <v>1451</v>
      </c>
      <c r="G1608" t="s">
        <v>514</v>
      </c>
      <c r="H1608" s="9">
        <v>6.99</v>
      </c>
      <c r="I1608" s="3">
        <v>1</v>
      </c>
      <c r="J1608" s="5" t="s">
        <v>68</v>
      </c>
      <c r="K1608" s="15">
        <v>41923.006712962961</v>
      </c>
      <c r="L1608" s="20">
        <f t="shared" si="75"/>
        <v>41923</v>
      </c>
      <c r="M1608" t="str">
        <f t="shared" si="76"/>
        <v>10-2014</v>
      </c>
      <c r="N1608">
        <f t="shared" si="77"/>
        <v>6.99</v>
      </c>
    </row>
    <row r="1609" spans="3:14" x14ac:dyDescent="0.25">
      <c r="C1609" t="str">
        <f>IF(COUNTBLANK(E1609:K1609) = 7,"",IF(AND(NOT(ISBLANK(E1609)),COUNTBLANK(E1609:K1609) = 6),"3 Delete",IF(ISBLANK(E1609),"2 Add",IF(SHA1Range(E1609:K1609) = "623c1aaff0c61dea2e384769e5fe11ce7f46f3a8","0 Original","1 Modify"))))</f>
        <v>0 Original</v>
      </c>
      <c r="D1609" s="5" t="s">
        <v>3743</v>
      </c>
      <c r="E1609" s="3">
        <v>3708</v>
      </c>
      <c r="F1609" t="s">
        <v>1451</v>
      </c>
      <c r="G1609" t="s">
        <v>642</v>
      </c>
      <c r="H1609" s="9">
        <v>9.99</v>
      </c>
      <c r="I1609" s="3">
        <v>1</v>
      </c>
      <c r="J1609" s="5" t="s">
        <v>68</v>
      </c>
      <c r="K1609" s="15">
        <v>41923.006712962961</v>
      </c>
      <c r="L1609" s="20">
        <f t="shared" si="75"/>
        <v>41923</v>
      </c>
      <c r="M1609" t="str">
        <f t="shared" si="76"/>
        <v>10-2014</v>
      </c>
      <c r="N1609">
        <f t="shared" si="77"/>
        <v>9.99</v>
      </c>
    </row>
    <row r="1610" spans="3:14" x14ac:dyDescent="0.25">
      <c r="C1610" t="str">
        <f>IF(COUNTBLANK(E1610:K1610) = 7,"",IF(AND(NOT(ISBLANK(E1610)),COUNTBLANK(E1610:K1610) = 6),"3 Delete",IF(ISBLANK(E1610),"2 Add",IF(SHA1Range(E1610:K1610) = "94ac97710426809032b5f3047e97d64334f0121e","0 Original","1 Modify"))))</f>
        <v>0 Original</v>
      </c>
      <c r="D1610" s="5" t="s">
        <v>3744</v>
      </c>
      <c r="E1610" s="3">
        <v>3709</v>
      </c>
      <c r="F1610" t="s">
        <v>1451</v>
      </c>
      <c r="G1610" t="s">
        <v>579</v>
      </c>
      <c r="H1610" s="9">
        <v>9.99</v>
      </c>
      <c r="I1610" s="3">
        <v>2</v>
      </c>
      <c r="J1610" s="5" t="s">
        <v>68</v>
      </c>
      <c r="K1610" s="15">
        <v>41923.006712962961</v>
      </c>
      <c r="L1610" s="20">
        <f t="shared" si="75"/>
        <v>41923</v>
      </c>
      <c r="M1610" t="str">
        <f t="shared" si="76"/>
        <v>10-2014</v>
      </c>
      <c r="N1610">
        <f t="shared" si="77"/>
        <v>19.98</v>
      </c>
    </row>
    <row r="1611" spans="3:14" x14ac:dyDescent="0.25">
      <c r="C1611" t="str">
        <f>IF(COUNTBLANK(E1611:K1611) = 7,"",IF(AND(NOT(ISBLANK(E1611)),COUNTBLANK(E1611:K1611) = 6),"3 Delete",IF(ISBLANK(E1611),"2 Add",IF(SHA1Range(E1611:K1611) = "1e5778b68eff9ee7e12a8df0b924b7b5e3a9b70f","0 Original","1 Modify"))))</f>
        <v>0 Original</v>
      </c>
      <c r="D1611" s="5" t="s">
        <v>4297</v>
      </c>
      <c r="E1611" s="3">
        <v>106</v>
      </c>
      <c r="F1611" t="s">
        <v>1452</v>
      </c>
      <c r="G1611" t="s">
        <v>861</v>
      </c>
      <c r="H1611" s="9">
        <v>8.99</v>
      </c>
      <c r="I1611" s="3">
        <v>2</v>
      </c>
      <c r="J1611" s="5" t="s">
        <v>68</v>
      </c>
      <c r="K1611" s="15">
        <v>41923.390717592592</v>
      </c>
      <c r="L1611" s="20">
        <f t="shared" si="75"/>
        <v>41923</v>
      </c>
      <c r="M1611" t="str">
        <f t="shared" si="76"/>
        <v>10-2014</v>
      </c>
      <c r="N1611">
        <f t="shared" si="77"/>
        <v>17.98</v>
      </c>
    </row>
    <row r="1612" spans="3:14" x14ac:dyDescent="0.25">
      <c r="C1612" t="str">
        <f>IF(COUNTBLANK(E1612:K1612) = 7,"",IF(AND(NOT(ISBLANK(E1612)),COUNTBLANK(E1612:K1612) = 6),"3 Delete",IF(ISBLANK(E1612),"2 Add",IF(SHA1Range(E1612:K1612) = "8eaa04b8a251dd2a9ab18e5911085d0f4f46136b","0 Original","1 Modify"))))</f>
        <v>0 Original</v>
      </c>
      <c r="D1612" s="5" t="s">
        <v>4298</v>
      </c>
      <c r="E1612" s="3">
        <v>107</v>
      </c>
      <c r="F1612" t="s">
        <v>1452</v>
      </c>
      <c r="G1612" t="s">
        <v>704</v>
      </c>
      <c r="H1612" s="9">
        <v>4.99</v>
      </c>
      <c r="I1612" s="3">
        <v>1</v>
      </c>
      <c r="J1612" s="5" t="s">
        <v>68</v>
      </c>
      <c r="K1612" s="15">
        <v>41923.390717592592</v>
      </c>
      <c r="L1612" s="20">
        <f t="shared" si="75"/>
        <v>41923</v>
      </c>
      <c r="M1612" t="str">
        <f t="shared" si="76"/>
        <v>10-2014</v>
      </c>
      <c r="N1612">
        <f t="shared" si="77"/>
        <v>4.99</v>
      </c>
    </row>
    <row r="1613" spans="3:14" x14ac:dyDescent="0.25">
      <c r="C1613" t="str">
        <f>IF(COUNTBLANK(E1613:K1613) = 7,"",IF(AND(NOT(ISBLANK(E1613)),COUNTBLANK(E1613:K1613) = 6),"3 Delete",IF(ISBLANK(E1613),"2 Add",IF(SHA1Range(E1613:K1613) = "ab5ecdd1a40f12b883519cc5fd03bd13e2954772","0 Original","1 Modify"))))</f>
        <v>0 Original</v>
      </c>
      <c r="D1613" s="5" t="s">
        <v>4299</v>
      </c>
      <c r="E1613" s="3">
        <v>108</v>
      </c>
      <c r="F1613" t="s">
        <v>1452</v>
      </c>
      <c r="G1613" t="s">
        <v>514</v>
      </c>
      <c r="H1613" s="9">
        <v>6.99</v>
      </c>
      <c r="I1613" s="3">
        <v>1</v>
      </c>
      <c r="J1613" s="5" t="s">
        <v>68</v>
      </c>
      <c r="K1613" s="15">
        <v>41923.390717592592</v>
      </c>
      <c r="L1613" s="20">
        <f t="shared" si="75"/>
        <v>41923</v>
      </c>
      <c r="M1613" t="str">
        <f t="shared" si="76"/>
        <v>10-2014</v>
      </c>
      <c r="N1613">
        <f t="shared" si="77"/>
        <v>6.99</v>
      </c>
    </row>
    <row r="1614" spans="3:14" x14ac:dyDescent="0.25">
      <c r="C1614" t="str">
        <f>IF(COUNTBLANK(E1614:K1614) = 7,"",IF(AND(NOT(ISBLANK(E1614)),COUNTBLANK(E1614:K1614) = 6),"3 Delete",IF(ISBLANK(E1614),"2 Add",IF(SHA1Range(E1614:K1614) = "7fef3b67c75feaf03a7e060f6fb398e7bb9c84ca","0 Original","1 Modify"))))</f>
        <v>0 Original</v>
      </c>
      <c r="D1614" s="5" t="s">
        <v>4300</v>
      </c>
      <c r="E1614" s="3">
        <v>109</v>
      </c>
      <c r="F1614" t="s">
        <v>1452</v>
      </c>
      <c r="G1614" t="s">
        <v>711</v>
      </c>
      <c r="H1614" s="9">
        <v>4.99</v>
      </c>
      <c r="I1614" s="3">
        <v>1</v>
      </c>
      <c r="J1614" s="5" t="s">
        <v>68</v>
      </c>
      <c r="K1614" s="15">
        <v>41923.390717592592</v>
      </c>
      <c r="L1614" s="20">
        <f t="shared" si="75"/>
        <v>41923</v>
      </c>
      <c r="M1614" t="str">
        <f t="shared" si="76"/>
        <v>10-2014</v>
      </c>
      <c r="N1614">
        <f t="shared" si="77"/>
        <v>4.99</v>
      </c>
    </row>
    <row r="1615" spans="3:14" x14ac:dyDescent="0.25">
      <c r="C1615" t="str">
        <f>IF(COUNTBLANK(E1615:K1615) = 7,"",IF(AND(NOT(ISBLANK(E1615)),COUNTBLANK(E1615:K1615) = 6),"3 Delete",IF(ISBLANK(E1615),"2 Add",IF(SHA1Range(E1615:K1615) = "9b9c838904c656efd298729f8ca7b1a822a6ddf3","0 Original","1 Modify"))))</f>
        <v>0 Original</v>
      </c>
      <c r="D1615" s="5" t="s">
        <v>3745</v>
      </c>
      <c r="E1615" s="3">
        <v>2882</v>
      </c>
      <c r="F1615" t="s">
        <v>1453</v>
      </c>
      <c r="G1615" t="s">
        <v>552</v>
      </c>
      <c r="H1615" s="9">
        <v>6.99</v>
      </c>
      <c r="I1615" s="3">
        <v>1</v>
      </c>
      <c r="J1615" s="5" t="s">
        <v>68</v>
      </c>
      <c r="K1615" s="15">
        <v>41924.098645833335</v>
      </c>
      <c r="L1615" s="20">
        <f t="shared" si="75"/>
        <v>41924</v>
      </c>
      <c r="M1615" t="str">
        <f t="shared" si="76"/>
        <v>10-2014</v>
      </c>
      <c r="N1615">
        <f t="shared" si="77"/>
        <v>6.99</v>
      </c>
    </row>
    <row r="1616" spans="3:14" x14ac:dyDescent="0.25">
      <c r="C1616" t="str">
        <f>IF(COUNTBLANK(E1616:K1616) = 7,"",IF(AND(NOT(ISBLANK(E1616)),COUNTBLANK(E1616:K1616) = 6),"3 Delete",IF(ISBLANK(E1616),"2 Add",IF(SHA1Range(E1616:K1616) = "17aadf022bdab2eb3846a218079034cfe31ff731","0 Original","1 Modify"))))</f>
        <v>0 Original</v>
      </c>
      <c r="D1616" s="5" t="s">
        <v>3746</v>
      </c>
      <c r="E1616" s="3">
        <v>2883</v>
      </c>
      <c r="F1616" t="s">
        <v>1453</v>
      </c>
      <c r="G1616" t="s">
        <v>400</v>
      </c>
      <c r="H1616" s="9">
        <v>4.99</v>
      </c>
      <c r="I1616" s="3">
        <v>1</v>
      </c>
      <c r="J1616" s="5" t="s">
        <v>68</v>
      </c>
      <c r="K1616" s="15">
        <v>41924.098645833335</v>
      </c>
      <c r="L1616" s="20">
        <f t="shared" si="75"/>
        <v>41924</v>
      </c>
      <c r="M1616" t="str">
        <f t="shared" si="76"/>
        <v>10-2014</v>
      </c>
      <c r="N1616">
        <f t="shared" si="77"/>
        <v>4.99</v>
      </c>
    </row>
    <row r="1617" spans="3:14" x14ac:dyDescent="0.25">
      <c r="C1617" t="str">
        <f>IF(COUNTBLANK(E1617:K1617) = 7,"",IF(AND(NOT(ISBLANK(E1617)),COUNTBLANK(E1617:K1617) = 6),"3 Delete",IF(ISBLANK(E1617),"2 Add",IF(SHA1Range(E1617:K1617) = "0891bb3aaa2b34989aca33f414da03b9023e2a90","0 Original","1 Modify"))))</f>
        <v>0 Original</v>
      </c>
      <c r="D1617" s="5" t="s">
        <v>3747</v>
      </c>
      <c r="E1617" s="3">
        <v>3924</v>
      </c>
      <c r="F1617" t="s">
        <v>1454</v>
      </c>
      <c r="G1617" t="s">
        <v>948</v>
      </c>
      <c r="H1617" s="9">
        <v>4.99</v>
      </c>
      <c r="I1617" s="3">
        <v>2</v>
      </c>
      <c r="J1617" s="5" t="s">
        <v>68</v>
      </c>
      <c r="K1617" s="15">
        <v>41925.54347222222</v>
      </c>
      <c r="L1617" s="20">
        <f t="shared" si="75"/>
        <v>41925</v>
      </c>
      <c r="M1617" t="str">
        <f t="shared" si="76"/>
        <v>10-2014</v>
      </c>
      <c r="N1617">
        <f t="shared" si="77"/>
        <v>9.98</v>
      </c>
    </row>
    <row r="1618" spans="3:14" x14ac:dyDescent="0.25">
      <c r="C1618" t="str">
        <f>IF(COUNTBLANK(E1618:K1618) = 7,"",IF(AND(NOT(ISBLANK(E1618)),COUNTBLANK(E1618:K1618) = 6),"3 Delete",IF(ISBLANK(E1618),"2 Add",IF(SHA1Range(E1618:K1618) = "1a1a2f8675e29ab1588de7ccc7030eff98af0185","0 Original","1 Modify"))))</f>
        <v>0 Original</v>
      </c>
      <c r="D1618" s="5" t="s">
        <v>3748</v>
      </c>
      <c r="E1618" s="3">
        <v>3925</v>
      </c>
      <c r="F1618" t="s">
        <v>1454</v>
      </c>
      <c r="G1618" t="s">
        <v>749</v>
      </c>
      <c r="H1618" s="9">
        <v>5.99</v>
      </c>
      <c r="I1618" s="3">
        <v>2</v>
      </c>
      <c r="J1618" s="5" t="s">
        <v>68</v>
      </c>
      <c r="K1618" s="15">
        <v>41925.54347222222</v>
      </c>
      <c r="L1618" s="20">
        <f t="shared" si="75"/>
        <v>41925</v>
      </c>
      <c r="M1618" t="str">
        <f t="shared" si="76"/>
        <v>10-2014</v>
      </c>
      <c r="N1618">
        <f t="shared" si="77"/>
        <v>11.98</v>
      </c>
    </row>
    <row r="1619" spans="3:14" x14ac:dyDescent="0.25">
      <c r="C1619" t="str">
        <f>IF(COUNTBLANK(E1619:K1619) = 7,"",IF(AND(NOT(ISBLANK(E1619)),COUNTBLANK(E1619:K1619) = 6),"3 Delete",IF(ISBLANK(E1619),"2 Add",IF(SHA1Range(E1619:K1619) = "7915a1178bbf079efbf577c68daee2a1ab8ec469","0 Original","1 Modify"))))</f>
        <v>0 Original</v>
      </c>
      <c r="D1619" s="5" t="s">
        <v>4301</v>
      </c>
      <c r="E1619" s="3">
        <v>403</v>
      </c>
      <c r="F1619" t="s">
        <v>1455</v>
      </c>
      <c r="G1619" t="s">
        <v>400</v>
      </c>
      <c r="H1619" s="9">
        <v>4.99</v>
      </c>
      <c r="I1619" s="3">
        <v>1</v>
      </c>
      <c r="J1619" s="5" t="s">
        <v>68</v>
      </c>
      <c r="K1619" s="15">
        <v>41925.759444444448</v>
      </c>
      <c r="L1619" s="20">
        <f t="shared" si="75"/>
        <v>41925</v>
      </c>
      <c r="M1619" t="str">
        <f t="shared" si="76"/>
        <v>10-2014</v>
      </c>
      <c r="N1619">
        <f t="shared" si="77"/>
        <v>4.99</v>
      </c>
    </row>
    <row r="1620" spans="3:14" x14ac:dyDescent="0.25">
      <c r="C1620" t="str">
        <f>IF(COUNTBLANK(E1620:K1620) = 7,"",IF(AND(NOT(ISBLANK(E1620)),COUNTBLANK(E1620:K1620) = 6),"3 Delete",IF(ISBLANK(E1620),"2 Add",IF(SHA1Range(E1620:K1620) = "df5862c51ed593cdcaabc27a5d0d6743f1fa8481","0 Original","1 Modify"))))</f>
        <v>0 Original</v>
      </c>
      <c r="D1620" s="5" t="s">
        <v>4302</v>
      </c>
      <c r="E1620" s="3">
        <v>404</v>
      </c>
      <c r="F1620" t="s">
        <v>1455</v>
      </c>
      <c r="G1620" t="s">
        <v>464</v>
      </c>
      <c r="H1620" s="9">
        <v>8.99</v>
      </c>
      <c r="I1620" s="3">
        <v>1</v>
      </c>
      <c r="J1620" s="5" t="s">
        <v>68</v>
      </c>
      <c r="K1620" s="15">
        <v>41925.759444444448</v>
      </c>
      <c r="L1620" s="20">
        <f t="shared" si="75"/>
        <v>41925</v>
      </c>
      <c r="M1620" t="str">
        <f t="shared" si="76"/>
        <v>10-2014</v>
      </c>
      <c r="N1620">
        <f t="shared" si="77"/>
        <v>8.99</v>
      </c>
    </row>
    <row r="1621" spans="3:14" x14ac:dyDescent="0.25">
      <c r="C1621" t="str">
        <f>IF(COUNTBLANK(E1621:K1621) = 7,"",IF(AND(NOT(ISBLANK(E1621)),COUNTBLANK(E1621:K1621) = 6),"3 Delete",IF(ISBLANK(E1621),"2 Add",IF(SHA1Range(E1621:K1621) = "ee5e161d759b11e49550923c0079cadbefe6637e","0 Original","1 Modify"))))</f>
        <v>0 Original</v>
      </c>
      <c r="D1621" s="5" t="s">
        <v>4303</v>
      </c>
      <c r="E1621" s="3">
        <v>405</v>
      </c>
      <c r="F1621" t="s">
        <v>1455</v>
      </c>
      <c r="G1621" t="s">
        <v>674</v>
      </c>
      <c r="H1621" s="9">
        <v>5.99</v>
      </c>
      <c r="I1621" s="3">
        <v>1</v>
      </c>
      <c r="J1621" s="5" t="s">
        <v>68</v>
      </c>
      <c r="K1621" s="15">
        <v>41925.759444444448</v>
      </c>
      <c r="L1621" s="20">
        <f t="shared" si="75"/>
        <v>41925</v>
      </c>
      <c r="M1621" t="str">
        <f t="shared" si="76"/>
        <v>10-2014</v>
      </c>
      <c r="N1621">
        <f t="shared" si="77"/>
        <v>5.99</v>
      </c>
    </row>
    <row r="1622" spans="3:14" x14ac:dyDescent="0.25">
      <c r="C1622" t="str">
        <f>IF(COUNTBLANK(E1622:K1622) = 7,"",IF(AND(NOT(ISBLANK(E1622)),COUNTBLANK(E1622:K1622) = 6),"3 Delete",IF(ISBLANK(E1622),"2 Add",IF(SHA1Range(E1622:K1622) = "5f33e33662cb74b736245b6694c8bfeb19c0e58d","0 Original","1 Modify"))))</f>
        <v>0 Original</v>
      </c>
      <c r="D1622" s="5" t="s">
        <v>3749</v>
      </c>
      <c r="E1622" s="3">
        <v>3476</v>
      </c>
      <c r="F1622" t="s">
        <v>1456</v>
      </c>
      <c r="G1622" t="s">
        <v>400</v>
      </c>
      <c r="H1622" s="9">
        <v>4.99</v>
      </c>
      <c r="I1622" s="3">
        <v>1</v>
      </c>
      <c r="J1622" s="5" t="s">
        <v>68</v>
      </c>
      <c r="K1622" s="15">
        <v>41926.131597222222</v>
      </c>
      <c r="L1622" s="20">
        <f t="shared" si="75"/>
        <v>41926</v>
      </c>
      <c r="M1622" t="str">
        <f t="shared" si="76"/>
        <v>10-2014</v>
      </c>
      <c r="N1622">
        <f t="shared" si="77"/>
        <v>4.99</v>
      </c>
    </row>
    <row r="1623" spans="3:14" x14ac:dyDescent="0.25">
      <c r="C1623" t="str">
        <f>IF(COUNTBLANK(E1623:K1623) = 7,"",IF(AND(NOT(ISBLANK(E1623)),COUNTBLANK(E1623:K1623) = 6),"3 Delete",IF(ISBLANK(E1623),"2 Add",IF(SHA1Range(E1623:K1623) = "5654a529ac18a16299ab0cc478b9a5c540cbe55c","0 Original","1 Modify"))))</f>
        <v>0 Original</v>
      </c>
      <c r="D1623" s="5" t="s">
        <v>3750</v>
      </c>
      <c r="E1623" s="3">
        <v>3477</v>
      </c>
      <c r="F1623" t="s">
        <v>1456</v>
      </c>
      <c r="G1623" t="s">
        <v>373</v>
      </c>
      <c r="H1623" s="9">
        <v>7.99</v>
      </c>
      <c r="I1623" s="3">
        <v>1</v>
      </c>
      <c r="J1623" s="5" t="s">
        <v>68</v>
      </c>
      <c r="K1623" s="15">
        <v>41926.131597222222</v>
      </c>
      <c r="L1623" s="20">
        <f t="shared" si="75"/>
        <v>41926</v>
      </c>
      <c r="M1623" t="str">
        <f t="shared" si="76"/>
        <v>10-2014</v>
      </c>
      <c r="N1623">
        <f t="shared" si="77"/>
        <v>7.99</v>
      </c>
    </row>
    <row r="1624" spans="3:14" x14ac:dyDescent="0.25">
      <c r="C1624" t="str">
        <f>IF(COUNTBLANK(E1624:K1624) = 7,"",IF(AND(NOT(ISBLANK(E1624)),COUNTBLANK(E1624:K1624) = 6),"3 Delete",IF(ISBLANK(E1624),"2 Add",IF(SHA1Range(E1624:K1624) = "0ab20996c12971ad625410cf08f298ef8dd09380","0 Original","1 Modify"))))</f>
        <v>0 Original</v>
      </c>
      <c r="D1624" s="5" t="s">
        <v>3751</v>
      </c>
      <c r="E1624" s="3">
        <v>3478</v>
      </c>
      <c r="F1624" t="s">
        <v>1456</v>
      </c>
      <c r="G1624" t="s">
        <v>514</v>
      </c>
      <c r="H1624" s="9">
        <v>6.99</v>
      </c>
      <c r="I1624" s="3">
        <v>1</v>
      </c>
      <c r="J1624" s="5" t="s">
        <v>68</v>
      </c>
      <c r="K1624" s="15">
        <v>41926.131597222222</v>
      </c>
      <c r="L1624" s="20">
        <f t="shared" si="75"/>
        <v>41926</v>
      </c>
      <c r="M1624" t="str">
        <f t="shared" si="76"/>
        <v>10-2014</v>
      </c>
      <c r="N1624">
        <f t="shared" si="77"/>
        <v>6.99</v>
      </c>
    </row>
    <row r="1625" spans="3:14" x14ac:dyDescent="0.25">
      <c r="C1625" t="str">
        <f>IF(COUNTBLANK(E1625:K1625) = 7,"",IF(AND(NOT(ISBLANK(E1625)),COUNTBLANK(E1625:K1625) = 6),"3 Delete",IF(ISBLANK(E1625),"2 Add",IF(SHA1Range(E1625:K1625) = "145e6482bd075908faaa978b87435ba4433ad14e","0 Original","1 Modify"))))</f>
        <v>0 Original</v>
      </c>
      <c r="D1625" s="5" t="s">
        <v>3752</v>
      </c>
      <c r="E1625" s="3">
        <v>3479</v>
      </c>
      <c r="F1625" t="s">
        <v>1456</v>
      </c>
      <c r="G1625" t="s">
        <v>579</v>
      </c>
      <c r="H1625" s="9">
        <v>9.99</v>
      </c>
      <c r="I1625" s="3">
        <v>1</v>
      </c>
      <c r="J1625" s="5" t="s">
        <v>68</v>
      </c>
      <c r="K1625" s="15">
        <v>41926.131597222222</v>
      </c>
      <c r="L1625" s="20">
        <f t="shared" si="75"/>
        <v>41926</v>
      </c>
      <c r="M1625" t="str">
        <f t="shared" si="76"/>
        <v>10-2014</v>
      </c>
      <c r="N1625">
        <f t="shared" si="77"/>
        <v>9.99</v>
      </c>
    </row>
    <row r="1626" spans="3:14" x14ac:dyDescent="0.25">
      <c r="C1626" t="str">
        <f>IF(COUNTBLANK(E1626:K1626) = 7,"",IF(AND(NOT(ISBLANK(E1626)),COUNTBLANK(E1626:K1626) = 6),"3 Delete",IF(ISBLANK(E1626),"2 Add",IF(SHA1Range(E1626:K1626) = "3b54c57e4f806a5a272b156708d41815395f2969","0 Original","1 Modify"))))</f>
        <v>0 Original</v>
      </c>
      <c r="D1626" s="5" t="s">
        <v>3753</v>
      </c>
      <c r="E1626" s="3">
        <v>3480</v>
      </c>
      <c r="F1626" t="s">
        <v>1456</v>
      </c>
      <c r="G1626" t="s">
        <v>749</v>
      </c>
      <c r="H1626" s="9">
        <v>5.99</v>
      </c>
      <c r="I1626" s="3">
        <v>1</v>
      </c>
      <c r="J1626" s="5" t="s">
        <v>68</v>
      </c>
      <c r="K1626" s="15">
        <v>41926.131597222222</v>
      </c>
      <c r="L1626" s="20">
        <f t="shared" si="75"/>
        <v>41926</v>
      </c>
      <c r="M1626" t="str">
        <f t="shared" si="76"/>
        <v>10-2014</v>
      </c>
      <c r="N1626">
        <f t="shared" si="77"/>
        <v>5.99</v>
      </c>
    </row>
    <row r="1627" spans="3:14" x14ac:dyDescent="0.25">
      <c r="C1627" t="str">
        <f>IF(COUNTBLANK(E1627:K1627) = 7,"",IF(AND(NOT(ISBLANK(E1627)),COUNTBLANK(E1627:K1627) = 6),"3 Delete",IF(ISBLANK(E1627),"2 Add",IF(SHA1Range(E1627:K1627) = "4b75868c7e75d20238b264f624fdd698f6e0c27a","0 Original","1 Modify"))))</f>
        <v>0 Original</v>
      </c>
      <c r="D1627" s="5" t="s">
        <v>3754</v>
      </c>
      <c r="E1627" s="3">
        <v>1705</v>
      </c>
      <c r="F1627" t="s">
        <v>1457</v>
      </c>
      <c r="G1627" t="s">
        <v>445</v>
      </c>
      <c r="H1627" s="9">
        <v>7.99</v>
      </c>
      <c r="I1627" s="3">
        <v>1</v>
      </c>
      <c r="J1627" s="5" t="s">
        <v>68</v>
      </c>
      <c r="K1627" s="15">
        <v>41926.387685185182</v>
      </c>
      <c r="L1627" s="20">
        <f t="shared" si="75"/>
        <v>41926</v>
      </c>
      <c r="M1627" t="str">
        <f t="shared" si="76"/>
        <v>10-2014</v>
      </c>
      <c r="N1627">
        <f t="shared" si="77"/>
        <v>7.99</v>
      </c>
    </row>
    <row r="1628" spans="3:14" x14ac:dyDescent="0.25">
      <c r="C1628" t="str">
        <f>IF(COUNTBLANK(E1628:K1628) = 7,"",IF(AND(NOT(ISBLANK(E1628)),COUNTBLANK(E1628:K1628) = 6),"3 Delete",IF(ISBLANK(E1628),"2 Add",IF(SHA1Range(E1628:K1628) = "a9e3766691db21db0c611c1a81e2769367da86d4","0 Original","1 Modify"))))</f>
        <v>0 Original</v>
      </c>
      <c r="D1628" s="5" t="s">
        <v>3755</v>
      </c>
      <c r="E1628" s="3">
        <v>3055</v>
      </c>
      <c r="F1628" t="s">
        <v>1458</v>
      </c>
      <c r="G1628" t="s">
        <v>514</v>
      </c>
      <c r="H1628" s="9">
        <v>6.99</v>
      </c>
      <c r="I1628" s="3">
        <v>1</v>
      </c>
      <c r="J1628" s="5" t="s">
        <v>68</v>
      </c>
      <c r="K1628" s="15">
        <v>41927.135868055557</v>
      </c>
      <c r="L1628" s="20">
        <f t="shared" si="75"/>
        <v>41927</v>
      </c>
      <c r="M1628" t="str">
        <f t="shared" si="76"/>
        <v>10-2014</v>
      </c>
      <c r="N1628">
        <f t="shared" si="77"/>
        <v>6.99</v>
      </c>
    </row>
    <row r="1629" spans="3:14" x14ac:dyDescent="0.25">
      <c r="C1629" t="str">
        <f>IF(COUNTBLANK(E1629:K1629) = 7,"",IF(AND(NOT(ISBLANK(E1629)),COUNTBLANK(E1629:K1629) = 6),"3 Delete",IF(ISBLANK(E1629),"2 Add",IF(SHA1Range(E1629:K1629) = "b1543a750e83d2cced1ead42dc7e4a448a9bdb88","0 Original","1 Modify"))))</f>
        <v>0 Original</v>
      </c>
      <c r="D1629" s="5" t="s">
        <v>3756</v>
      </c>
      <c r="E1629" s="3">
        <v>3056</v>
      </c>
      <c r="F1629" t="s">
        <v>1458</v>
      </c>
      <c r="G1629" t="s">
        <v>579</v>
      </c>
      <c r="H1629" s="9">
        <v>9.99</v>
      </c>
      <c r="I1629" s="3">
        <v>1</v>
      </c>
      <c r="J1629" s="5" t="s">
        <v>68</v>
      </c>
      <c r="K1629" s="15">
        <v>41927.135868055557</v>
      </c>
      <c r="L1629" s="20">
        <f t="shared" si="75"/>
        <v>41927</v>
      </c>
      <c r="M1629" t="str">
        <f t="shared" si="76"/>
        <v>10-2014</v>
      </c>
      <c r="N1629">
        <f t="shared" si="77"/>
        <v>9.99</v>
      </c>
    </row>
    <row r="1630" spans="3:14" x14ac:dyDescent="0.25">
      <c r="C1630" t="str">
        <f>IF(COUNTBLANK(E1630:K1630) = 7,"",IF(AND(NOT(ISBLANK(E1630)),COUNTBLANK(E1630:K1630) = 6),"3 Delete",IF(ISBLANK(E1630),"2 Add",IF(SHA1Range(E1630:K1630) = "4f1f5cca0681965e53688e002f4729a88adfe4c1","0 Original","1 Modify"))))</f>
        <v>0 Original</v>
      </c>
      <c r="D1630" s="5" t="s">
        <v>3757</v>
      </c>
      <c r="E1630" s="3">
        <v>3419</v>
      </c>
      <c r="F1630" t="s">
        <v>1459</v>
      </c>
      <c r="G1630" t="s">
        <v>749</v>
      </c>
      <c r="H1630" s="9">
        <v>5.99</v>
      </c>
      <c r="I1630" s="3">
        <v>2</v>
      </c>
      <c r="J1630" s="5" t="s">
        <v>68</v>
      </c>
      <c r="K1630" s="15">
        <v>41927.546736111108</v>
      </c>
      <c r="L1630" s="20">
        <f t="shared" si="75"/>
        <v>41927</v>
      </c>
      <c r="M1630" t="str">
        <f t="shared" si="76"/>
        <v>10-2014</v>
      </c>
      <c r="N1630">
        <f t="shared" si="77"/>
        <v>11.98</v>
      </c>
    </row>
    <row r="1631" spans="3:14" x14ac:dyDescent="0.25">
      <c r="C1631" t="str">
        <f>IF(COUNTBLANK(E1631:K1631) = 7,"",IF(AND(NOT(ISBLANK(E1631)),COUNTBLANK(E1631:K1631) = 6),"3 Delete",IF(ISBLANK(E1631),"2 Add",IF(SHA1Range(E1631:K1631) = "06d9053581151cb82e9c6b483f93ac5a03e186c0","0 Original","1 Modify"))))</f>
        <v>0 Original</v>
      </c>
      <c r="D1631" s="5" t="s">
        <v>3758</v>
      </c>
      <c r="E1631" s="3">
        <v>3420</v>
      </c>
      <c r="F1631" t="s">
        <v>1459</v>
      </c>
      <c r="G1631" t="s">
        <v>687</v>
      </c>
      <c r="H1631" s="9">
        <v>9.99</v>
      </c>
      <c r="I1631" s="3">
        <v>1</v>
      </c>
      <c r="J1631" s="5" t="s">
        <v>68</v>
      </c>
      <c r="K1631" s="15">
        <v>41927.546736111108</v>
      </c>
      <c r="L1631" s="20">
        <f t="shared" si="75"/>
        <v>41927</v>
      </c>
      <c r="M1631" t="str">
        <f t="shared" si="76"/>
        <v>10-2014</v>
      </c>
      <c r="N1631">
        <f t="shared" si="77"/>
        <v>9.99</v>
      </c>
    </row>
    <row r="1632" spans="3:14" x14ac:dyDescent="0.25">
      <c r="C1632" t="str">
        <f>IF(COUNTBLANK(E1632:K1632) = 7,"",IF(AND(NOT(ISBLANK(E1632)),COUNTBLANK(E1632:K1632) = 6),"3 Delete",IF(ISBLANK(E1632),"2 Add",IF(SHA1Range(E1632:K1632) = "8d2a9503f3337a97805155d35c3dd32aa07afe7a","0 Original","1 Modify"))))</f>
        <v>0 Original</v>
      </c>
      <c r="D1632" s="5" t="s">
        <v>3759</v>
      </c>
      <c r="E1632" s="3">
        <v>3421</v>
      </c>
      <c r="F1632" t="s">
        <v>1459</v>
      </c>
      <c r="G1632" t="s">
        <v>373</v>
      </c>
      <c r="H1632" s="9">
        <v>7.99</v>
      </c>
      <c r="I1632" s="3">
        <v>2</v>
      </c>
      <c r="J1632" s="5" t="s">
        <v>68</v>
      </c>
      <c r="K1632" s="15">
        <v>41927.546736111108</v>
      </c>
      <c r="L1632" s="20">
        <f t="shared" si="75"/>
        <v>41927</v>
      </c>
      <c r="M1632" t="str">
        <f t="shared" si="76"/>
        <v>10-2014</v>
      </c>
      <c r="N1632">
        <f t="shared" si="77"/>
        <v>15.98</v>
      </c>
    </row>
    <row r="1633" spans="3:14" x14ac:dyDescent="0.25">
      <c r="C1633" t="str">
        <f>IF(COUNTBLANK(E1633:K1633) = 7,"",IF(AND(NOT(ISBLANK(E1633)),COUNTBLANK(E1633:K1633) = 6),"3 Delete",IF(ISBLANK(E1633),"2 Add",IF(SHA1Range(E1633:K1633) = "e0ac6b62e743a989485d9fc562c18f8e8e8620a0","0 Original","1 Modify"))))</f>
        <v>0 Original</v>
      </c>
      <c r="D1633" s="5" t="s">
        <v>3760</v>
      </c>
      <c r="E1633" s="3">
        <v>3422</v>
      </c>
      <c r="F1633" t="s">
        <v>1459</v>
      </c>
      <c r="G1633" t="s">
        <v>642</v>
      </c>
      <c r="H1633" s="9">
        <v>9.99</v>
      </c>
      <c r="I1633" s="3">
        <v>2</v>
      </c>
      <c r="J1633" s="5" t="s">
        <v>68</v>
      </c>
      <c r="K1633" s="15">
        <v>41927.546736111108</v>
      </c>
      <c r="L1633" s="20">
        <f t="shared" si="75"/>
        <v>41927</v>
      </c>
      <c r="M1633" t="str">
        <f t="shared" si="76"/>
        <v>10-2014</v>
      </c>
      <c r="N1633">
        <f t="shared" si="77"/>
        <v>19.98</v>
      </c>
    </row>
    <row r="1634" spans="3:14" x14ac:dyDescent="0.25">
      <c r="C1634" t="str">
        <f>IF(COUNTBLANK(E1634:K1634) = 7,"",IF(AND(NOT(ISBLANK(E1634)),COUNTBLANK(E1634:K1634) = 6),"3 Delete",IF(ISBLANK(E1634),"2 Add",IF(SHA1Range(E1634:K1634) = "f39bb29c07dfd81191942e2a9107b6fd80b4c5da","0 Original","1 Modify"))))</f>
        <v>0 Original</v>
      </c>
      <c r="D1634" s="5" t="s">
        <v>3761</v>
      </c>
      <c r="E1634" s="3">
        <v>3423</v>
      </c>
      <c r="F1634" t="s">
        <v>1459</v>
      </c>
      <c r="G1634" t="s">
        <v>687</v>
      </c>
      <c r="H1634" s="9">
        <v>9.99</v>
      </c>
      <c r="I1634" s="3">
        <v>1</v>
      </c>
      <c r="J1634" s="5" t="s">
        <v>68</v>
      </c>
      <c r="K1634" s="15">
        <v>41927.546736111108</v>
      </c>
      <c r="L1634" s="20">
        <f t="shared" si="75"/>
        <v>41927</v>
      </c>
      <c r="M1634" t="str">
        <f t="shared" si="76"/>
        <v>10-2014</v>
      </c>
      <c r="N1634">
        <f t="shared" si="77"/>
        <v>9.99</v>
      </c>
    </row>
    <row r="1635" spans="3:14" x14ac:dyDescent="0.25">
      <c r="C1635" t="str">
        <f>IF(COUNTBLANK(E1635:K1635) = 7,"",IF(AND(NOT(ISBLANK(E1635)),COUNTBLANK(E1635:K1635) = 6),"3 Delete",IF(ISBLANK(E1635),"2 Add",IF(SHA1Range(E1635:K1635) = "732681a9f17ebd8008d4a0158c9b8aac1c80f858","0 Original","1 Modify"))))</f>
        <v>0 Original</v>
      </c>
      <c r="D1635" s="5" t="s">
        <v>3762</v>
      </c>
      <c r="E1635" s="3">
        <v>3424</v>
      </c>
      <c r="F1635" t="s">
        <v>1459</v>
      </c>
      <c r="G1635" t="s">
        <v>749</v>
      </c>
      <c r="H1635" s="9">
        <v>5.99</v>
      </c>
      <c r="I1635" s="3">
        <v>1</v>
      </c>
      <c r="J1635" s="5" t="s">
        <v>68</v>
      </c>
      <c r="K1635" s="15">
        <v>41927.546736111108</v>
      </c>
      <c r="L1635" s="20">
        <f t="shared" si="75"/>
        <v>41927</v>
      </c>
      <c r="M1635" t="str">
        <f t="shared" si="76"/>
        <v>10-2014</v>
      </c>
      <c r="N1635">
        <f t="shared" si="77"/>
        <v>5.99</v>
      </c>
    </row>
    <row r="1636" spans="3:14" x14ac:dyDescent="0.25">
      <c r="C1636" t="str">
        <f>IF(COUNTBLANK(E1636:K1636) = 7,"",IF(AND(NOT(ISBLANK(E1636)),COUNTBLANK(E1636:K1636) = 6),"3 Delete",IF(ISBLANK(E1636),"2 Add",IF(SHA1Range(E1636:K1636) = "ad1757c0f9bad4bcb8d2385f8eaa6ba2c8921574","0 Original","1 Modify"))))</f>
        <v>0 Original</v>
      </c>
      <c r="D1636" s="5" t="s">
        <v>3763</v>
      </c>
      <c r="E1636" s="3">
        <v>3425</v>
      </c>
      <c r="F1636" t="s">
        <v>1459</v>
      </c>
      <c r="G1636" t="s">
        <v>642</v>
      </c>
      <c r="H1636" s="9">
        <v>9.99</v>
      </c>
      <c r="I1636" s="3">
        <v>1</v>
      </c>
      <c r="J1636" s="5" t="s">
        <v>68</v>
      </c>
      <c r="K1636" s="15">
        <v>41927.546736111108</v>
      </c>
      <c r="L1636" s="20">
        <f t="shared" si="75"/>
        <v>41927</v>
      </c>
      <c r="M1636" t="str">
        <f t="shared" si="76"/>
        <v>10-2014</v>
      </c>
      <c r="N1636">
        <f t="shared" si="77"/>
        <v>9.99</v>
      </c>
    </row>
    <row r="1637" spans="3:14" x14ac:dyDescent="0.25">
      <c r="C1637" t="str">
        <f>IF(COUNTBLANK(E1637:K1637) = 7,"",IF(AND(NOT(ISBLANK(E1637)),COUNTBLANK(E1637:K1637) = 6),"3 Delete",IF(ISBLANK(E1637),"2 Add",IF(SHA1Range(E1637:K1637) = "2a4ba9dd79c8b49eccf84fd344f77e8ccedcb5f0","0 Original","1 Modify"))))</f>
        <v>0 Original</v>
      </c>
      <c r="D1637" s="5" t="s">
        <v>3764</v>
      </c>
      <c r="E1637" s="3">
        <v>2353</v>
      </c>
      <c r="F1637" t="s">
        <v>1460</v>
      </c>
      <c r="G1637" t="s">
        <v>514</v>
      </c>
      <c r="H1637" s="9">
        <v>6.99</v>
      </c>
      <c r="I1637" s="3">
        <v>1</v>
      </c>
      <c r="J1637" s="5" t="s">
        <v>68</v>
      </c>
      <c r="K1637" s="15">
        <v>41927.939293981479</v>
      </c>
      <c r="L1637" s="20">
        <f t="shared" si="75"/>
        <v>41927</v>
      </c>
      <c r="M1637" t="str">
        <f t="shared" si="76"/>
        <v>10-2014</v>
      </c>
      <c r="N1637">
        <f t="shared" si="77"/>
        <v>6.99</v>
      </c>
    </row>
    <row r="1638" spans="3:14" x14ac:dyDescent="0.25">
      <c r="C1638" t="str">
        <f>IF(COUNTBLANK(E1638:K1638) = 7,"",IF(AND(NOT(ISBLANK(E1638)),COUNTBLANK(E1638:K1638) = 6),"3 Delete",IF(ISBLANK(E1638),"2 Add",IF(SHA1Range(E1638:K1638) = "7ab78e816dd73398127283cec0198c0640fe81ef","0 Original","1 Modify"))))</f>
        <v>0 Original</v>
      </c>
      <c r="D1638" s="5" t="s">
        <v>3765</v>
      </c>
      <c r="E1638" s="3">
        <v>2354</v>
      </c>
      <c r="F1638" t="s">
        <v>1460</v>
      </c>
      <c r="G1638" t="s">
        <v>845</v>
      </c>
      <c r="H1638" s="9">
        <v>7.99</v>
      </c>
      <c r="I1638" s="3">
        <v>1</v>
      </c>
      <c r="J1638" s="5" t="s">
        <v>68</v>
      </c>
      <c r="K1638" s="15">
        <v>41927.939293981479</v>
      </c>
      <c r="L1638" s="20">
        <f t="shared" si="75"/>
        <v>41927</v>
      </c>
      <c r="M1638" t="str">
        <f t="shared" si="76"/>
        <v>10-2014</v>
      </c>
      <c r="N1638">
        <f t="shared" si="77"/>
        <v>7.99</v>
      </c>
    </row>
    <row r="1639" spans="3:14" x14ac:dyDescent="0.25">
      <c r="C1639" t="str">
        <f>IF(COUNTBLANK(E1639:K1639) = 7,"",IF(AND(NOT(ISBLANK(E1639)),COUNTBLANK(E1639:K1639) = 6),"3 Delete",IF(ISBLANK(E1639),"2 Add",IF(SHA1Range(E1639:K1639) = "a3407fb72475a95f01d020dec4cddf1d2056e55a","0 Original","1 Modify"))))</f>
        <v>0 Original</v>
      </c>
      <c r="D1639" s="5" t="s">
        <v>3766</v>
      </c>
      <c r="E1639" s="3">
        <v>2355</v>
      </c>
      <c r="F1639" t="s">
        <v>1460</v>
      </c>
      <c r="G1639" t="s">
        <v>897</v>
      </c>
      <c r="H1639" s="9">
        <v>6.99</v>
      </c>
      <c r="I1639" s="3">
        <v>2</v>
      </c>
      <c r="J1639" s="5" t="s">
        <v>68</v>
      </c>
      <c r="K1639" s="15">
        <v>41927.939293981479</v>
      </c>
      <c r="L1639" s="20">
        <f t="shared" si="75"/>
        <v>41927</v>
      </c>
      <c r="M1639" t="str">
        <f t="shared" si="76"/>
        <v>10-2014</v>
      </c>
      <c r="N1639">
        <f t="shared" si="77"/>
        <v>13.98</v>
      </c>
    </row>
    <row r="1640" spans="3:14" x14ac:dyDescent="0.25">
      <c r="C1640" t="str">
        <f>IF(COUNTBLANK(E1640:K1640) = 7,"",IF(AND(NOT(ISBLANK(E1640)),COUNTBLANK(E1640:K1640) = 6),"3 Delete",IF(ISBLANK(E1640),"2 Add",IF(SHA1Range(E1640:K1640) = "68cbb416af6b2469fa9855fa0ca3221cf3734fcc","0 Original","1 Modify"))))</f>
        <v>0 Original</v>
      </c>
      <c r="D1640" s="5" t="s">
        <v>3767</v>
      </c>
      <c r="E1640" s="3">
        <v>2539</v>
      </c>
      <c r="F1640" t="s">
        <v>1461</v>
      </c>
      <c r="G1640" t="s">
        <v>687</v>
      </c>
      <c r="H1640" s="9">
        <v>9.99</v>
      </c>
      <c r="I1640" s="3">
        <v>1</v>
      </c>
      <c r="J1640" s="5" t="s">
        <v>68</v>
      </c>
      <c r="K1640" s="15">
        <v>41929.42832175926</v>
      </c>
      <c r="L1640" s="20">
        <f t="shared" si="75"/>
        <v>41929</v>
      </c>
      <c r="M1640" t="str">
        <f t="shared" si="76"/>
        <v>10-2014</v>
      </c>
      <c r="N1640">
        <f t="shared" si="77"/>
        <v>9.99</v>
      </c>
    </row>
    <row r="1641" spans="3:14" x14ac:dyDescent="0.25">
      <c r="C1641" t="str">
        <f>IF(COUNTBLANK(E1641:K1641) = 7,"",IF(AND(NOT(ISBLANK(E1641)),COUNTBLANK(E1641:K1641) = 6),"3 Delete",IF(ISBLANK(E1641),"2 Add",IF(SHA1Range(E1641:K1641) = "ab32a7bd03b8c19de61d80b0274cf5a268a6544e","0 Original","1 Modify"))))</f>
        <v>0 Original</v>
      </c>
      <c r="D1641" s="5" t="s">
        <v>3768</v>
      </c>
      <c r="E1641" s="3">
        <v>2540</v>
      </c>
      <c r="F1641" t="s">
        <v>1461</v>
      </c>
      <c r="G1641" t="s">
        <v>687</v>
      </c>
      <c r="H1641" s="9">
        <v>9.99</v>
      </c>
      <c r="I1641" s="3">
        <v>1</v>
      </c>
      <c r="J1641" s="5" t="s">
        <v>68</v>
      </c>
      <c r="K1641" s="15">
        <v>41929.42832175926</v>
      </c>
      <c r="L1641" s="20">
        <f t="shared" si="75"/>
        <v>41929</v>
      </c>
      <c r="M1641" t="str">
        <f t="shared" si="76"/>
        <v>10-2014</v>
      </c>
      <c r="N1641">
        <f t="shared" si="77"/>
        <v>9.99</v>
      </c>
    </row>
    <row r="1642" spans="3:14" x14ac:dyDescent="0.25">
      <c r="C1642" t="str">
        <f>IF(COUNTBLANK(E1642:K1642) = 7,"",IF(AND(NOT(ISBLANK(E1642)),COUNTBLANK(E1642:K1642) = 6),"3 Delete",IF(ISBLANK(E1642),"2 Add",IF(SHA1Range(E1642:K1642) = "7e9ed0d10675ad5fc7602a76249f3b4e8b9003e8","0 Original","1 Modify"))))</f>
        <v>0 Original</v>
      </c>
      <c r="D1642" s="5" t="s">
        <v>3769</v>
      </c>
      <c r="E1642" s="3">
        <v>2541</v>
      </c>
      <c r="F1642" t="s">
        <v>1461</v>
      </c>
      <c r="G1642" t="s">
        <v>948</v>
      </c>
      <c r="H1642" s="9">
        <v>4.99</v>
      </c>
      <c r="I1642" s="3">
        <v>2</v>
      </c>
      <c r="J1642" s="5" t="s">
        <v>68</v>
      </c>
      <c r="K1642" s="15">
        <v>41929.42832175926</v>
      </c>
      <c r="L1642" s="20">
        <f t="shared" si="75"/>
        <v>41929</v>
      </c>
      <c r="M1642" t="str">
        <f t="shared" si="76"/>
        <v>10-2014</v>
      </c>
      <c r="N1642">
        <f t="shared" si="77"/>
        <v>9.98</v>
      </c>
    </row>
    <row r="1643" spans="3:14" x14ac:dyDescent="0.25">
      <c r="C1643" t="str">
        <f>IF(COUNTBLANK(E1643:K1643) = 7,"",IF(AND(NOT(ISBLANK(E1643)),COUNTBLANK(E1643:K1643) = 6),"3 Delete",IF(ISBLANK(E1643),"2 Add",IF(SHA1Range(E1643:K1643) = "dbed44de3bb6e4fb0b57f730cf9f83434174b319","0 Original","1 Modify"))))</f>
        <v>0 Original</v>
      </c>
      <c r="D1643" s="5" t="s">
        <v>3770</v>
      </c>
      <c r="E1643" s="3">
        <v>2542</v>
      </c>
      <c r="F1643" t="s">
        <v>1461</v>
      </c>
      <c r="G1643" t="s">
        <v>373</v>
      </c>
      <c r="H1643" s="9">
        <v>7.99</v>
      </c>
      <c r="I1643" s="3">
        <v>2</v>
      </c>
      <c r="J1643" s="5" t="s">
        <v>68</v>
      </c>
      <c r="K1643" s="15">
        <v>41929.42832175926</v>
      </c>
      <c r="L1643" s="20">
        <f t="shared" si="75"/>
        <v>41929</v>
      </c>
      <c r="M1643" t="str">
        <f t="shared" si="76"/>
        <v>10-2014</v>
      </c>
      <c r="N1643">
        <f t="shared" si="77"/>
        <v>15.98</v>
      </c>
    </row>
    <row r="1644" spans="3:14" x14ac:dyDescent="0.25">
      <c r="C1644" t="str">
        <f>IF(COUNTBLANK(E1644:K1644) = 7,"",IF(AND(NOT(ISBLANK(E1644)),COUNTBLANK(E1644:K1644) = 6),"3 Delete",IF(ISBLANK(E1644),"2 Add",IF(SHA1Range(E1644:K1644) = "f282d2419116a2ee577cb9b20d0f1b4f02320616","0 Original","1 Modify"))))</f>
        <v>0 Original</v>
      </c>
      <c r="D1644" s="5" t="s">
        <v>3771</v>
      </c>
      <c r="E1644" s="3">
        <v>623</v>
      </c>
      <c r="F1644" t="s">
        <v>1462</v>
      </c>
      <c r="G1644" t="s">
        <v>796</v>
      </c>
      <c r="H1644" s="9">
        <v>8.99</v>
      </c>
      <c r="I1644" s="3">
        <v>2</v>
      </c>
      <c r="J1644" s="5" t="s">
        <v>68</v>
      </c>
      <c r="K1644" s="15">
        <v>41929.742164351854</v>
      </c>
      <c r="L1644" s="20">
        <f t="shared" si="75"/>
        <v>41929</v>
      </c>
      <c r="M1644" t="str">
        <f t="shared" si="76"/>
        <v>10-2014</v>
      </c>
      <c r="N1644">
        <f t="shared" si="77"/>
        <v>17.98</v>
      </c>
    </row>
    <row r="1645" spans="3:14" x14ac:dyDescent="0.25">
      <c r="C1645" t="str">
        <f>IF(COUNTBLANK(E1645:K1645) = 7,"",IF(AND(NOT(ISBLANK(E1645)),COUNTBLANK(E1645:K1645) = 6),"3 Delete",IF(ISBLANK(E1645),"2 Add",IF(SHA1Range(E1645:K1645) = "d07fec29c23eb3c6acdcf323b71eb5f0005300ee","0 Original","1 Modify"))))</f>
        <v>0 Original</v>
      </c>
      <c r="D1645" s="5" t="s">
        <v>3772</v>
      </c>
      <c r="E1645" s="3">
        <v>624</v>
      </c>
      <c r="F1645" t="s">
        <v>1462</v>
      </c>
      <c r="G1645" t="s">
        <v>416</v>
      </c>
      <c r="H1645" s="9">
        <v>7.99</v>
      </c>
      <c r="I1645" s="3">
        <v>2</v>
      </c>
      <c r="J1645" s="5" t="s">
        <v>68</v>
      </c>
      <c r="K1645" s="15">
        <v>41929.742164351854</v>
      </c>
      <c r="L1645" s="20">
        <f t="shared" si="75"/>
        <v>41929</v>
      </c>
      <c r="M1645" t="str">
        <f t="shared" si="76"/>
        <v>10-2014</v>
      </c>
      <c r="N1645">
        <f t="shared" si="77"/>
        <v>15.98</v>
      </c>
    </row>
    <row r="1646" spans="3:14" x14ac:dyDescent="0.25">
      <c r="C1646" t="str">
        <f>IF(COUNTBLANK(E1646:K1646) = 7,"",IF(AND(NOT(ISBLANK(E1646)),COUNTBLANK(E1646:K1646) = 6),"3 Delete",IF(ISBLANK(E1646),"2 Add",IF(SHA1Range(E1646:K1646) = "a5b53dbd5d304adb2474e35bcfd62805c5c05ecc","0 Original","1 Modify"))))</f>
        <v>0 Original</v>
      </c>
      <c r="D1646" s="5" t="s">
        <v>3773</v>
      </c>
      <c r="E1646" s="3">
        <v>625</v>
      </c>
      <c r="F1646" t="s">
        <v>1462</v>
      </c>
      <c r="G1646" t="s">
        <v>823</v>
      </c>
      <c r="H1646" s="9">
        <v>5.99</v>
      </c>
      <c r="I1646" s="3">
        <v>1</v>
      </c>
      <c r="J1646" s="5" t="s">
        <v>68</v>
      </c>
      <c r="K1646" s="15">
        <v>41929.742164351854</v>
      </c>
      <c r="L1646" s="20">
        <f t="shared" si="75"/>
        <v>41929</v>
      </c>
      <c r="M1646" t="str">
        <f t="shared" si="76"/>
        <v>10-2014</v>
      </c>
      <c r="N1646">
        <f t="shared" si="77"/>
        <v>5.99</v>
      </c>
    </row>
    <row r="1647" spans="3:14" x14ac:dyDescent="0.25">
      <c r="C1647" t="str">
        <f>IF(COUNTBLANK(E1647:K1647) = 7,"",IF(AND(NOT(ISBLANK(E1647)),COUNTBLANK(E1647:K1647) = 6),"3 Delete",IF(ISBLANK(E1647),"2 Add",IF(SHA1Range(E1647:K1647) = "d0becab7810d0329c2666bff7a309df272f418b1","0 Original","1 Modify"))))</f>
        <v>0 Original</v>
      </c>
      <c r="D1647" s="5" t="s">
        <v>3774</v>
      </c>
      <c r="E1647" s="3">
        <v>3274</v>
      </c>
      <c r="F1647" t="s">
        <v>1463</v>
      </c>
      <c r="G1647" t="s">
        <v>373</v>
      </c>
      <c r="H1647" s="9">
        <v>7.99</v>
      </c>
      <c r="I1647" s="3">
        <v>2</v>
      </c>
      <c r="J1647" s="5" t="s">
        <v>68</v>
      </c>
      <c r="K1647" s="15">
        <v>41930.130949074075</v>
      </c>
      <c r="L1647" s="20">
        <f t="shared" si="75"/>
        <v>41930</v>
      </c>
      <c r="M1647" t="str">
        <f t="shared" si="76"/>
        <v>10-2014</v>
      </c>
      <c r="N1647">
        <f t="shared" si="77"/>
        <v>15.98</v>
      </c>
    </row>
    <row r="1648" spans="3:14" x14ac:dyDescent="0.25">
      <c r="C1648" t="str">
        <f>IF(COUNTBLANK(E1648:K1648) = 7,"",IF(AND(NOT(ISBLANK(E1648)),COUNTBLANK(E1648:K1648) = 6),"3 Delete",IF(ISBLANK(E1648),"2 Add",IF(SHA1Range(E1648:K1648) = "f97d853ade7d64772c9a1fedb4e0edf3e0e9e78c","0 Original","1 Modify"))))</f>
        <v>0 Original</v>
      </c>
      <c r="D1648" s="5" t="s">
        <v>3775</v>
      </c>
      <c r="E1648" s="3">
        <v>3275</v>
      </c>
      <c r="F1648" t="s">
        <v>1463</v>
      </c>
      <c r="G1648" t="s">
        <v>514</v>
      </c>
      <c r="H1648" s="9">
        <v>6.99</v>
      </c>
      <c r="I1648" s="3">
        <v>1</v>
      </c>
      <c r="J1648" s="5" t="s">
        <v>68</v>
      </c>
      <c r="K1648" s="15">
        <v>41930.130949074075</v>
      </c>
      <c r="L1648" s="20">
        <f t="shared" si="75"/>
        <v>41930</v>
      </c>
      <c r="M1648" t="str">
        <f t="shared" si="76"/>
        <v>10-2014</v>
      </c>
      <c r="N1648">
        <f t="shared" si="77"/>
        <v>6.99</v>
      </c>
    </row>
    <row r="1649" spans="3:14" x14ac:dyDescent="0.25">
      <c r="C1649" t="str">
        <f>IF(COUNTBLANK(E1649:K1649) = 7,"",IF(AND(NOT(ISBLANK(E1649)),COUNTBLANK(E1649:K1649) = 6),"3 Delete",IF(ISBLANK(E1649),"2 Add",IF(SHA1Range(E1649:K1649) = "4b989f010077c9f9b8ffc45f8f74a3b4d0cb8a56","0 Original","1 Modify"))))</f>
        <v>0 Original</v>
      </c>
      <c r="D1649" s="5" t="s">
        <v>3776</v>
      </c>
      <c r="E1649" s="3">
        <v>1152</v>
      </c>
      <c r="F1649" t="s">
        <v>1464</v>
      </c>
      <c r="G1649" t="s">
        <v>697</v>
      </c>
      <c r="H1649" s="9">
        <v>5.99</v>
      </c>
      <c r="I1649" s="3">
        <v>2</v>
      </c>
      <c r="J1649" s="5" t="s">
        <v>68</v>
      </c>
      <c r="K1649" s="15">
        <v>41931.17</v>
      </c>
      <c r="L1649" s="20">
        <f t="shared" si="75"/>
        <v>41931</v>
      </c>
      <c r="M1649" t="str">
        <f t="shared" si="76"/>
        <v>10-2014</v>
      </c>
      <c r="N1649">
        <f t="shared" si="77"/>
        <v>11.98</v>
      </c>
    </row>
    <row r="1650" spans="3:14" x14ac:dyDescent="0.25">
      <c r="C1650" t="str">
        <f>IF(COUNTBLANK(E1650:K1650) = 7,"",IF(AND(NOT(ISBLANK(E1650)),COUNTBLANK(E1650:K1650) = 6),"3 Delete",IF(ISBLANK(E1650),"2 Add",IF(SHA1Range(E1650:K1650) = "cce5e1dae21e43a44eb6fb40cc7b9d4c5fd1c322","0 Original","1 Modify"))))</f>
        <v>0 Original</v>
      </c>
      <c r="D1650" s="5" t="s">
        <v>3777</v>
      </c>
      <c r="E1650" s="3">
        <v>1153</v>
      </c>
      <c r="F1650" t="s">
        <v>1464</v>
      </c>
      <c r="G1650" t="s">
        <v>771</v>
      </c>
      <c r="H1650" s="9">
        <v>9.99</v>
      </c>
      <c r="I1650" s="3">
        <v>1</v>
      </c>
      <c r="J1650" s="5" t="s">
        <v>68</v>
      </c>
      <c r="K1650" s="15">
        <v>41931.17</v>
      </c>
      <c r="L1650" s="20">
        <f t="shared" si="75"/>
        <v>41931</v>
      </c>
      <c r="M1650" t="str">
        <f t="shared" si="76"/>
        <v>10-2014</v>
      </c>
      <c r="N1650">
        <f t="shared" si="77"/>
        <v>9.99</v>
      </c>
    </row>
    <row r="1651" spans="3:14" x14ac:dyDescent="0.25">
      <c r="C1651" t="str">
        <f>IF(COUNTBLANK(E1651:K1651) = 7,"",IF(AND(NOT(ISBLANK(E1651)),COUNTBLANK(E1651:K1651) = 6),"3 Delete",IF(ISBLANK(E1651),"2 Add",IF(SHA1Range(E1651:K1651) = "9f00e24fe2f4ed48c5f34456847d249423bcc3fe","0 Original","1 Modify"))))</f>
        <v>0 Original</v>
      </c>
      <c r="D1651" s="5" t="s">
        <v>3778</v>
      </c>
      <c r="E1651" s="3">
        <v>2380</v>
      </c>
      <c r="F1651" t="s">
        <v>1465</v>
      </c>
      <c r="G1651" t="s">
        <v>552</v>
      </c>
      <c r="H1651" s="9">
        <v>6.99</v>
      </c>
      <c r="I1651" s="3">
        <v>1</v>
      </c>
      <c r="J1651" s="5" t="s">
        <v>68</v>
      </c>
      <c r="K1651" s="15">
        <v>41931.615358796298</v>
      </c>
      <c r="L1651" s="20">
        <f t="shared" si="75"/>
        <v>41931</v>
      </c>
      <c r="M1651" t="str">
        <f t="shared" si="76"/>
        <v>10-2014</v>
      </c>
      <c r="N1651">
        <f t="shared" si="77"/>
        <v>6.99</v>
      </c>
    </row>
    <row r="1652" spans="3:14" x14ac:dyDescent="0.25">
      <c r="C1652" t="str">
        <f>IF(COUNTBLANK(E1652:K1652) = 7,"",IF(AND(NOT(ISBLANK(E1652)),COUNTBLANK(E1652:K1652) = 6),"3 Delete",IF(ISBLANK(E1652),"2 Add",IF(SHA1Range(E1652:K1652) = "05910ca4645236bab0a2700faab9b6a57b5b8da7","0 Original","1 Modify"))))</f>
        <v>0 Original</v>
      </c>
      <c r="D1652" s="5" t="s">
        <v>3779</v>
      </c>
      <c r="E1652" s="3">
        <v>2381</v>
      </c>
      <c r="F1652" t="s">
        <v>1465</v>
      </c>
      <c r="G1652" t="s">
        <v>579</v>
      </c>
      <c r="H1652" s="9">
        <v>9.99</v>
      </c>
      <c r="I1652" s="3">
        <v>1</v>
      </c>
      <c r="J1652" s="5" t="s">
        <v>68</v>
      </c>
      <c r="K1652" s="15">
        <v>41931.615358796298</v>
      </c>
      <c r="L1652" s="20">
        <f t="shared" si="75"/>
        <v>41931</v>
      </c>
      <c r="M1652" t="str">
        <f t="shared" si="76"/>
        <v>10-2014</v>
      </c>
      <c r="N1652">
        <f t="shared" si="77"/>
        <v>9.99</v>
      </c>
    </row>
    <row r="1653" spans="3:14" x14ac:dyDescent="0.25">
      <c r="C1653" t="str">
        <f>IF(COUNTBLANK(E1653:K1653) = 7,"",IF(AND(NOT(ISBLANK(E1653)),COUNTBLANK(E1653:K1653) = 6),"3 Delete",IF(ISBLANK(E1653),"2 Add",IF(SHA1Range(E1653:K1653) = "4857891b39a302f58cc0f2cf78dba3d1dee8b74a","0 Original","1 Modify"))))</f>
        <v>0 Original</v>
      </c>
      <c r="D1653" s="5" t="s">
        <v>4304</v>
      </c>
      <c r="E1653" s="3">
        <v>981</v>
      </c>
      <c r="F1653" t="s">
        <v>1466</v>
      </c>
      <c r="G1653" t="s">
        <v>854</v>
      </c>
      <c r="H1653" s="9">
        <v>8.99</v>
      </c>
      <c r="I1653" s="3">
        <v>1</v>
      </c>
      <c r="J1653" s="5" t="s">
        <v>68</v>
      </c>
      <c r="K1653" s="15">
        <v>41931.989965277775</v>
      </c>
      <c r="L1653" s="20">
        <f t="shared" si="75"/>
        <v>41931</v>
      </c>
      <c r="M1653" t="str">
        <f t="shared" si="76"/>
        <v>10-2014</v>
      </c>
      <c r="N1653">
        <f t="shared" si="77"/>
        <v>8.99</v>
      </c>
    </row>
    <row r="1654" spans="3:14" x14ac:dyDescent="0.25">
      <c r="C1654" t="str">
        <f>IF(COUNTBLANK(E1654:K1654) = 7,"",IF(AND(NOT(ISBLANK(E1654)),COUNTBLANK(E1654:K1654) = 6),"3 Delete",IF(ISBLANK(E1654),"2 Add",IF(SHA1Range(E1654:K1654) = "9a225a854a4501575f06a101285cd2e09b1a9322","0 Original","1 Modify"))))</f>
        <v>0 Original</v>
      </c>
      <c r="D1654" s="5" t="s">
        <v>3780</v>
      </c>
      <c r="E1654" s="3">
        <v>982</v>
      </c>
      <c r="F1654" t="s">
        <v>1466</v>
      </c>
      <c r="G1654" t="s">
        <v>704</v>
      </c>
      <c r="H1654" s="9">
        <v>4.99</v>
      </c>
      <c r="I1654" s="3">
        <v>1</v>
      </c>
      <c r="J1654" s="5" t="s">
        <v>68</v>
      </c>
      <c r="K1654" s="15">
        <v>41931.989965277775</v>
      </c>
      <c r="L1654" s="20">
        <f t="shared" si="75"/>
        <v>41931</v>
      </c>
      <c r="M1654" t="str">
        <f t="shared" si="76"/>
        <v>10-2014</v>
      </c>
      <c r="N1654">
        <f t="shared" si="77"/>
        <v>4.99</v>
      </c>
    </row>
    <row r="1655" spans="3:14" x14ac:dyDescent="0.25">
      <c r="C1655" t="str">
        <f>IF(COUNTBLANK(E1655:K1655) = 7,"",IF(AND(NOT(ISBLANK(E1655)),COUNTBLANK(E1655:K1655) = 6),"3 Delete",IF(ISBLANK(E1655),"2 Add",IF(SHA1Range(E1655:K1655) = "61a7cf080ada92c2e73f11d028faa9823eb36294","0 Original","1 Modify"))))</f>
        <v>0 Original</v>
      </c>
      <c r="D1655" s="5" t="s">
        <v>3781</v>
      </c>
      <c r="E1655" s="3">
        <v>983</v>
      </c>
      <c r="F1655" t="s">
        <v>1466</v>
      </c>
      <c r="G1655" t="s">
        <v>373</v>
      </c>
      <c r="H1655" s="9">
        <v>7.99</v>
      </c>
      <c r="I1655" s="3">
        <v>1</v>
      </c>
      <c r="J1655" s="5" t="s">
        <v>68</v>
      </c>
      <c r="K1655" s="15">
        <v>41931.989965277775</v>
      </c>
      <c r="L1655" s="20">
        <f t="shared" si="75"/>
        <v>41931</v>
      </c>
      <c r="M1655" t="str">
        <f t="shared" si="76"/>
        <v>10-2014</v>
      </c>
      <c r="N1655">
        <f t="shared" si="77"/>
        <v>7.99</v>
      </c>
    </row>
    <row r="1656" spans="3:14" x14ac:dyDescent="0.25">
      <c r="C1656" t="str">
        <f>IF(COUNTBLANK(E1656:K1656) = 7,"",IF(AND(NOT(ISBLANK(E1656)),COUNTBLANK(E1656:K1656) = 6),"3 Delete",IF(ISBLANK(E1656),"2 Add",IF(SHA1Range(E1656:K1656) = "d47ea8b7a19d69a6d1f5bddfa37c16f1f41c62fe","0 Original","1 Modify"))))</f>
        <v>0 Original</v>
      </c>
      <c r="D1656" s="5" t="s">
        <v>3782</v>
      </c>
      <c r="E1656" s="3">
        <v>984</v>
      </c>
      <c r="F1656" t="s">
        <v>1466</v>
      </c>
      <c r="G1656" t="s">
        <v>704</v>
      </c>
      <c r="H1656" s="9">
        <v>4.99</v>
      </c>
      <c r="I1656" s="3">
        <v>1</v>
      </c>
      <c r="J1656" s="5" t="s">
        <v>68</v>
      </c>
      <c r="K1656" s="15">
        <v>41931.989965277775</v>
      </c>
      <c r="L1656" s="20">
        <f t="shared" si="75"/>
        <v>41931</v>
      </c>
      <c r="M1656" t="str">
        <f t="shared" si="76"/>
        <v>10-2014</v>
      </c>
      <c r="N1656">
        <f t="shared" si="77"/>
        <v>4.99</v>
      </c>
    </row>
    <row r="1657" spans="3:14" x14ac:dyDescent="0.25">
      <c r="C1657" t="str">
        <f>IF(COUNTBLANK(E1657:K1657) = 7,"",IF(AND(NOT(ISBLANK(E1657)),COUNTBLANK(E1657:K1657) = 6),"3 Delete",IF(ISBLANK(E1657),"2 Add",IF(SHA1Range(E1657:K1657) = "83e3b63e147cb9d156e504c177b8bdb2a2843c75","0 Original","1 Modify"))))</f>
        <v>0 Original</v>
      </c>
      <c r="D1657" s="5" t="s">
        <v>3783</v>
      </c>
      <c r="E1657" s="3">
        <v>985</v>
      </c>
      <c r="F1657" t="s">
        <v>1466</v>
      </c>
      <c r="G1657" t="s">
        <v>792</v>
      </c>
      <c r="H1657" s="9">
        <v>9.99</v>
      </c>
      <c r="I1657" s="3">
        <v>1</v>
      </c>
      <c r="J1657" s="5" t="s">
        <v>68</v>
      </c>
      <c r="K1657" s="15">
        <v>41931.989965277775</v>
      </c>
      <c r="L1657" s="20">
        <f t="shared" si="75"/>
        <v>41931</v>
      </c>
      <c r="M1657" t="str">
        <f t="shared" si="76"/>
        <v>10-2014</v>
      </c>
      <c r="N1657">
        <f t="shared" si="77"/>
        <v>9.99</v>
      </c>
    </row>
    <row r="1658" spans="3:14" x14ac:dyDescent="0.25">
      <c r="C1658" t="str">
        <f>IF(COUNTBLANK(E1658:K1658) = 7,"",IF(AND(NOT(ISBLANK(E1658)),COUNTBLANK(E1658:K1658) = 6),"3 Delete",IF(ISBLANK(E1658),"2 Add",IF(SHA1Range(E1658:K1658) = "d43c71ffcddab77087552b5677fd9d5354219c24","0 Original","1 Modify"))))</f>
        <v>0 Original</v>
      </c>
      <c r="D1658" s="5" t="s">
        <v>3784</v>
      </c>
      <c r="E1658" s="3">
        <v>1290</v>
      </c>
      <c r="F1658" t="s">
        <v>1467</v>
      </c>
      <c r="G1658" t="s">
        <v>389</v>
      </c>
      <c r="H1658" s="9">
        <v>4.99</v>
      </c>
      <c r="I1658" s="3">
        <v>1</v>
      </c>
      <c r="J1658" s="5" t="s">
        <v>68</v>
      </c>
      <c r="K1658" s="15">
        <v>41932.042361111111</v>
      </c>
      <c r="L1658" s="20">
        <f t="shared" si="75"/>
        <v>41932</v>
      </c>
      <c r="M1658" t="str">
        <f t="shared" si="76"/>
        <v>10-2014</v>
      </c>
      <c r="N1658">
        <f t="shared" si="77"/>
        <v>4.99</v>
      </c>
    </row>
    <row r="1659" spans="3:14" x14ac:dyDescent="0.25">
      <c r="C1659" t="str">
        <f>IF(COUNTBLANK(E1659:K1659) = 7,"",IF(AND(NOT(ISBLANK(E1659)),COUNTBLANK(E1659:K1659) = 6),"3 Delete",IF(ISBLANK(E1659),"2 Add",IF(SHA1Range(E1659:K1659) = "ced4bf3e3ebbe92d6176de90b542c7d9977cdc3d","0 Original","1 Modify"))))</f>
        <v>0 Original</v>
      </c>
      <c r="D1659" s="5" t="s">
        <v>3785</v>
      </c>
      <c r="E1659" s="3">
        <v>1291</v>
      </c>
      <c r="F1659" t="s">
        <v>1467</v>
      </c>
      <c r="G1659" t="s">
        <v>687</v>
      </c>
      <c r="H1659" s="9">
        <v>9.99</v>
      </c>
      <c r="I1659" s="3">
        <v>1</v>
      </c>
      <c r="J1659" s="5" t="s">
        <v>68</v>
      </c>
      <c r="K1659" s="15">
        <v>41932.042361111111</v>
      </c>
      <c r="L1659" s="20">
        <f t="shared" si="75"/>
        <v>41932</v>
      </c>
      <c r="M1659" t="str">
        <f t="shared" si="76"/>
        <v>10-2014</v>
      </c>
      <c r="N1659">
        <f t="shared" si="77"/>
        <v>9.99</v>
      </c>
    </row>
    <row r="1660" spans="3:14" x14ac:dyDescent="0.25">
      <c r="C1660" t="str">
        <f>IF(COUNTBLANK(E1660:K1660) = 7,"",IF(AND(NOT(ISBLANK(E1660)),COUNTBLANK(E1660:K1660) = 6),"3 Delete",IF(ISBLANK(E1660),"2 Add",IF(SHA1Range(E1660:K1660) = "1bf2203c29fe965f4b379e5798a641979dc489db","0 Original","1 Modify"))))</f>
        <v>0 Original</v>
      </c>
      <c r="D1660" s="5" t="s">
        <v>3786</v>
      </c>
      <c r="E1660" s="3">
        <v>1292</v>
      </c>
      <c r="F1660" t="s">
        <v>1467</v>
      </c>
      <c r="G1660" t="s">
        <v>704</v>
      </c>
      <c r="H1660" s="9">
        <v>4.99</v>
      </c>
      <c r="I1660" s="3">
        <v>1</v>
      </c>
      <c r="J1660" s="5" t="s">
        <v>68</v>
      </c>
      <c r="K1660" s="15">
        <v>41932.042361111111</v>
      </c>
      <c r="L1660" s="20">
        <f t="shared" si="75"/>
        <v>41932</v>
      </c>
      <c r="M1660" t="str">
        <f t="shared" si="76"/>
        <v>10-2014</v>
      </c>
      <c r="N1660">
        <f t="shared" si="77"/>
        <v>4.99</v>
      </c>
    </row>
    <row r="1661" spans="3:14" x14ac:dyDescent="0.25">
      <c r="C1661" t="str">
        <f>IF(COUNTBLANK(E1661:K1661) = 7,"",IF(AND(NOT(ISBLANK(E1661)),COUNTBLANK(E1661:K1661) = 6),"3 Delete",IF(ISBLANK(E1661),"2 Add",IF(SHA1Range(E1661:K1661) = "fb7f8013faa09e75ea7fd51a3556fe1afd65012f","0 Original","1 Modify"))))</f>
        <v>0 Original</v>
      </c>
      <c r="D1661" s="5" t="s">
        <v>3787</v>
      </c>
      <c r="E1661" s="3">
        <v>1293</v>
      </c>
      <c r="F1661" t="s">
        <v>1467</v>
      </c>
      <c r="G1661" t="s">
        <v>697</v>
      </c>
      <c r="H1661" s="9">
        <v>5.99</v>
      </c>
      <c r="I1661" s="3">
        <v>1</v>
      </c>
      <c r="J1661" s="5" t="s">
        <v>68</v>
      </c>
      <c r="K1661" s="15">
        <v>41932.042361111111</v>
      </c>
      <c r="L1661" s="20">
        <f t="shared" si="75"/>
        <v>41932</v>
      </c>
      <c r="M1661" t="str">
        <f t="shared" si="76"/>
        <v>10-2014</v>
      </c>
      <c r="N1661">
        <f t="shared" si="77"/>
        <v>5.99</v>
      </c>
    </row>
    <row r="1662" spans="3:14" x14ac:dyDescent="0.25">
      <c r="C1662" t="str">
        <f>IF(COUNTBLANK(E1662:K1662) = 7,"",IF(AND(NOT(ISBLANK(E1662)),COUNTBLANK(E1662:K1662) = 6),"3 Delete",IF(ISBLANK(E1662),"2 Add",IF(SHA1Range(E1662:K1662) = "a758d6f82765ad6b94c50c31c4814c318ff78d43","0 Original","1 Modify"))))</f>
        <v>0 Original</v>
      </c>
      <c r="D1662" s="5" t="s">
        <v>3788</v>
      </c>
      <c r="E1662" s="3">
        <v>1294</v>
      </c>
      <c r="F1662" t="s">
        <v>1467</v>
      </c>
      <c r="G1662" t="s">
        <v>732</v>
      </c>
      <c r="H1662" s="9">
        <v>9.99</v>
      </c>
      <c r="I1662" s="3">
        <v>2</v>
      </c>
      <c r="J1662" s="5" t="s">
        <v>68</v>
      </c>
      <c r="K1662" s="15">
        <v>41932.042361111111</v>
      </c>
      <c r="L1662" s="20">
        <f t="shared" si="75"/>
        <v>41932</v>
      </c>
      <c r="M1662" t="str">
        <f t="shared" si="76"/>
        <v>10-2014</v>
      </c>
      <c r="N1662">
        <f t="shared" si="77"/>
        <v>19.98</v>
      </c>
    </row>
    <row r="1663" spans="3:14" x14ac:dyDescent="0.25">
      <c r="C1663" t="str">
        <f>IF(COUNTBLANK(E1663:K1663) = 7,"",IF(AND(NOT(ISBLANK(E1663)),COUNTBLANK(E1663:K1663) = 6),"3 Delete",IF(ISBLANK(E1663),"2 Add",IF(SHA1Range(E1663:K1663) = "124a1cc3a1069556e97b9dba5bf8abc4ba30ad96","0 Original","1 Modify"))))</f>
        <v>0 Original</v>
      </c>
      <c r="D1663" s="5" t="s">
        <v>3789</v>
      </c>
      <c r="E1663" s="3">
        <v>3572</v>
      </c>
      <c r="F1663" t="s">
        <v>1468</v>
      </c>
      <c r="G1663" t="s">
        <v>373</v>
      </c>
      <c r="H1663" s="9">
        <v>7.99</v>
      </c>
      <c r="I1663" s="3">
        <v>1</v>
      </c>
      <c r="J1663" s="5" t="s">
        <v>68</v>
      </c>
      <c r="K1663" s="15">
        <v>41932.099282407406</v>
      </c>
      <c r="L1663" s="20">
        <f t="shared" si="75"/>
        <v>41932</v>
      </c>
      <c r="M1663" t="str">
        <f t="shared" si="76"/>
        <v>10-2014</v>
      </c>
      <c r="N1663">
        <f t="shared" si="77"/>
        <v>7.99</v>
      </c>
    </row>
    <row r="1664" spans="3:14" x14ac:dyDescent="0.25">
      <c r="C1664" t="str">
        <f>IF(COUNTBLANK(E1664:K1664) = 7,"",IF(AND(NOT(ISBLANK(E1664)),COUNTBLANK(E1664:K1664) = 6),"3 Delete",IF(ISBLANK(E1664),"2 Add",IF(SHA1Range(E1664:K1664) = "9274bd132fbc78d4d222a4293ddd245d93e7b524","0 Original","1 Modify"))))</f>
        <v>0 Original</v>
      </c>
      <c r="D1664" s="5" t="s">
        <v>3790</v>
      </c>
      <c r="E1664" s="3">
        <v>3573</v>
      </c>
      <c r="F1664" t="s">
        <v>1468</v>
      </c>
      <c r="G1664" t="s">
        <v>948</v>
      </c>
      <c r="H1664" s="9">
        <v>4.99</v>
      </c>
      <c r="I1664" s="3">
        <v>1</v>
      </c>
      <c r="J1664" s="5" t="s">
        <v>68</v>
      </c>
      <c r="K1664" s="15">
        <v>41932.099282407406</v>
      </c>
      <c r="L1664" s="20">
        <f t="shared" si="75"/>
        <v>41932</v>
      </c>
      <c r="M1664" t="str">
        <f t="shared" si="76"/>
        <v>10-2014</v>
      </c>
      <c r="N1664">
        <f t="shared" si="77"/>
        <v>4.99</v>
      </c>
    </row>
    <row r="1665" spans="3:14" x14ac:dyDescent="0.25">
      <c r="C1665" t="str">
        <f>IF(COUNTBLANK(E1665:K1665) = 7,"",IF(AND(NOT(ISBLANK(E1665)),COUNTBLANK(E1665:K1665) = 6),"3 Delete",IF(ISBLANK(E1665),"2 Add",IF(SHA1Range(E1665:K1665) = "fa5e075648d0791c5dbd301617dfbd7b9bc13981","0 Original","1 Modify"))))</f>
        <v>0 Original</v>
      </c>
      <c r="D1665" s="5" t="s">
        <v>3791</v>
      </c>
      <c r="E1665" s="3">
        <v>3574</v>
      </c>
      <c r="F1665" t="s">
        <v>1468</v>
      </c>
      <c r="G1665" t="s">
        <v>642</v>
      </c>
      <c r="H1665" s="9">
        <v>9.99</v>
      </c>
      <c r="I1665" s="3">
        <v>1</v>
      </c>
      <c r="J1665" s="5" t="s">
        <v>68</v>
      </c>
      <c r="K1665" s="15">
        <v>41932.099282407406</v>
      </c>
      <c r="L1665" s="20">
        <f t="shared" si="75"/>
        <v>41932</v>
      </c>
      <c r="M1665" t="str">
        <f t="shared" si="76"/>
        <v>10-2014</v>
      </c>
      <c r="N1665">
        <f t="shared" si="77"/>
        <v>9.99</v>
      </c>
    </row>
    <row r="1666" spans="3:14" x14ac:dyDescent="0.25">
      <c r="C1666" t="str">
        <f>IF(COUNTBLANK(E1666:K1666) = 7,"",IF(AND(NOT(ISBLANK(E1666)),COUNTBLANK(E1666:K1666) = 6),"3 Delete",IF(ISBLANK(E1666),"2 Add",IF(SHA1Range(E1666:K1666) = "4c4ca2f99b9c52e9b96a804feee6fb3e84b4e69f","0 Original","1 Modify"))))</f>
        <v>0 Original</v>
      </c>
      <c r="D1666" s="5" t="s">
        <v>3792</v>
      </c>
      <c r="E1666" s="3">
        <v>3575</v>
      </c>
      <c r="F1666" t="s">
        <v>1468</v>
      </c>
      <c r="G1666" t="s">
        <v>707</v>
      </c>
      <c r="H1666" s="9">
        <v>7.99</v>
      </c>
      <c r="I1666" s="3">
        <v>2</v>
      </c>
      <c r="J1666" s="5" t="s">
        <v>68</v>
      </c>
      <c r="K1666" s="15">
        <v>41932.099282407406</v>
      </c>
      <c r="L1666" s="20">
        <f t="shared" si="75"/>
        <v>41932</v>
      </c>
      <c r="M1666" t="str">
        <f t="shared" si="76"/>
        <v>10-2014</v>
      </c>
      <c r="N1666">
        <f t="shared" si="77"/>
        <v>15.98</v>
      </c>
    </row>
    <row r="1667" spans="3:14" x14ac:dyDescent="0.25">
      <c r="C1667" t="str">
        <f>IF(COUNTBLANK(E1667:K1667) = 7,"",IF(AND(NOT(ISBLANK(E1667)),COUNTBLANK(E1667:K1667) = 6),"3 Delete",IF(ISBLANK(E1667),"2 Add",IF(SHA1Range(E1667:K1667) = "d5ff304a34fc40e4963766919b82fc34a614b116","0 Original","1 Modify"))))</f>
        <v>0 Original</v>
      </c>
      <c r="D1667" s="5" t="s">
        <v>3793</v>
      </c>
      <c r="E1667" s="3">
        <v>3621</v>
      </c>
      <c r="F1667" t="s">
        <v>1469</v>
      </c>
      <c r="G1667" t="s">
        <v>749</v>
      </c>
      <c r="H1667" s="9">
        <v>5.99</v>
      </c>
      <c r="I1667" s="3">
        <v>1</v>
      </c>
      <c r="J1667" s="5" t="s">
        <v>68</v>
      </c>
      <c r="K1667" s="15">
        <v>41932.467685185184</v>
      </c>
      <c r="L1667" s="20">
        <f t="shared" ref="L1667:L1730" si="78">DATEVALUE(LEFT(F1667,10))</f>
        <v>41932</v>
      </c>
      <c r="M1667" t="str">
        <f t="shared" ref="M1667:M1730" si="79">TEXT(L1667,"mm-yyyy")</f>
        <v>10-2014</v>
      </c>
      <c r="N1667">
        <f t="shared" ref="N1667:N1730" si="80">H1667*I1667</f>
        <v>5.99</v>
      </c>
    </row>
    <row r="1668" spans="3:14" x14ac:dyDescent="0.25">
      <c r="C1668" t="str">
        <f>IF(COUNTBLANK(E1668:K1668) = 7,"",IF(AND(NOT(ISBLANK(E1668)),COUNTBLANK(E1668:K1668) = 6),"3 Delete",IF(ISBLANK(E1668),"2 Add",IF(SHA1Range(E1668:K1668) = "7c61498367030e5ee344035d534b7dbf19167b53","0 Original","1 Modify"))))</f>
        <v>0 Original</v>
      </c>
      <c r="D1668" s="5" t="s">
        <v>3794</v>
      </c>
      <c r="E1668" s="3">
        <v>3622</v>
      </c>
      <c r="F1668" t="s">
        <v>1469</v>
      </c>
      <c r="G1668" t="s">
        <v>749</v>
      </c>
      <c r="H1668" s="9">
        <v>5.99</v>
      </c>
      <c r="I1668" s="3">
        <v>1</v>
      </c>
      <c r="J1668" s="5" t="s">
        <v>68</v>
      </c>
      <c r="K1668" s="15">
        <v>41932.467685185184</v>
      </c>
      <c r="L1668" s="20">
        <f t="shared" si="78"/>
        <v>41932</v>
      </c>
      <c r="M1668" t="str">
        <f t="shared" si="79"/>
        <v>10-2014</v>
      </c>
      <c r="N1668">
        <f t="shared" si="80"/>
        <v>5.99</v>
      </c>
    </row>
    <row r="1669" spans="3:14" x14ac:dyDescent="0.25">
      <c r="C1669" t="str">
        <f>IF(COUNTBLANK(E1669:K1669) = 7,"",IF(AND(NOT(ISBLANK(E1669)),COUNTBLANK(E1669:K1669) = 6),"3 Delete",IF(ISBLANK(E1669),"2 Add",IF(SHA1Range(E1669:K1669) = "f6846cee3af591b50328b344c381381e2dd7de78","0 Original","1 Modify"))))</f>
        <v>0 Original</v>
      </c>
      <c r="D1669" s="5" t="s">
        <v>4305</v>
      </c>
      <c r="E1669" s="3">
        <v>602</v>
      </c>
      <c r="F1669" t="s">
        <v>1470</v>
      </c>
      <c r="G1669" t="s">
        <v>482</v>
      </c>
      <c r="H1669" s="9">
        <v>8.99</v>
      </c>
      <c r="I1669" s="3">
        <v>2</v>
      </c>
      <c r="J1669" s="5" t="s">
        <v>68</v>
      </c>
      <c r="K1669" s="15">
        <v>41932.948240740741</v>
      </c>
      <c r="L1669" s="20">
        <f t="shared" si="78"/>
        <v>41932</v>
      </c>
      <c r="M1669" t="str">
        <f t="shared" si="79"/>
        <v>10-2014</v>
      </c>
      <c r="N1669">
        <f t="shared" si="80"/>
        <v>17.98</v>
      </c>
    </row>
    <row r="1670" spans="3:14" x14ac:dyDescent="0.25">
      <c r="C1670" t="str">
        <f>IF(COUNTBLANK(E1670:K1670) = 7,"",IF(AND(NOT(ISBLANK(E1670)),COUNTBLANK(E1670:K1670) = 6),"3 Delete",IF(ISBLANK(E1670),"2 Add",IF(SHA1Range(E1670:K1670) = "15f93a6d5ce35957bbc4dcae7590645a895febb7","0 Original","1 Modify"))))</f>
        <v>0 Original</v>
      </c>
      <c r="D1670" s="5" t="s">
        <v>4306</v>
      </c>
      <c r="E1670" s="3">
        <v>603</v>
      </c>
      <c r="F1670" t="s">
        <v>1470</v>
      </c>
      <c r="G1670" t="s">
        <v>684</v>
      </c>
      <c r="H1670" s="9">
        <v>8.99</v>
      </c>
      <c r="I1670" s="3">
        <v>1</v>
      </c>
      <c r="J1670" s="5" t="s">
        <v>68</v>
      </c>
      <c r="K1670" s="15">
        <v>41932.948240740741</v>
      </c>
      <c r="L1670" s="20">
        <f t="shared" si="78"/>
        <v>41932</v>
      </c>
      <c r="M1670" t="str">
        <f t="shared" si="79"/>
        <v>10-2014</v>
      </c>
      <c r="N1670">
        <f t="shared" si="80"/>
        <v>8.99</v>
      </c>
    </row>
    <row r="1671" spans="3:14" x14ac:dyDescent="0.25">
      <c r="C1671" t="str">
        <f>IF(COUNTBLANK(E1671:K1671) = 7,"",IF(AND(NOT(ISBLANK(E1671)),COUNTBLANK(E1671:K1671) = 6),"3 Delete",IF(ISBLANK(E1671),"2 Add",IF(SHA1Range(E1671:K1671) = "95550508a518dacdc3017f9b4b62837b0bd296b7","0 Original","1 Modify"))))</f>
        <v>0 Original</v>
      </c>
      <c r="D1671" s="5" t="s">
        <v>4307</v>
      </c>
      <c r="E1671" s="3">
        <v>604</v>
      </c>
      <c r="F1671" t="s">
        <v>1470</v>
      </c>
      <c r="G1671" t="s">
        <v>832</v>
      </c>
      <c r="H1671" s="9">
        <v>5.99</v>
      </c>
      <c r="I1671" s="3">
        <v>2</v>
      </c>
      <c r="J1671" s="5" t="s">
        <v>68</v>
      </c>
      <c r="K1671" s="15">
        <v>41932.948240740741</v>
      </c>
      <c r="L1671" s="20">
        <f t="shared" si="78"/>
        <v>41932</v>
      </c>
      <c r="M1671" t="str">
        <f t="shared" si="79"/>
        <v>10-2014</v>
      </c>
      <c r="N1671">
        <f t="shared" si="80"/>
        <v>11.98</v>
      </c>
    </row>
    <row r="1672" spans="3:14" x14ac:dyDescent="0.25">
      <c r="C1672" t="str">
        <f>IF(COUNTBLANK(E1672:K1672) = 7,"",IF(AND(NOT(ISBLANK(E1672)),COUNTBLANK(E1672:K1672) = 6),"3 Delete",IF(ISBLANK(E1672),"2 Add",IF(SHA1Range(E1672:K1672) = "8e5d2f54d11dda434164fb6a197b9d52ec6c17a9","0 Original","1 Modify"))))</f>
        <v>0 Original</v>
      </c>
      <c r="D1672" s="5" t="s">
        <v>4308</v>
      </c>
      <c r="E1672" s="3">
        <v>605</v>
      </c>
      <c r="F1672" t="s">
        <v>1470</v>
      </c>
      <c r="G1672" t="s">
        <v>912</v>
      </c>
      <c r="H1672" s="9">
        <v>6.99</v>
      </c>
      <c r="I1672" s="3">
        <v>1</v>
      </c>
      <c r="J1672" s="5" t="s">
        <v>68</v>
      </c>
      <c r="K1672" s="15">
        <v>41932.948240740741</v>
      </c>
      <c r="L1672" s="20">
        <f t="shared" si="78"/>
        <v>41932</v>
      </c>
      <c r="M1672" t="str">
        <f t="shared" si="79"/>
        <v>10-2014</v>
      </c>
      <c r="N1672">
        <f t="shared" si="80"/>
        <v>6.99</v>
      </c>
    </row>
    <row r="1673" spans="3:14" x14ac:dyDescent="0.25">
      <c r="C1673" t="str">
        <f>IF(COUNTBLANK(E1673:K1673) = 7,"",IF(AND(NOT(ISBLANK(E1673)),COUNTBLANK(E1673:K1673) = 6),"3 Delete",IF(ISBLANK(E1673),"2 Add",IF(SHA1Range(E1673:K1673) = "9a09f3ab0ba213519bf534c91b76aabc880c1853","0 Original","1 Modify"))))</f>
        <v>0 Original</v>
      </c>
      <c r="D1673" s="5" t="s">
        <v>4309</v>
      </c>
      <c r="E1673" s="3">
        <v>606</v>
      </c>
      <c r="F1673" t="s">
        <v>1470</v>
      </c>
      <c r="G1673" t="s">
        <v>826</v>
      </c>
      <c r="H1673" s="9">
        <v>5.99</v>
      </c>
      <c r="I1673" s="3">
        <v>1</v>
      </c>
      <c r="J1673" s="5" t="s">
        <v>68</v>
      </c>
      <c r="K1673" s="15">
        <v>41932.948240740741</v>
      </c>
      <c r="L1673" s="20">
        <f t="shared" si="78"/>
        <v>41932</v>
      </c>
      <c r="M1673" t="str">
        <f t="shared" si="79"/>
        <v>10-2014</v>
      </c>
      <c r="N1673">
        <f t="shared" si="80"/>
        <v>5.99</v>
      </c>
    </row>
    <row r="1674" spans="3:14" x14ac:dyDescent="0.25">
      <c r="C1674" t="str">
        <f>IF(COUNTBLANK(E1674:K1674) = 7,"",IF(AND(NOT(ISBLANK(E1674)),COUNTBLANK(E1674:K1674) = 6),"3 Delete",IF(ISBLANK(E1674),"2 Add",IF(SHA1Range(E1674:K1674) = "ed5284d71d406beb2b16083b4df7a14ac7f2485b","0 Original","1 Modify"))))</f>
        <v>0 Original</v>
      </c>
      <c r="D1674" s="5" t="s">
        <v>4310</v>
      </c>
      <c r="E1674" s="3">
        <v>607</v>
      </c>
      <c r="F1674" t="s">
        <v>1470</v>
      </c>
      <c r="G1674" t="s">
        <v>582</v>
      </c>
      <c r="H1674" s="9">
        <v>9.99</v>
      </c>
      <c r="I1674" s="3">
        <v>2</v>
      </c>
      <c r="J1674" s="5" t="s">
        <v>68</v>
      </c>
      <c r="K1674" s="15">
        <v>41932.948240740741</v>
      </c>
      <c r="L1674" s="20">
        <f t="shared" si="78"/>
        <v>41932</v>
      </c>
      <c r="M1674" t="str">
        <f t="shared" si="79"/>
        <v>10-2014</v>
      </c>
      <c r="N1674">
        <f t="shared" si="80"/>
        <v>19.98</v>
      </c>
    </row>
    <row r="1675" spans="3:14" x14ac:dyDescent="0.25">
      <c r="C1675" t="str">
        <f>IF(COUNTBLANK(E1675:K1675) = 7,"",IF(AND(NOT(ISBLANK(E1675)),COUNTBLANK(E1675:K1675) = 6),"3 Delete",IF(ISBLANK(E1675),"2 Add",IF(SHA1Range(E1675:K1675) = "fbb6f58d8308715e5b76ed9cecad83ab7fb92799","0 Original","1 Modify"))))</f>
        <v>0 Original</v>
      </c>
      <c r="D1675" s="5" t="s">
        <v>4311</v>
      </c>
      <c r="E1675" s="3">
        <v>608</v>
      </c>
      <c r="F1675" t="s">
        <v>1470</v>
      </c>
      <c r="G1675" t="s">
        <v>457</v>
      </c>
      <c r="H1675" s="9">
        <v>4.99</v>
      </c>
      <c r="I1675" s="3">
        <v>1</v>
      </c>
      <c r="J1675" s="5" t="s">
        <v>68</v>
      </c>
      <c r="K1675" s="15">
        <v>41932.948240740741</v>
      </c>
      <c r="L1675" s="20">
        <f t="shared" si="78"/>
        <v>41932</v>
      </c>
      <c r="M1675" t="str">
        <f t="shared" si="79"/>
        <v>10-2014</v>
      </c>
      <c r="N1675">
        <f t="shared" si="80"/>
        <v>4.99</v>
      </c>
    </row>
    <row r="1676" spans="3:14" x14ac:dyDescent="0.25">
      <c r="C1676" t="str">
        <f>IF(COUNTBLANK(E1676:K1676) = 7,"",IF(AND(NOT(ISBLANK(E1676)),COUNTBLANK(E1676:K1676) = 6),"3 Delete",IF(ISBLANK(E1676),"2 Add",IF(SHA1Range(E1676:K1676) = "8be70591469fdce5d0e8aba961713d8871228556","0 Original","1 Modify"))))</f>
        <v>0 Original</v>
      </c>
      <c r="D1676" s="5" t="s">
        <v>4312</v>
      </c>
      <c r="E1676" s="3">
        <v>609</v>
      </c>
      <c r="F1676" t="s">
        <v>1470</v>
      </c>
      <c r="G1676" t="s">
        <v>891</v>
      </c>
      <c r="H1676" s="9">
        <v>8.99</v>
      </c>
      <c r="I1676" s="3">
        <v>1</v>
      </c>
      <c r="J1676" s="5" t="s">
        <v>68</v>
      </c>
      <c r="K1676" s="15">
        <v>41932.948240740741</v>
      </c>
      <c r="L1676" s="20">
        <f t="shared" si="78"/>
        <v>41932</v>
      </c>
      <c r="M1676" t="str">
        <f t="shared" si="79"/>
        <v>10-2014</v>
      </c>
      <c r="N1676">
        <f t="shared" si="80"/>
        <v>8.99</v>
      </c>
    </row>
    <row r="1677" spans="3:14" x14ac:dyDescent="0.25">
      <c r="C1677" t="str">
        <f>IF(COUNTBLANK(E1677:K1677) = 7,"",IF(AND(NOT(ISBLANK(E1677)),COUNTBLANK(E1677:K1677) = 6),"3 Delete",IF(ISBLANK(E1677),"2 Add",IF(SHA1Range(E1677:K1677) = "9fc32002da34052a14a57ef2d1087481469a979d","0 Original","1 Modify"))))</f>
        <v>0 Original</v>
      </c>
      <c r="D1677" s="5" t="s">
        <v>3795</v>
      </c>
      <c r="E1677" s="3">
        <v>2521</v>
      </c>
      <c r="F1677" t="s">
        <v>1471</v>
      </c>
      <c r="G1677" t="s">
        <v>687</v>
      </c>
      <c r="H1677" s="9">
        <v>9.99</v>
      </c>
      <c r="I1677" s="3">
        <v>2</v>
      </c>
      <c r="J1677" s="5" t="s">
        <v>68</v>
      </c>
      <c r="K1677" s="15">
        <v>41933.39402777778</v>
      </c>
      <c r="L1677" s="20">
        <f t="shared" si="78"/>
        <v>41933</v>
      </c>
      <c r="M1677" t="str">
        <f t="shared" si="79"/>
        <v>10-2014</v>
      </c>
      <c r="N1677">
        <f t="shared" si="80"/>
        <v>19.98</v>
      </c>
    </row>
    <row r="1678" spans="3:14" x14ac:dyDescent="0.25">
      <c r="C1678" t="str">
        <f>IF(COUNTBLANK(E1678:K1678) = 7,"",IF(AND(NOT(ISBLANK(E1678)),COUNTBLANK(E1678:K1678) = 6),"3 Delete",IF(ISBLANK(E1678),"2 Add",IF(SHA1Range(E1678:K1678) = "149545ebb450f2bd0b0a7af0cc2b357ea73b04c7","0 Original","1 Modify"))))</f>
        <v>0 Original</v>
      </c>
      <c r="D1678" s="5" t="s">
        <v>3796</v>
      </c>
      <c r="E1678" s="3">
        <v>1329</v>
      </c>
      <c r="F1678" t="s">
        <v>1472</v>
      </c>
      <c r="G1678" t="s">
        <v>563</v>
      </c>
      <c r="H1678" s="9">
        <v>6.99</v>
      </c>
      <c r="I1678" s="3">
        <v>1</v>
      </c>
      <c r="J1678" s="5" t="s">
        <v>68</v>
      </c>
      <c r="K1678" s="15">
        <v>41934.802418981482</v>
      </c>
      <c r="L1678" s="20">
        <f t="shared" si="78"/>
        <v>41934</v>
      </c>
      <c r="M1678" t="str">
        <f t="shared" si="79"/>
        <v>10-2014</v>
      </c>
      <c r="N1678">
        <f t="shared" si="80"/>
        <v>6.99</v>
      </c>
    </row>
    <row r="1679" spans="3:14" x14ac:dyDescent="0.25">
      <c r="C1679" t="str">
        <f>IF(COUNTBLANK(E1679:K1679) = 7,"",IF(AND(NOT(ISBLANK(E1679)),COUNTBLANK(E1679:K1679) = 6),"3 Delete",IF(ISBLANK(E1679),"2 Add",IF(SHA1Range(E1679:K1679) = "e993d511e62d003e966591388bfcb832f76ef202","0 Original","1 Modify"))))</f>
        <v>0 Original</v>
      </c>
      <c r="D1679" s="5" t="s">
        <v>3797</v>
      </c>
      <c r="E1679" s="3">
        <v>1330</v>
      </c>
      <c r="F1679" t="s">
        <v>1472</v>
      </c>
      <c r="G1679" t="s">
        <v>942</v>
      </c>
      <c r="H1679" s="9">
        <v>6.99</v>
      </c>
      <c r="I1679" s="3">
        <v>1</v>
      </c>
      <c r="J1679" s="5" t="s">
        <v>68</v>
      </c>
      <c r="K1679" s="15">
        <v>41934.802418981482</v>
      </c>
      <c r="L1679" s="20">
        <f t="shared" si="78"/>
        <v>41934</v>
      </c>
      <c r="M1679" t="str">
        <f t="shared" si="79"/>
        <v>10-2014</v>
      </c>
      <c r="N1679">
        <f t="shared" si="80"/>
        <v>6.99</v>
      </c>
    </row>
    <row r="1680" spans="3:14" x14ac:dyDescent="0.25">
      <c r="C1680" t="str">
        <f>IF(COUNTBLANK(E1680:K1680) = 7,"",IF(AND(NOT(ISBLANK(E1680)),COUNTBLANK(E1680:K1680) = 6),"3 Delete",IF(ISBLANK(E1680),"2 Add",IF(SHA1Range(E1680:K1680) = "35cfba8ca877c371ef05e48136df32742064f2f8","0 Original","1 Modify"))))</f>
        <v>0 Original</v>
      </c>
      <c r="D1680" s="5" t="s">
        <v>3798</v>
      </c>
      <c r="E1680" s="3">
        <v>1331</v>
      </c>
      <c r="F1680" t="s">
        <v>1472</v>
      </c>
      <c r="G1680" t="s">
        <v>955</v>
      </c>
      <c r="H1680" s="9">
        <v>8.99</v>
      </c>
      <c r="I1680" s="3">
        <v>1</v>
      </c>
      <c r="J1680" s="5" t="s">
        <v>68</v>
      </c>
      <c r="K1680" s="15">
        <v>41934.802418981482</v>
      </c>
      <c r="L1680" s="20">
        <f t="shared" si="78"/>
        <v>41934</v>
      </c>
      <c r="M1680" t="str">
        <f t="shared" si="79"/>
        <v>10-2014</v>
      </c>
      <c r="N1680">
        <f t="shared" si="80"/>
        <v>8.99</v>
      </c>
    </row>
    <row r="1681" spans="3:14" x14ac:dyDescent="0.25">
      <c r="C1681" t="str">
        <f>IF(COUNTBLANK(E1681:K1681) = 7,"",IF(AND(NOT(ISBLANK(E1681)),COUNTBLANK(E1681:K1681) = 6),"3 Delete",IF(ISBLANK(E1681),"2 Add",IF(SHA1Range(E1681:K1681) = "d522da42c721d454f293a8a65b3ef80a2ed54000","0 Original","1 Modify"))))</f>
        <v>0 Original</v>
      </c>
      <c r="D1681" s="5" t="s">
        <v>3799</v>
      </c>
      <c r="E1681" s="3">
        <v>561</v>
      </c>
      <c r="F1681" t="s">
        <v>1473</v>
      </c>
      <c r="G1681" t="s">
        <v>545</v>
      </c>
      <c r="H1681" s="9">
        <v>6.99</v>
      </c>
      <c r="I1681" s="3">
        <v>1</v>
      </c>
      <c r="J1681" s="5" t="s">
        <v>68</v>
      </c>
      <c r="K1681" s="15">
        <v>41934.943564814814</v>
      </c>
      <c r="L1681" s="20">
        <f t="shared" si="78"/>
        <v>41934</v>
      </c>
      <c r="M1681" t="str">
        <f t="shared" si="79"/>
        <v>10-2014</v>
      </c>
      <c r="N1681">
        <f t="shared" si="80"/>
        <v>6.99</v>
      </c>
    </row>
    <row r="1682" spans="3:14" x14ac:dyDescent="0.25">
      <c r="C1682" t="str">
        <f>IF(COUNTBLANK(E1682:K1682) = 7,"",IF(AND(NOT(ISBLANK(E1682)),COUNTBLANK(E1682:K1682) = 6),"3 Delete",IF(ISBLANK(E1682),"2 Add",IF(SHA1Range(E1682:K1682) = "5261ea800089f03f981787d517485d8c3c8ee24c","0 Original","1 Modify"))))</f>
        <v>0 Original</v>
      </c>
      <c r="D1682" s="5" t="s">
        <v>3800</v>
      </c>
      <c r="E1682" s="3">
        <v>562</v>
      </c>
      <c r="F1682" t="s">
        <v>1473</v>
      </c>
      <c r="G1682" t="s">
        <v>926</v>
      </c>
      <c r="H1682" s="9">
        <v>9.99</v>
      </c>
      <c r="I1682" s="3">
        <v>2</v>
      </c>
      <c r="J1682" s="5" t="s">
        <v>68</v>
      </c>
      <c r="K1682" s="15">
        <v>41934.943564814814</v>
      </c>
      <c r="L1682" s="20">
        <f t="shared" si="78"/>
        <v>41934</v>
      </c>
      <c r="M1682" t="str">
        <f t="shared" si="79"/>
        <v>10-2014</v>
      </c>
      <c r="N1682">
        <f t="shared" si="80"/>
        <v>19.98</v>
      </c>
    </row>
    <row r="1683" spans="3:14" x14ac:dyDescent="0.25">
      <c r="C1683" t="str">
        <f>IF(COUNTBLANK(E1683:K1683) = 7,"",IF(AND(NOT(ISBLANK(E1683)),COUNTBLANK(E1683:K1683) = 6),"3 Delete",IF(ISBLANK(E1683),"2 Add",IF(SHA1Range(E1683:K1683) = "5eb3afe1fa597ecaeb367f0d6b88e9bda35b3681","0 Original","1 Modify"))))</f>
        <v>0 Original</v>
      </c>
      <c r="D1683" s="5" t="s">
        <v>3801</v>
      </c>
      <c r="E1683" s="3">
        <v>563</v>
      </c>
      <c r="F1683" t="s">
        <v>1473</v>
      </c>
      <c r="G1683" t="s">
        <v>875</v>
      </c>
      <c r="H1683" s="9">
        <v>8.99</v>
      </c>
      <c r="I1683" s="3">
        <v>2</v>
      </c>
      <c r="J1683" s="5" t="s">
        <v>68</v>
      </c>
      <c r="K1683" s="15">
        <v>41934.943564814814</v>
      </c>
      <c r="L1683" s="20">
        <f t="shared" si="78"/>
        <v>41934</v>
      </c>
      <c r="M1683" t="str">
        <f t="shared" si="79"/>
        <v>10-2014</v>
      </c>
      <c r="N1683">
        <f t="shared" si="80"/>
        <v>17.98</v>
      </c>
    </row>
    <row r="1684" spans="3:14" x14ac:dyDescent="0.25">
      <c r="C1684" t="str">
        <f>IF(COUNTBLANK(E1684:K1684) = 7,"",IF(AND(NOT(ISBLANK(E1684)),COUNTBLANK(E1684:K1684) = 6),"3 Delete",IF(ISBLANK(E1684),"2 Add",IF(SHA1Range(E1684:K1684) = "c02cf00d1e11667ba373247d43760d57dd67c620","0 Original","1 Modify"))))</f>
        <v>0 Original</v>
      </c>
      <c r="D1684" s="5" t="s">
        <v>4313</v>
      </c>
      <c r="E1684" s="3">
        <v>564</v>
      </c>
      <c r="F1684" t="s">
        <v>1473</v>
      </c>
      <c r="G1684" t="s">
        <v>423</v>
      </c>
      <c r="H1684" s="9">
        <v>4.99</v>
      </c>
      <c r="I1684" s="3">
        <v>1</v>
      </c>
      <c r="J1684" s="5" t="s">
        <v>68</v>
      </c>
      <c r="K1684" s="15">
        <v>41934.943564814814</v>
      </c>
      <c r="L1684" s="20">
        <f t="shared" si="78"/>
        <v>41934</v>
      </c>
      <c r="M1684" t="str">
        <f t="shared" si="79"/>
        <v>10-2014</v>
      </c>
      <c r="N1684">
        <f t="shared" si="80"/>
        <v>4.99</v>
      </c>
    </row>
    <row r="1685" spans="3:14" x14ac:dyDescent="0.25">
      <c r="C1685" t="str">
        <f>IF(COUNTBLANK(E1685:K1685) = 7,"",IF(AND(NOT(ISBLANK(E1685)),COUNTBLANK(E1685:K1685) = 6),"3 Delete",IF(ISBLANK(E1685),"2 Add",IF(SHA1Range(E1685:K1685) = "9a11bb42846e0e7a7d5172ad8382ea1d396e5151","0 Original","1 Modify"))))</f>
        <v>0 Original</v>
      </c>
      <c r="D1685" s="5" t="s">
        <v>4314</v>
      </c>
      <c r="E1685" s="3">
        <v>565</v>
      </c>
      <c r="F1685" t="s">
        <v>1473</v>
      </c>
      <c r="G1685" t="s">
        <v>915</v>
      </c>
      <c r="H1685" s="9">
        <v>9.99</v>
      </c>
      <c r="I1685" s="3">
        <v>2</v>
      </c>
      <c r="J1685" s="5" t="s">
        <v>68</v>
      </c>
      <c r="K1685" s="15">
        <v>41934.943564814814</v>
      </c>
      <c r="L1685" s="20">
        <f t="shared" si="78"/>
        <v>41934</v>
      </c>
      <c r="M1685" t="str">
        <f t="shared" si="79"/>
        <v>10-2014</v>
      </c>
      <c r="N1685">
        <f t="shared" si="80"/>
        <v>19.98</v>
      </c>
    </row>
    <row r="1686" spans="3:14" x14ac:dyDescent="0.25">
      <c r="C1686" t="str">
        <f>IF(COUNTBLANK(E1686:K1686) = 7,"",IF(AND(NOT(ISBLANK(E1686)),COUNTBLANK(E1686:K1686) = 6),"3 Delete",IF(ISBLANK(E1686),"2 Add",IF(SHA1Range(E1686:K1686) = "234d2a95557209119848b5a29bdfb923cb9a77e2","0 Original","1 Modify"))))</f>
        <v>0 Original</v>
      </c>
      <c r="D1686" s="5" t="s">
        <v>4315</v>
      </c>
      <c r="E1686" s="3">
        <v>566</v>
      </c>
      <c r="F1686" t="s">
        <v>1473</v>
      </c>
      <c r="G1686" t="s">
        <v>677</v>
      </c>
      <c r="H1686" s="9">
        <v>8.99</v>
      </c>
      <c r="I1686" s="3">
        <v>1</v>
      </c>
      <c r="J1686" s="5" t="s">
        <v>68</v>
      </c>
      <c r="K1686" s="15">
        <v>41934.943564814814</v>
      </c>
      <c r="L1686" s="20">
        <f t="shared" si="78"/>
        <v>41934</v>
      </c>
      <c r="M1686" t="str">
        <f t="shared" si="79"/>
        <v>10-2014</v>
      </c>
      <c r="N1686">
        <f t="shared" si="80"/>
        <v>8.99</v>
      </c>
    </row>
    <row r="1687" spans="3:14" x14ac:dyDescent="0.25">
      <c r="C1687" t="str">
        <f>IF(COUNTBLANK(E1687:K1687) = 7,"",IF(AND(NOT(ISBLANK(E1687)),COUNTBLANK(E1687:K1687) = 6),"3 Delete",IF(ISBLANK(E1687),"2 Add",IF(SHA1Range(E1687:K1687) = "80601d851b59a29383b1706f7a264e97eb27ec9f","0 Original","1 Modify"))))</f>
        <v>0 Original</v>
      </c>
      <c r="D1687" s="5" t="s">
        <v>3802</v>
      </c>
      <c r="E1687" s="3">
        <v>2224</v>
      </c>
      <c r="F1687" t="s">
        <v>1474</v>
      </c>
      <c r="G1687" t="s">
        <v>482</v>
      </c>
      <c r="H1687" s="9">
        <v>8.99</v>
      </c>
      <c r="I1687" s="3">
        <v>2</v>
      </c>
      <c r="J1687" s="5" t="s">
        <v>68</v>
      </c>
      <c r="K1687" s="15">
        <v>41935.264004629629</v>
      </c>
      <c r="L1687" s="20">
        <f t="shared" si="78"/>
        <v>41935</v>
      </c>
      <c r="M1687" t="str">
        <f t="shared" si="79"/>
        <v>10-2014</v>
      </c>
      <c r="N1687">
        <f t="shared" si="80"/>
        <v>17.98</v>
      </c>
    </row>
    <row r="1688" spans="3:14" x14ac:dyDescent="0.25">
      <c r="C1688" t="str">
        <f>IF(COUNTBLANK(E1688:K1688) = 7,"",IF(AND(NOT(ISBLANK(E1688)),COUNTBLANK(E1688:K1688) = 6),"3 Delete",IF(ISBLANK(E1688),"2 Add",IF(SHA1Range(E1688:K1688) = "c363f4d693b3b37dbf882c05d3d271d2d93bab3b","0 Original","1 Modify"))))</f>
        <v>0 Original</v>
      </c>
      <c r="D1688" s="5" t="s">
        <v>3803</v>
      </c>
      <c r="E1688" s="3">
        <v>2225</v>
      </c>
      <c r="F1688" t="s">
        <v>1474</v>
      </c>
      <c r="G1688" t="s">
        <v>942</v>
      </c>
      <c r="H1688" s="9">
        <v>6.99</v>
      </c>
      <c r="I1688" s="3">
        <v>2</v>
      </c>
      <c r="J1688" s="5" t="s">
        <v>68</v>
      </c>
      <c r="K1688" s="15">
        <v>41935.264004629629</v>
      </c>
      <c r="L1688" s="20">
        <f t="shared" si="78"/>
        <v>41935</v>
      </c>
      <c r="M1688" t="str">
        <f t="shared" si="79"/>
        <v>10-2014</v>
      </c>
      <c r="N1688">
        <f t="shared" si="80"/>
        <v>13.98</v>
      </c>
    </row>
    <row r="1689" spans="3:14" x14ac:dyDescent="0.25">
      <c r="C1689" t="str">
        <f>IF(COUNTBLANK(E1689:K1689) = 7,"",IF(AND(NOT(ISBLANK(E1689)),COUNTBLANK(E1689:K1689) = 6),"3 Delete",IF(ISBLANK(E1689),"2 Add",IF(SHA1Range(E1689:K1689) = "8323daaac5385af86516c0cc3bac3e3c12f36682","0 Original","1 Modify"))))</f>
        <v>0 Original</v>
      </c>
      <c r="D1689" s="5" t="s">
        <v>3804</v>
      </c>
      <c r="E1689" s="3">
        <v>2226</v>
      </c>
      <c r="F1689" t="s">
        <v>1474</v>
      </c>
      <c r="G1689" t="s">
        <v>507</v>
      </c>
      <c r="H1689" s="9">
        <v>6.99</v>
      </c>
      <c r="I1689" s="3">
        <v>1</v>
      </c>
      <c r="J1689" s="5" t="s">
        <v>68</v>
      </c>
      <c r="K1689" s="15">
        <v>41935.264004629629</v>
      </c>
      <c r="L1689" s="20">
        <f t="shared" si="78"/>
        <v>41935</v>
      </c>
      <c r="M1689" t="str">
        <f t="shared" si="79"/>
        <v>10-2014</v>
      </c>
      <c r="N1689">
        <f t="shared" si="80"/>
        <v>6.99</v>
      </c>
    </row>
    <row r="1690" spans="3:14" x14ac:dyDescent="0.25">
      <c r="C1690" t="str">
        <f>IF(COUNTBLANK(E1690:K1690) = 7,"",IF(AND(NOT(ISBLANK(E1690)),COUNTBLANK(E1690:K1690) = 6),"3 Delete",IF(ISBLANK(E1690),"2 Add",IF(SHA1Range(E1690:K1690) = "0d3ac80544d500dd971ee89e7ac066d36a14158a","0 Original","1 Modify"))))</f>
        <v>0 Original</v>
      </c>
      <c r="D1690" s="5" t="s">
        <v>3805</v>
      </c>
      <c r="E1690" s="3">
        <v>1447</v>
      </c>
      <c r="F1690" t="s">
        <v>1475</v>
      </c>
      <c r="G1690" t="s">
        <v>792</v>
      </c>
      <c r="H1690" s="9">
        <v>9.99</v>
      </c>
      <c r="I1690" s="3">
        <v>1</v>
      </c>
      <c r="J1690" s="5" t="s">
        <v>68</v>
      </c>
      <c r="K1690" s="15">
        <v>41936.078379629631</v>
      </c>
      <c r="L1690" s="20">
        <f t="shared" si="78"/>
        <v>41936</v>
      </c>
      <c r="M1690" t="str">
        <f t="shared" si="79"/>
        <v>10-2014</v>
      </c>
      <c r="N1690">
        <f t="shared" si="80"/>
        <v>9.99</v>
      </c>
    </row>
    <row r="1691" spans="3:14" x14ac:dyDescent="0.25">
      <c r="C1691" t="str">
        <f>IF(COUNTBLANK(E1691:K1691) = 7,"",IF(AND(NOT(ISBLANK(E1691)),COUNTBLANK(E1691:K1691) = 6),"3 Delete",IF(ISBLANK(E1691),"2 Add",IF(SHA1Range(E1691:K1691) = "fbb53224e9f11b62dbe0be30686849633285cac8","0 Original","1 Modify"))))</f>
        <v>0 Original</v>
      </c>
      <c r="D1691" s="5" t="s">
        <v>3806</v>
      </c>
      <c r="E1691" s="3">
        <v>1448</v>
      </c>
      <c r="F1691" t="s">
        <v>1475</v>
      </c>
      <c r="G1691" t="s">
        <v>739</v>
      </c>
      <c r="H1691" s="9">
        <v>8.99</v>
      </c>
      <c r="I1691" s="3">
        <v>1</v>
      </c>
      <c r="J1691" s="5" t="s">
        <v>68</v>
      </c>
      <c r="K1691" s="15">
        <v>41936.078379629631</v>
      </c>
      <c r="L1691" s="20">
        <f t="shared" si="78"/>
        <v>41936</v>
      </c>
      <c r="M1691" t="str">
        <f t="shared" si="79"/>
        <v>10-2014</v>
      </c>
      <c r="N1691">
        <f t="shared" si="80"/>
        <v>8.99</v>
      </c>
    </row>
    <row r="1692" spans="3:14" x14ac:dyDescent="0.25">
      <c r="C1692" t="str">
        <f>IF(COUNTBLANK(E1692:K1692) = 7,"",IF(AND(NOT(ISBLANK(E1692)),COUNTBLANK(E1692:K1692) = 6),"3 Delete",IF(ISBLANK(E1692),"2 Add",IF(SHA1Range(E1692:K1692) = "8cb08e8ff687a55d2ed880207a44df8469fe2058","0 Original","1 Modify"))))</f>
        <v>0 Original</v>
      </c>
      <c r="D1692" s="5" t="s">
        <v>3807</v>
      </c>
      <c r="E1692" s="3">
        <v>1449</v>
      </c>
      <c r="F1692" t="s">
        <v>1475</v>
      </c>
      <c r="G1692" t="s">
        <v>761</v>
      </c>
      <c r="H1692" s="9">
        <v>8.99</v>
      </c>
      <c r="I1692" s="3">
        <v>1</v>
      </c>
      <c r="J1692" s="5" t="s">
        <v>68</v>
      </c>
      <c r="K1692" s="15">
        <v>41936.078379629631</v>
      </c>
      <c r="L1692" s="20">
        <f t="shared" si="78"/>
        <v>41936</v>
      </c>
      <c r="M1692" t="str">
        <f t="shared" si="79"/>
        <v>10-2014</v>
      </c>
      <c r="N1692">
        <f t="shared" si="80"/>
        <v>8.99</v>
      </c>
    </row>
    <row r="1693" spans="3:14" x14ac:dyDescent="0.25">
      <c r="C1693" t="str">
        <f>IF(COUNTBLANK(E1693:K1693) = 7,"",IF(AND(NOT(ISBLANK(E1693)),COUNTBLANK(E1693:K1693) = 6),"3 Delete",IF(ISBLANK(E1693),"2 Add",IF(SHA1Range(E1693:K1693) = "897280e762e87fb04b274cf2c49c6757aa15a2e3","0 Original","1 Modify"))))</f>
        <v>0 Original</v>
      </c>
      <c r="D1693" s="5" t="s">
        <v>3808</v>
      </c>
      <c r="E1693" s="3">
        <v>3835</v>
      </c>
      <c r="F1693" t="s">
        <v>1476</v>
      </c>
      <c r="G1693" t="s">
        <v>687</v>
      </c>
      <c r="H1693" s="9">
        <v>9.99</v>
      </c>
      <c r="I1693" s="3">
        <v>1</v>
      </c>
      <c r="J1693" s="5" t="s">
        <v>68</v>
      </c>
      <c r="K1693" s="15">
        <v>41936.377974537034</v>
      </c>
      <c r="L1693" s="20">
        <f t="shared" si="78"/>
        <v>41936</v>
      </c>
      <c r="M1693" t="str">
        <f t="shared" si="79"/>
        <v>10-2014</v>
      </c>
      <c r="N1693">
        <f t="shared" si="80"/>
        <v>9.99</v>
      </c>
    </row>
    <row r="1694" spans="3:14" x14ac:dyDescent="0.25">
      <c r="C1694" t="str">
        <f>IF(COUNTBLANK(E1694:K1694) = 7,"",IF(AND(NOT(ISBLANK(E1694)),COUNTBLANK(E1694:K1694) = 6),"3 Delete",IF(ISBLANK(E1694),"2 Add",IF(SHA1Range(E1694:K1694) = "8e37c2f9145937ee1c3aa2b9489d2bf8522aff5f","0 Original","1 Modify"))))</f>
        <v>0 Original</v>
      </c>
      <c r="D1694" s="5" t="s">
        <v>3809</v>
      </c>
      <c r="E1694" s="3">
        <v>3836</v>
      </c>
      <c r="F1694" t="s">
        <v>1476</v>
      </c>
      <c r="G1694" t="s">
        <v>707</v>
      </c>
      <c r="H1694" s="9">
        <v>7.99</v>
      </c>
      <c r="I1694" s="3">
        <v>1</v>
      </c>
      <c r="J1694" s="5" t="s">
        <v>68</v>
      </c>
      <c r="K1694" s="15">
        <v>41936.377974537034</v>
      </c>
      <c r="L1694" s="20">
        <f t="shared" si="78"/>
        <v>41936</v>
      </c>
      <c r="M1694" t="str">
        <f t="shared" si="79"/>
        <v>10-2014</v>
      </c>
      <c r="N1694">
        <f t="shared" si="80"/>
        <v>7.99</v>
      </c>
    </row>
    <row r="1695" spans="3:14" x14ac:dyDescent="0.25">
      <c r="C1695" t="str">
        <f>IF(COUNTBLANK(E1695:K1695) = 7,"",IF(AND(NOT(ISBLANK(E1695)),COUNTBLANK(E1695:K1695) = 6),"3 Delete",IF(ISBLANK(E1695),"2 Add",IF(SHA1Range(E1695:K1695) = "bfecff37c29e6db4f13f9345b2c25d12a283706d","0 Original","1 Modify"))))</f>
        <v>0 Original</v>
      </c>
      <c r="D1695" s="5" t="s">
        <v>3810</v>
      </c>
      <c r="E1695" s="3">
        <v>3837</v>
      </c>
      <c r="F1695" t="s">
        <v>1476</v>
      </c>
      <c r="G1695" t="s">
        <v>687</v>
      </c>
      <c r="H1695" s="9">
        <v>9.99</v>
      </c>
      <c r="I1695" s="3">
        <v>2</v>
      </c>
      <c r="J1695" s="5" t="s">
        <v>68</v>
      </c>
      <c r="K1695" s="15">
        <v>41936.377974537034</v>
      </c>
      <c r="L1695" s="20">
        <f t="shared" si="78"/>
        <v>41936</v>
      </c>
      <c r="M1695" t="str">
        <f t="shared" si="79"/>
        <v>10-2014</v>
      </c>
      <c r="N1695">
        <f t="shared" si="80"/>
        <v>19.98</v>
      </c>
    </row>
    <row r="1696" spans="3:14" x14ac:dyDescent="0.25">
      <c r="C1696" t="str">
        <f>IF(COUNTBLANK(E1696:K1696) = 7,"",IF(AND(NOT(ISBLANK(E1696)),COUNTBLANK(E1696:K1696) = 6),"3 Delete",IF(ISBLANK(E1696),"2 Add",IF(SHA1Range(E1696:K1696) = "7128fbae3d1b86aafe53d074628bbcb882195a12","0 Original","1 Modify"))))</f>
        <v>0 Original</v>
      </c>
      <c r="D1696" s="5" t="s">
        <v>3811</v>
      </c>
      <c r="E1696" s="3">
        <v>3838</v>
      </c>
      <c r="F1696" t="s">
        <v>1476</v>
      </c>
      <c r="G1696" t="s">
        <v>749</v>
      </c>
      <c r="H1696" s="9">
        <v>5.99</v>
      </c>
      <c r="I1696" s="3">
        <v>2</v>
      </c>
      <c r="J1696" s="5" t="s">
        <v>68</v>
      </c>
      <c r="K1696" s="15">
        <v>41936.377974537034</v>
      </c>
      <c r="L1696" s="20">
        <f t="shared" si="78"/>
        <v>41936</v>
      </c>
      <c r="M1696" t="str">
        <f t="shared" si="79"/>
        <v>10-2014</v>
      </c>
      <c r="N1696">
        <f t="shared" si="80"/>
        <v>11.98</v>
      </c>
    </row>
    <row r="1697" spans="3:14" x14ac:dyDescent="0.25">
      <c r="C1697" t="str">
        <f>IF(COUNTBLANK(E1697:K1697) = 7,"",IF(AND(NOT(ISBLANK(E1697)),COUNTBLANK(E1697:K1697) = 6),"3 Delete",IF(ISBLANK(E1697),"2 Add",IF(SHA1Range(E1697:K1697) = "4aa27c47f57058f311cc4da4595889e5be6cd9fe","0 Original","1 Modify"))))</f>
        <v>0 Original</v>
      </c>
      <c r="D1697" s="5" t="s">
        <v>3812</v>
      </c>
      <c r="E1697" s="3">
        <v>3839</v>
      </c>
      <c r="F1697" t="s">
        <v>1476</v>
      </c>
      <c r="G1697" t="s">
        <v>687</v>
      </c>
      <c r="H1697" s="9">
        <v>9.99</v>
      </c>
      <c r="I1697" s="3">
        <v>2</v>
      </c>
      <c r="J1697" s="5" t="s">
        <v>68</v>
      </c>
      <c r="K1697" s="15">
        <v>41936.377974537034</v>
      </c>
      <c r="L1697" s="20">
        <f t="shared" si="78"/>
        <v>41936</v>
      </c>
      <c r="M1697" t="str">
        <f t="shared" si="79"/>
        <v>10-2014</v>
      </c>
      <c r="N1697">
        <f t="shared" si="80"/>
        <v>19.98</v>
      </c>
    </row>
    <row r="1698" spans="3:14" x14ac:dyDescent="0.25">
      <c r="C1698" t="str">
        <f>IF(COUNTBLANK(E1698:K1698) = 7,"",IF(AND(NOT(ISBLANK(E1698)),COUNTBLANK(E1698:K1698) = 6),"3 Delete",IF(ISBLANK(E1698),"2 Add",IF(SHA1Range(E1698:K1698) = "5e6a00c66180527b6eccf62e7314b11fba040160","0 Original","1 Modify"))))</f>
        <v>0 Original</v>
      </c>
      <c r="D1698" s="5" t="s">
        <v>3813</v>
      </c>
      <c r="E1698" s="3">
        <v>3840</v>
      </c>
      <c r="F1698" t="s">
        <v>1476</v>
      </c>
      <c r="G1698" t="s">
        <v>707</v>
      </c>
      <c r="H1698" s="9">
        <v>7.99</v>
      </c>
      <c r="I1698" s="3">
        <v>1</v>
      </c>
      <c r="J1698" s="5" t="s">
        <v>68</v>
      </c>
      <c r="K1698" s="15">
        <v>41936.377974537034</v>
      </c>
      <c r="L1698" s="20">
        <f t="shared" si="78"/>
        <v>41936</v>
      </c>
      <c r="M1698" t="str">
        <f t="shared" si="79"/>
        <v>10-2014</v>
      </c>
      <c r="N1698">
        <f t="shared" si="80"/>
        <v>7.99</v>
      </c>
    </row>
    <row r="1699" spans="3:14" x14ac:dyDescent="0.25">
      <c r="C1699" t="str">
        <f>IF(COUNTBLANK(E1699:K1699) = 7,"",IF(AND(NOT(ISBLANK(E1699)),COUNTBLANK(E1699:K1699) = 6),"3 Delete",IF(ISBLANK(E1699),"2 Add",IF(SHA1Range(E1699:K1699) = "0b556f00fba6d2869a0ac13b5ce2b9cda74457fb","0 Original","1 Modify"))))</f>
        <v>0 Original</v>
      </c>
      <c r="D1699" s="5" t="s">
        <v>3814</v>
      </c>
      <c r="E1699" s="3">
        <v>2140</v>
      </c>
      <c r="F1699" t="s">
        <v>1477</v>
      </c>
      <c r="G1699" t="s">
        <v>761</v>
      </c>
      <c r="H1699" s="9">
        <v>8.99</v>
      </c>
      <c r="I1699" s="3">
        <v>1</v>
      </c>
      <c r="J1699" s="5" t="s">
        <v>68</v>
      </c>
      <c r="K1699" s="15">
        <v>41936.729733796295</v>
      </c>
      <c r="L1699" s="20">
        <f t="shared" si="78"/>
        <v>41936</v>
      </c>
      <c r="M1699" t="str">
        <f t="shared" si="79"/>
        <v>10-2014</v>
      </c>
      <c r="N1699">
        <f t="shared" si="80"/>
        <v>8.99</v>
      </c>
    </row>
    <row r="1700" spans="3:14" x14ac:dyDescent="0.25">
      <c r="C1700" t="str">
        <f>IF(COUNTBLANK(E1700:K1700) = 7,"",IF(AND(NOT(ISBLANK(E1700)),COUNTBLANK(E1700:K1700) = 6),"3 Delete",IF(ISBLANK(E1700),"2 Add",IF(SHA1Range(E1700:K1700) = "e9dc39df5b1bd4d3e038548ec9e1d2351c842918","0 Original","1 Modify"))))</f>
        <v>0 Original</v>
      </c>
      <c r="D1700" s="5" t="s">
        <v>3815</v>
      </c>
      <c r="E1700" s="3">
        <v>2141</v>
      </c>
      <c r="F1700" t="s">
        <v>1477</v>
      </c>
      <c r="G1700" t="s">
        <v>842</v>
      </c>
      <c r="H1700" s="9">
        <v>4.99</v>
      </c>
      <c r="I1700" s="3">
        <v>2</v>
      </c>
      <c r="J1700" s="5" t="s">
        <v>68</v>
      </c>
      <c r="K1700" s="15">
        <v>41936.729733796295</v>
      </c>
      <c r="L1700" s="20">
        <f t="shared" si="78"/>
        <v>41936</v>
      </c>
      <c r="M1700" t="str">
        <f t="shared" si="79"/>
        <v>10-2014</v>
      </c>
      <c r="N1700">
        <f t="shared" si="80"/>
        <v>9.98</v>
      </c>
    </row>
    <row r="1701" spans="3:14" x14ac:dyDescent="0.25">
      <c r="C1701" t="str">
        <f>IF(COUNTBLANK(E1701:K1701) = 7,"",IF(AND(NOT(ISBLANK(E1701)),COUNTBLANK(E1701:K1701) = 6),"3 Delete",IF(ISBLANK(E1701),"2 Add",IF(SHA1Range(E1701:K1701) = "9da605e9c0fa391358022f24cc4fd3b56be027d1","0 Original","1 Modify"))))</f>
        <v>0 Original</v>
      </c>
      <c r="D1701" s="5" t="s">
        <v>3816</v>
      </c>
      <c r="E1701" s="3">
        <v>2142</v>
      </c>
      <c r="F1701" t="s">
        <v>1477</v>
      </c>
      <c r="G1701" t="s">
        <v>771</v>
      </c>
      <c r="H1701" s="9">
        <v>9.99</v>
      </c>
      <c r="I1701" s="3">
        <v>1</v>
      </c>
      <c r="J1701" s="5" t="s">
        <v>68</v>
      </c>
      <c r="K1701" s="15">
        <v>41936.729733796295</v>
      </c>
      <c r="L1701" s="20">
        <f t="shared" si="78"/>
        <v>41936</v>
      </c>
      <c r="M1701" t="str">
        <f t="shared" si="79"/>
        <v>10-2014</v>
      </c>
      <c r="N1701">
        <f t="shared" si="80"/>
        <v>9.99</v>
      </c>
    </row>
    <row r="1702" spans="3:14" x14ac:dyDescent="0.25">
      <c r="C1702" t="str">
        <f>IF(COUNTBLANK(E1702:K1702) = 7,"",IF(AND(NOT(ISBLANK(E1702)),COUNTBLANK(E1702:K1702) = 6),"3 Delete",IF(ISBLANK(E1702),"2 Add",IF(SHA1Range(E1702:K1702) = "92aa9a03d229d4f615d345227835b169ed4855e1","0 Original","1 Modify"))))</f>
        <v>0 Original</v>
      </c>
      <c r="D1702" s="5" t="s">
        <v>3817</v>
      </c>
      <c r="E1702" s="3">
        <v>2143</v>
      </c>
      <c r="F1702" t="s">
        <v>1477</v>
      </c>
      <c r="G1702" t="s">
        <v>503</v>
      </c>
      <c r="H1702" s="9">
        <v>9.99</v>
      </c>
      <c r="I1702" s="3">
        <v>1</v>
      </c>
      <c r="J1702" s="5" t="s">
        <v>68</v>
      </c>
      <c r="K1702" s="15">
        <v>41936.729733796295</v>
      </c>
      <c r="L1702" s="20">
        <f t="shared" si="78"/>
        <v>41936</v>
      </c>
      <c r="M1702" t="str">
        <f t="shared" si="79"/>
        <v>10-2014</v>
      </c>
      <c r="N1702">
        <f t="shared" si="80"/>
        <v>9.99</v>
      </c>
    </row>
    <row r="1703" spans="3:14" x14ac:dyDescent="0.25">
      <c r="C1703" t="str">
        <f>IF(COUNTBLANK(E1703:K1703) = 7,"",IF(AND(NOT(ISBLANK(E1703)),COUNTBLANK(E1703:K1703) = 6),"3 Delete",IF(ISBLANK(E1703),"2 Add",IF(SHA1Range(E1703:K1703) = "5c023e4538824dcacf493ea3a664b88b68bbff2e","0 Original","1 Modify"))))</f>
        <v>0 Original</v>
      </c>
      <c r="D1703" s="5" t="s">
        <v>3818</v>
      </c>
      <c r="E1703" s="3">
        <v>2864</v>
      </c>
      <c r="F1703" t="s">
        <v>1478</v>
      </c>
      <c r="G1703" t="s">
        <v>400</v>
      </c>
      <c r="H1703" s="9">
        <v>4.99</v>
      </c>
      <c r="I1703" s="3">
        <v>1</v>
      </c>
      <c r="J1703" s="5" t="s">
        <v>68</v>
      </c>
      <c r="K1703" s="15">
        <v>41938.399826388886</v>
      </c>
      <c r="L1703" s="20">
        <f t="shared" si="78"/>
        <v>41938</v>
      </c>
      <c r="M1703" t="str">
        <f t="shared" si="79"/>
        <v>10-2014</v>
      </c>
      <c r="N1703">
        <f t="shared" si="80"/>
        <v>4.99</v>
      </c>
    </row>
    <row r="1704" spans="3:14" x14ac:dyDescent="0.25">
      <c r="C1704" t="str">
        <f>IF(COUNTBLANK(E1704:K1704) = 7,"",IF(AND(NOT(ISBLANK(E1704)),COUNTBLANK(E1704:K1704) = 6),"3 Delete",IF(ISBLANK(E1704),"2 Add",IF(SHA1Range(E1704:K1704) = "9a4cd7d59d2cca8077c906dc8f54c0731bafb22f","0 Original","1 Modify"))))</f>
        <v>0 Original</v>
      </c>
      <c r="D1704" s="5" t="s">
        <v>3819</v>
      </c>
      <c r="E1704" s="3">
        <v>2865</v>
      </c>
      <c r="F1704" t="s">
        <v>1478</v>
      </c>
      <c r="G1704" t="s">
        <v>579</v>
      </c>
      <c r="H1704" s="9">
        <v>9.99</v>
      </c>
      <c r="I1704" s="3">
        <v>1</v>
      </c>
      <c r="J1704" s="5" t="s">
        <v>68</v>
      </c>
      <c r="K1704" s="15">
        <v>41938.399826388886</v>
      </c>
      <c r="L1704" s="20">
        <f t="shared" si="78"/>
        <v>41938</v>
      </c>
      <c r="M1704" t="str">
        <f t="shared" si="79"/>
        <v>10-2014</v>
      </c>
      <c r="N1704">
        <f t="shared" si="80"/>
        <v>9.99</v>
      </c>
    </row>
    <row r="1705" spans="3:14" x14ac:dyDescent="0.25">
      <c r="C1705" t="str">
        <f>IF(COUNTBLANK(E1705:K1705) = 7,"",IF(AND(NOT(ISBLANK(E1705)),COUNTBLANK(E1705:K1705) = 6),"3 Delete",IF(ISBLANK(E1705),"2 Add",IF(SHA1Range(E1705:K1705) = "53db5a9e735766349eb2cb0210f653770dddfc50","0 Original","1 Modify"))))</f>
        <v>0 Original</v>
      </c>
      <c r="D1705" s="5" t="s">
        <v>3820</v>
      </c>
      <c r="E1705" s="3">
        <v>2866</v>
      </c>
      <c r="F1705" t="s">
        <v>1478</v>
      </c>
      <c r="G1705" t="s">
        <v>749</v>
      </c>
      <c r="H1705" s="9">
        <v>5.99</v>
      </c>
      <c r="I1705" s="3">
        <v>1</v>
      </c>
      <c r="J1705" s="5" t="s">
        <v>68</v>
      </c>
      <c r="K1705" s="15">
        <v>41938.399826388886</v>
      </c>
      <c r="L1705" s="20">
        <f t="shared" si="78"/>
        <v>41938</v>
      </c>
      <c r="M1705" t="str">
        <f t="shared" si="79"/>
        <v>10-2014</v>
      </c>
      <c r="N1705">
        <f t="shared" si="80"/>
        <v>5.99</v>
      </c>
    </row>
    <row r="1706" spans="3:14" x14ac:dyDescent="0.25">
      <c r="C1706" t="str">
        <f>IF(COUNTBLANK(E1706:K1706) = 7,"",IF(AND(NOT(ISBLANK(E1706)),COUNTBLANK(E1706:K1706) = 6),"3 Delete",IF(ISBLANK(E1706),"2 Add",IF(SHA1Range(E1706:K1706) = "cb76cba5371f328b0416c7e8ff433e4eedbf98e9","0 Original","1 Modify"))))</f>
        <v>0 Original</v>
      </c>
      <c r="D1706" s="5" t="s">
        <v>3821</v>
      </c>
      <c r="E1706" s="3">
        <v>3012</v>
      </c>
      <c r="F1706" t="s">
        <v>1479</v>
      </c>
      <c r="G1706" t="s">
        <v>707</v>
      </c>
      <c r="H1706" s="9">
        <v>7.99</v>
      </c>
      <c r="I1706" s="3">
        <v>1</v>
      </c>
      <c r="J1706" s="5" t="s">
        <v>68</v>
      </c>
      <c r="K1706" s="15">
        <v>41938.707442129627</v>
      </c>
      <c r="L1706" s="20">
        <f t="shared" si="78"/>
        <v>41938</v>
      </c>
      <c r="M1706" t="str">
        <f t="shared" si="79"/>
        <v>10-2014</v>
      </c>
      <c r="N1706">
        <f t="shared" si="80"/>
        <v>7.99</v>
      </c>
    </row>
    <row r="1707" spans="3:14" x14ac:dyDescent="0.25">
      <c r="C1707" t="str">
        <f>IF(COUNTBLANK(E1707:K1707) = 7,"",IF(AND(NOT(ISBLANK(E1707)),COUNTBLANK(E1707:K1707) = 6),"3 Delete",IF(ISBLANK(E1707),"2 Add",IF(SHA1Range(E1707:K1707) = "7df89fd796579d95a53e2e3eb7fad000a813f62d","0 Original","1 Modify"))))</f>
        <v>0 Original</v>
      </c>
      <c r="D1707" s="5" t="s">
        <v>3822</v>
      </c>
      <c r="E1707" s="3">
        <v>3013</v>
      </c>
      <c r="F1707" t="s">
        <v>1479</v>
      </c>
      <c r="G1707" t="s">
        <v>707</v>
      </c>
      <c r="H1707" s="9">
        <v>7.99</v>
      </c>
      <c r="I1707" s="3">
        <v>1</v>
      </c>
      <c r="J1707" s="5" t="s">
        <v>68</v>
      </c>
      <c r="K1707" s="15">
        <v>41938.707442129627</v>
      </c>
      <c r="L1707" s="20">
        <f t="shared" si="78"/>
        <v>41938</v>
      </c>
      <c r="M1707" t="str">
        <f t="shared" si="79"/>
        <v>10-2014</v>
      </c>
      <c r="N1707">
        <f t="shared" si="80"/>
        <v>7.99</v>
      </c>
    </row>
    <row r="1708" spans="3:14" x14ac:dyDescent="0.25">
      <c r="C1708" t="str">
        <f>IF(COUNTBLANK(E1708:K1708) = 7,"",IF(AND(NOT(ISBLANK(E1708)),COUNTBLANK(E1708:K1708) = 6),"3 Delete",IF(ISBLANK(E1708),"2 Add",IF(SHA1Range(E1708:K1708) = "742a303baef512ed064e0cfae569720b8cd87515","0 Original","1 Modify"))))</f>
        <v>0 Original</v>
      </c>
      <c r="D1708" s="5" t="s">
        <v>3823</v>
      </c>
      <c r="E1708" s="3">
        <v>3220</v>
      </c>
      <c r="F1708" t="s">
        <v>1480</v>
      </c>
      <c r="G1708" t="s">
        <v>948</v>
      </c>
      <c r="H1708" s="9">
        <v>4.99</v>
      </c>
      <c r="I1708" s="3">
        <v>1</v>
      </c>
      <c r="J1708" s="5" t="s">
        <v>68</v>
      </c>
      <c r="K1708" s="15">
        <v>41939.58861111111</v>
      </c>
      <c r="L1708" s="20">
        <f t="shared" si="78"/>
        <v>41939</v>
      </c>
      <c r="M1708" t="str">
        <f t="shared" si="79"/>
        <v>10-2014</v>
      </c>
      <c r="N1708">
        <f t="shared" si="80"/>
        <v>4.99</v>
      </c>
    </row>
    <row r="1709" spans="3:14" x14ac:dyDescent="0.25">
      <c r="C1709" t="str">
        <f>IF(COUNTBLANK(E1709:K1709) = 7,"",IF(AND(NOT(ISBLANK(E1709)),COUNTBLANK(E1709:K1709) = 6),"3 Delete",IF(ISBLANK(E1709),"2 Add",IF(SHA1Range(E1709:K1709) = "857cdd40414cf52ef91a3a4ce4f9e269a7c102f1","0 Original","1 Modify"))))</f>
        <v>0 Original</v>
      </c>
      <c r="D1709" s="5" t="s">
        <v>3824</v>
      </c>
      <c r="E1709" s="3">
        <v>3221</v>
      </c>
      <c r="F1709" t="s">
        <v>1480</v>
      </c>
      <c r="G1709" t="s">
        <v>749</v>
      </c>
      <c r="H1709" s="9">
        <v>5.99</v>
      </c>
      <c r="I1709" s="3">
        <v>1</v>
      </c>
      <c r="J1709" s="5" t="s">
        <v>68</v>
      </c>
      <c r="K1709" s="15">
        <v>41939.58861111111</v>
      </c>
      <c r="L1709" s="20">
        <f t="shared" si="78"/>
        <v>41939</v>
      </c>
      <c r="M1709" t="str">
        <f t="shared" si="79"/>
        <v>10-2014</v>
      </c>
      <c r="N1709">
        <f t="shared" si="80"/>
        <v>5.99</v>
      </c>
    </row>
    <row r="1710" spans="3:14" x14ac:dyDescent="0.25">
      <c r="C1710" t="str">
        <f>IF(COUNTBLANK(E1710:K1710) = 7,"",IF(AND(NOT(ISBLANK(E1710)),COUNTBLANK(E1710:K1710) = 6),"3 Delete",IF(ISBLANK(E1710),"2 Add",IF(SHA1Range(E1710:K1710) = "98d25ff6f972659ed139ce9a4f48fd040dd6d9ee","0 Original","1 Modify"))))</f>
        <v>0 Original</v>
      </c>
      <c r="D1710" s="5" t="s">
        <v>3825</v>
      </c>
      <c r="E1710" s="3">
        <v>3222</v>
      </c>
      <c r="F1710" t="s">
        <v>1480</v>
      </c>
      <c r="G1710" t="s">
        <v>400</v>
      </c>
      <c r="H1710" s="9">
        <v>4.99</v>
      </c>
      <c r="I1710" s="3">
        <v>1</v>
      </c>
      <c r="J1710" s="5" t="s">
        <v>68</v>
      </c>
      <c r="K1710" s="15">
        <v>41939.58861111111</v>
      </c>
      <c r="L1710" s="20">
        <f t="shared" si="78"/>
        <v>41939</v>
      </c>
      <c r="M1710" t="str">
        <f t="shared" si="79"/>
        <v>10-2014</v>
      </c>
      <c r="N1710">
        <f t="shared" si="80"/>
        <v>4.99</v>
      </c>
    </row>
    <row r="1711" spans="3:14" x14ac:dyDescent="0.25">
      <c r="C1711" t="str">
        <f>IF(COUNTBLANK(E1711:K1711) = 7,"",IF(AND(NOT(ISBLANK(E1711)),COUNTBLANK(E1711:K1711) = 6),"3 Delete",IF(ISBLANK(E1711),"2 Add",IF(SHA1Range(E1711:K1711) = "a38607a3ae86bf1be21af343552124301a8960a4","0 Original","1 Modify"))))</f>
        <v>0 Original</v>
      </c>
      <c r="D1711" s="5" t="s">
        <v>3826</v>
      </c>
      <c r="E1711" s="3">
        <v>3223</v>
      </c>
      <c r="F1711" t="s">
        <v>1480</v>
      </c>
      <c r="G1711" t="s">
        <v>707</v>
      </c>
      <c r="H1711" s="9">
        <v>7.99</v>
      </c>
      <c r="I1711" s="3">
        <v>3</v>
      </c>
      <c r="J1711" s="5" t="s">
        <v>68</v>
      </c>
      <c r="K1711" s="15">
        <v>41939.58861111111</v>
      </c>
      <c r="L1711" s="20">
        <f t="shared" si="78"/>
        <v>41939</v>
      </c>
      <c r="M1711" t="str">
        <f t="shared" si="79"/>
        <v>10-2014</v>
      </c>
      <c r="N1711">
        <f t="shared" si="80"/>
        <v>23.97</v>
      </c>
    </row>
    <row r="1712" spans="3:14" x14ac:dyDescent="0.25">
      <c r="C1712" t="str">
        <f>IF(COUNTBLANK(E1712:K1712) = 7,"",IF(AND(NOT(ISBLANK(E1712)),COUNTBLANK(E1712:K1712) = 6),"3 Delete",IF(ISBLANK(E1712),"2 Add",IF(SHA1Range(E1712:K1712) = "2bd7c47a30b276fb2d23afc9e43bd6025d28f203","0 Original","1 Modify"))))</f>
        <v>0 Original</v>
      </c>
      <c r="D1712" s="5" t="s">
        <v>3827</v>
      </c>
      <c r="E1712" s="3">
        <v>3224</v>
      </c>
      <c r="F1712" t="s">
        <v>1480</v>
      </c>
      <c r="G1712" t="s">
        <v>400</v>
      </c>
      <c r="H1712" s="9">
        <v>4.99</v>
      </c>
      <c r="I1712" s="3">
        <v>2</v>
      </c>
      <c r="J1712" s="5" t="s">
        <v>68</v>
      </c>
      <c r="K1712" s="15">
        <v>41939.58861111111</v>
      </c>
      <c r="L1712" s="20">
        <f t="shared" si="78"/>
        <v>41939</v>
      </c>
      <c r="M1712" t="str">
        <f t="shared" si="79"/>
        <v>10-2014</v>
      </c>
      <c r="N1712">
        <f t="shared" si="80"/>
        <v>9.98</v>
      </c>
    </row>
    <row r="1713" spans="3:14" x14ac:dyDescent="0.25">
      <c r="C1713" t="str">
        <f>IF(COUNTBLANK(E1713:K1713) = 7,"",IF(AND(NOT(ISBLANK(E1713)),COUNTBLANK(E1713:K1713) = 6),"3 Delete",IF(ISBLANK(E1713),"2 Add",IF(SHA1Range(E1713:K1713) = "5f35484d1699d6e2ab1cba0c331d34d7109107e1","0 Original","1 Modify"))))</f>
        <v>0 Original</v>
      </c>
      <c r="D1713" s="5" t="s">
        <v>4316</v>
      </c>
      <c r="E1713" s="3">
        <v>930</v>
      </c>
      <c r="F1713" t="s">
        <v>1481</v>
      </c>
      <c r="G1713" t="s">
        <v>642</v>
      </c>
      <c r="H1713" s="9">
        <v>9.99</v>
      </c>
      <c r="I1713" s="3">
        <v>2</v>
      </c>
      <c r="J1713" s="5" t="s">
        <v>68</v>
      </c>
      <c r="K1713" s="15">
        <v>41939.595891203702</v>
      </c>
      <c r="L1713" s="20">
        <f t="shared" si="78"/>
        <v>41939</v>
      </c>
      <c r="M1713" t="str">
        <f t="shared" si="79"/>
        <v>10-2014</v>
      </c>
      <c r="N1713">
        <f t="shared" si="80"/>
        <v>19.98</v>
      </c>
    </row>
    <row r="1714" spans="3:14" x14ac:dyDescent="0.25">
      <c r="C1714" t="str">
        <f>IF(COUNTBLANK(E1714:K1714) = 7,"",IF(AND(NOT(ISBLANK(E1714)),COUNTBLANK(E1714:K1714) = 6),"3 Delete",IF(ISBLANK(E1714),"2 Add",IF(SHA1Range(E1714:K1714) = "c277c5287a3edebf16037e93df8517059de0590c","0 Original","1 Modify"))))</f>
        <v>0 Original</v>
      </c>
      <c r="D1714" s="5" t="s">
        <v>4317</v>
      </c>
      <c r="E1714" s="3">
        <v>931</v>
      </c>
      <c r="F1714" t="s">
        <v>1481</v>
      </c>
      <c r="G1714" t="s">
        <v>781</v>
      </c>
      <c r="H1714" s="9">
        <v>5.99</v>
      </c>
      <c r="I1714" s="3">
        <v>1</v>
      </c>
      <c r="J1714" s="5" t="s">
        <v>68</v>
      </c>
      <c r="K1714" s="15">
        <v>41939.595891203702</v>
      </c>
      <c r="L1714" s="20">
        <f t="shared" si="78"/>
        <v>41939</v>
      </c>
      <c r="M1714" t="str">
        <f t="shared" si="79"/>
        <v>10-2014</v>
      </c>
      <c r="N1714">
        <f t="shared" si="80"/>
        <v>5.99</v>
      </c>
    </row>
    <row r="1715" spans="3:14" x14ac:dyDescent="0.25">
      <c r="C1715" t="str">
        <f>IF(COUNTBLANK(E1715:K1715) = 7,"",IF(AND(NOT(ISBLANK(E1715)),COUNTBLANK(E1715:K1715) = 6),"3 Delete",IF(ISBLANK(E1715),"2 Add",IF(SHA1Range(E1715:K1715) = "8f432252c039ebcd3eb4a414d272f9f50afde01e","0 Original","1 Modify"))))</f>
        <v>0 Original</v>
      </c>
      <c r="D1715" s="5" t="s">
        <v>4318</v>
      </c>
      <c r="E1715" s="3">
        <v>932</v>
      </c>
      <c r="F1715" t="s">
        <v>1481</v>
      </c>
      <c r="G1715" t="s">
        <v>680</v>
      </c>
      <c r="H1715" s="9">
        <v>8.99</v>
      </c>
      <c r="I1715" s="3">
        <v>1</v>
      </c>
      <c r="J1715" s="5" t="s">
        <v>68</v>
      </c>
      <c r="K1715" s="15">
        <v>41939.595891203702</v>
      </c>
      <c r="L1715" s="20">
        <f t="shared" si="78"/>
        <v>41939</v>
      </c>
      <c r="M1715" t="str">
        <f t="shared" si="79"/>
        <v>10-2014</v>
      </c>
      <c r="N1715">
        <f t="shared" si="80"/>
        <v>8.99</v>
      </c>
    </row>
    <row r="1716" spans="3:14" x14ac:dyDescent="0.25">
      <c r="C1716" t="str">
        <f>IF(COUNTBLANK(E1716:K1716) = 7,"",IF(AND(NOT(ISBLANK(E1716)),COUNTBLANK(E1716:K1716) = 6),"3 Delete",IF(ISBLANK(E1716),"2 Add",IF(SHA1Range(E1716:K1716) = "c94691ec5dc8a31f55aa5a08469bbff5c483018a","0 Original","1 Modify"))))</f>
        <v>0 Original</v>
      </c>
      <c r="D1716" s="5" t="s">
        <v>4319</v>
      </c>
      <c r="E1716" s="3">
        <v>933</v>
      </c>
      <c r="F1716" t="s">
        <v>1481</v>
      </c>
      <c r="G1716" t="s">
        <v>854</v>
      </c>
      <c r="H1716" s="9">
        <v>8.99</v>
      </c>
      <c r="I1716" s="3">
        <v>1</v>
      </c>
      <c r="J1716" s="5" t="s">
        <v>68</v>
      </c>
      <c r="K1716" s="15">
        <v>41939.595891203702</v>
      </c>
      <c r="L1716" s="20">
        <f t="shared" si="78"/>
        <v>41939</v>
      </c>
      <c r="M1716" t="str">
        <f t="shared" si="79"/>
        <v>10-2014</v>
      </c>
      <c r="N1716">
        <f t="shared" si="80"/>
        <v>8.99</v>
      </c>
    </row>
    <row r="1717" spans="3:14" x14ac:dyDescent="0.25">
      <c r="C1717" t="str">
        <f>IF(COUNTBLANK(E1717:K1717) = 7,"",IF(AND(NOT(ISBLANK(E1717)),COUNTBLANK(E1717:K1717) = 6),"3 Delete",IF(ISBLANK(E1717),"2 Add",IF(SHA1Range(E1717:K1717) = "90aeb9cd738603d567c04d8efba9c200a0b9086c","0 Original","1 Modify"))))</f>
        <v>0 Original</v>
      </c>
      <c r="D1717" s="5" t="s">
        <v>4320</v>
      </c>
      <c r="E1717" s="3">
        <v>988</v>
      </c>
      <c r="F1717" t="s">
        <v>1482</v>
      </c>
      <c r="G1717" t="s">
        <v>585</v>
      </c>
      <c r="H1717" s="9">
        <v>9.99</v>
      </c>
      <c r="I1717" s="3">
        <v>1</v>
      </c>
      <c r="J1717" s="5" t="s">
        <v>68</v>
      </c>
      <c r="K1717" s="15">
        <v>41940.05091435185</v>
      </c>
      <c r="L1717" s="20">
        <f t="shared" si="78"/>
        <v>41940</v>
      </c>
      <c r="M1717" t="str">
        <f t="shared" si="79"/>
        <v>10-2014</v>
      </c>
      <c r="N1717">
        <f t="shared" si="80"/>
        <v>9.99</v>
      </c>
    </row>
    <row r="1718" spans="3:14" x14ac:dyDescent="0.25">
      <c r="C1718" t="str">
        <f>IF(COUNTBLANK(E1718:K1718) = 7,"",IF(AND(NOT(ISBLANK(E1718)),COUNTBLANK(E1718:K1718) = 6),"3 Delete",IF(ISBLANK(E1718),"2 Add",IF(SHA1Range(E1718:K1718) = "2f5e9b4a9303ea831eabaa7081a546ee4dfff1b3","0 Original","1 Modify"))))</f>
        <v>0 Original</v>
      </c>
      <c r="D1718" s="5" t="s">
        <v>4321</v>
      </c>
      <c r="E1718" s="3">
        <v>989</v>
      </c>
      <c r="F1718" t="s">
        <v>1482</v>
      </c>
      <c r="G1718" t="s">
        <v>891</v>
      </c>
      <c r="H1718" s="9">
        <v>8.99</v>
      </c>
      <c r="I1718" s="3">
        <v>1</v>
      </c>
      <c r="J1718" s="5" t="s">
        <v>68</v>
      </c>
      <c r="K1718" s="15">
        <v>41940.05091435185</v>
      </c>
      <c r="L1718" s="20">
        <f t="shared" si="78"/>
        <v>41940</v>
      </c>
      <c r="M1718" t="str">
        <f t="shared" si="79"/>
        <v>10-2014</v>
      </c>
      <c r="N1718">
        <f t="shared" si="80"/>
        <v>8.99</v>
      </c>
    </row>
    <row r="1719" spans="3:14" x14ac:dyDescent="0.25">
      <c r="C1719" t="str">
        <f>IF(COUNTBLANK(E1719:K1719) = 7,"",IF(AND(NOT(ISBLANK(E1719)),COUNTBLANK(E1719:K1719) = 6),"3 Delete",IF(ISBLANK(E1719),"2 Add",IF(SHA1Range(E1719:K1719) = "d2e3f7dc8853e0c9e4f9cdbc1e5c02d75f8ed02d","0 Original","1 Modify"))))</f>
        <v>0 Original</v>
      </c>
      <c r="D1719" s="5" t="s">
        <v>3828</v>
      </c>
      <c r="E1719" s="3">
        <v>3753</v>
      </c>
      <c r="F1719" t="s">
        <v>1483</v>
      </c>
      <c r="G1719" t="s">
        <v>400</v>
      </c>
      <c r="H1719" s="9">
        <v>4.99</v>
      </c>
      <c r="I1719" s="3">
        <v>2</v>
      </c>
      <c r="J1719" s="5" t="s">
        <v>68</v>
      </c>
      <c r="K1719" s="15">
        <v>41940.371076388888</v>
      </c>
      <c r="L1719" s="20">
        <f t="shared" si="78"/>
        <v>41940</v>
      </c>
      <c r="M1719" t="str">
        <f t="shared" si="79"/>
        <v>10-2014</v>
      </c>
      <c r="N1719">
        <f t="shared" si="80"/>
        <v>9.98</v>
      </c>
    </row>
    <row r="1720" spans="3:14" x14ac:dyDescent="0.25">
      <c r="C1720" t="str">
        <f>IF(COUNTBLANK(E1720:K1720) = 7,"",IF(AND(NOT(ISBLANK(E1720)),COUNTBLANK(E1720:K1720) = 6),"3 Delete",IF(ISBLANK(E1720),"2 Add",IF(SHA1Range(E1720:K1720) = "73610263eb9ab05d6b7e5b88953a224b5583985f","0 Original","1 Modify"))))</f>
        <v>0 Original</v>
      </c>
      <c r="D1720" s="5" t="s">
        <v>3829</v>
      </c>
      <c r="E1720" s="3">
        <v>3754</v>
      </c>
      <c r="F1720" t="s">
        <v>1483</v>
      </c>
      <c r="G1720" t="s">
        <v>579</v>
      </c>
      <c r="H1720" s="9">
        <v>9.99</v>
      </c>
      <c r="I1720" s="3">
        <v>1</v>
      </c>
      <c r="J1720" s="5" t="s">
        <v>68</v>
      </c>
      <c r="K1720" s="15">
        <v>41940.371076388888</v>
      </c>
      <c r="L1720" s="20">
        <f t="shared" si="78"/>
        <v>41940</v>
      </c>
      <c r="M1720" t="str">
        <f t="shared" si="79"/>
        <v>10-2014</v>
      </c>
      <c r="N1720">
        <f t="shared" si="80"/>
        <v>9.99</v>
      </c>
    </row>
    <row r="1721" spans="3:14" x14ac:dyDescent="0.25">
      <c r="C1721" t="str">
        <f>IF(COUNTBLANK(E1721:K1721) = 7,"",IF(AND(NOT(ISBLANK(E1721)),COUNTBLANK(E1721:K1721) = 6),"3 Delete",IF(ISBLANK(E1721),"2 Add",IF(SHA1Range(E1721:K1721) = "70f04610a9e9f651956be4c547556d3cc6da6452","0 Original","1 Modify"))))</f>
        <v>0 Original</v>
      </c>
      <c r="D1721" s="5" t="s">
        <v>3830</v>
      </c>
      <c r="E1721" s="3">
        <v>461</v>
      </c>
      <c r="F1721" t="s">
        <v>1484</v>
      </c>
      <c r="G1721" t="s">
        <v>624</v>
      </c>
      <c r="H1721" s="9">
        <v>9.99</v>
      </c>
      <c r="I1721" s="3">
        <v>2</v>
      </c>
      <c r="J1721" s="5" t="s">
        <v>68</v>
      </c>
      <c r="K1721" s="15">
        <v>41941.887476851851</v>
      </c>
      <c r="L1721" s="20">
        <f t="shared" si="78"/>
        <v>41941</v>
      </c>
      <c r="M1721" t="str">
        <f t="shared" si="79"/>
        <v>10-2014</v>
      </c>
      <c r="N1721">
        <f t="shared" si="80"/>
        <v>19.98</v>
      </c>
    </row>
    <row r="1722" spans="3:14" x14ac:dyDescent="0.25">
      <c r="C1722" t="str">
        <f>IF(COUNTBLANK(E1722:K1722) = 7,"",IF(AND(NOT(ISBLANK(E1722)),COUNTBLANK(E1722:K1722) = 6),"3 Delete",IF(ISBLANK(E1722),"2 Add",IF(SHA1Range(E1722:K1722) = "d85032e41130233cb4f37752dd70dc8c48748c08","0 Original","1 Modify"))))</f>
        <v>0 Original</v>
      </c>
      <c r="D1722" s="5" t="s">
        <v>3831</v>
      </c>
      <c r="E1722" s="3">
        <v>462</v>
      </c>
      <c r="F1722" t="s">
        <v>1484</v>
      </c>
      <c r="G1722" t="s">
        <v>671</v>
      </c>
      <c r="H1722" s="9">
        <v>6.99</v>
      </c>
      <c r="I1722" s="3">
        <v>1</v>
      </c>
      <c r="J1722" s="5" t="s">
        <v>68</v>
      </c>
      <c r="K1722" s="15">
        <v>41941.887476851851</v>
      </c>
      <c r="L1722" s="20">
        <f t="shared" si="78"/>
        <v>41941</v>
      </c>
      <c r="M1722" t="str">
        <f t="shared" si="79"/>
        <v>10-2014</v>
      </c>
      <c r="N1722">
        <f t="shared" si="80"/>
        <v>6.99</v>
      </c>
    </row>
    <row r="1723" spans="3:14" x14ac:dyDescent="0.25">
      <c r="C1723" t="str">
        <f>IF(COUNTBLANK(E1723:K1723) = 7,"",IF(AND(NOT(ISBLANK(E1723)),COUNTBLANK(E1723:K1723) = 6),"3 Delete",IF(ISBLANK(E1723),"2 Add",IF(SHA1Range(E1723:K1723) = "d5da7b739603d1205ac0a66987a30abb796d6e84","0 Original","1 Modify"))))</f>
        <v>0 Original</v>
      </c>
      <c r="D1723" s="5" t="s">
        <v>4322</v>
      </c>
      <c r="E1723" s="3">
        <v>761</v>
      </c>
      <c r="F1723" t="s">
        <v>1485</v>
      </c>
      <c r="G1723" t="s">
        <v>891</v>
      </c>
      <c r="H1723" s="9">
        <v>8.99</v>
      </c>
      <c r="I1723" s="3">
        <v>1</v>
      </c>
      <c r="J1723" s="5" t="s">
        <v>68</v>
      </c>
      <c r="K1723" s="15">
        <v>41942.252106481479</v>
      </c>
      <c r="L1723" s="20">
        <f t="shared" si="78"/>
        <v>41942</v>
      </c>
      <c r="M1723" t="str">
        <f t="shared" si="79"/>
        <v>10-2014</v>
      </c>
      <c r="N1723">
        <f t="shared" si="80"/>
        <v>8.99</v>
      </c>
    </row>
    <row r="1724" spans="3:14" x14ac:dyDescent="0.25">
      <c r="C1724" t="str">
        <f>IF(COUNTBLANK(E1724:K1724) = 7,"",IF(AND(NOT(ISBLANK(E1724)),COUNTBLANK(E1724:K1724) = 6),"3 Delete",IF(ISBLANK(E1724),"2 Add",IF(SHA1Range(E1724:K1724) = "1b9b327448d03f379b7506f9ab61dfa88b1079ae","0 Original","1 Modify"))))</f>
        <v>0 Original</v>
      </c>
      <c r="D1724" s="5" t="s">
        <v>4323</v>
      </c>
      <c r="E1724" s="3">
        <v>762</v>
      </c>
      <c r="F1724" t="s">
        <v>1485</v>
      </c>
      <c r="G1724" t="s">
        <v>563</v>
      </c>
      <c r="H1724" s="9">
        <v>6.99</v>
      </c>
      <c r="I1724" s="3">
        <v>1</v>
      </c>
      <c r="J1724" s="5" t="s">
        <v>68</v>
      </c>
      <c r="K1724" s="15">
        <v>41942.252106481479</v>
      </c>
      <c r="L1724" s="20">
        <f t="shared" si="78"/>
        <v>41942</v>
      </c>
      <c r="M1724" t="str">
        <f t="shared" si="79"/>
        <v>10-2014</v>
      </c>
      <c r="N1724">
        <f t="shared" si="80"/>
        <v>6.99</v>
      </c>
    </row>
    <row r="1725" spans="3:14" x14ac:dyDescent="0.25">
      <c r="C1725" t="str">
        <f>IF(COUNTBLANK(E1725:K1725) = 7,"",IF(AND(NOT(ISBLANK(E1725)),COUNTBLANK(E1725:K1725) = 6),"3 Delete",IF(ISBLANK(E1725),"2 Add",IF(SHA1Range(E1725:K1725) = "5e560fd681ebeb8e7c8658678fe230d153753d78","0 Original","1 Modify"))))</f>
        <v>0 Original</v>
      </c>
      <c r="D1725" s="5" t="s">
        <v>3832</v>
      </c>
      <c r="E1725" s="3">
        <v>3669</v>
      </c>
      <c r="F1725" t="s">
        <v>1486</v>
      </c>
      <c r="G1725" t="s">
        <v>642</v>
      </c>
      <c r="H1725" s="9">
        <v>9.99</v>
      </c>
      <c r="I1725" s="3">
        <v>1</v>
      </c>
      <c r="J1725" s="5" t="s">
        <v>68</v>
      </c>
      <c r="K1725" s="15">
        <v>41942.680752314816</v>
      </c>
      <c r="L1725" s="20">
        <f t="shared" si="78"/>
        <v>41942</v>
      </c>
      <c r="M1725" t="str">
        <f t="shared" si="79"/>
        <v>10-2014</v>
      </c>
      <c r="N1725">
        <f t="shared" si="80"/>
        <v>9.99</v>
      </c>
    </row>
    <row r="1726" spans="3:14" x14ac:dyDescent="0.25">
      <c r="C1726" t="str">
        <f>IF(COUNTBLANK(E1726:K1726) = 7,"",IF(AND(NOT(ISBLANK(E1726)),COUNTBLANK(E1726:K1726) = 6),"3 Delete",IF(ISBLANK(E1726),"2 Add",IF(SHA1Range(E1726:K1726) = "379d5df6375ecdeafbae7a78d279cba25d377b27","0 Original","1 Modify"))))</f>
        <v>0 Original</v>
      </c>
      <c r="D1726" s="5" t="s">
        <v>3833</v>
      </c>
      <c r="E1726" s="3">
        <v>3670</v>
      </c>
      <c r="F1726" t="s">
        <v>1486</v>
      </c>
      <c r="G1726" t="s">
        <v>749</v>
      </c>
      <c r="H1726" s="9">
        <v>5.99</v>
      </c>
      <c r="I1726" s="3">
        <v>1</v>
      </c>
      <c r="J1726" s="5" t="s">
        <v>68</v>
      </c>
      <c r="K1726" s="15">
        <v>41942.680752314816</v>
      </c>
      <c r="L1726" s="20">
        <f t="shared" si="78"/>
        <v>41942</v>
      </c>
      <c r="M1726" t="str">
        <f t="shared" si="79"/>
        <v>10-2014</v>
      </c>
      <c r="N1726">
        <f t="shared" si="80"/>
        <v>5.99</v>
      </c>
    </row>
    <row r="1727" spans="3:14" x14ac:dyDescent="0.25">
      <c r="C1727" t="str">
        <f>IF(COUNTBLANK(E1727:K1727) = 7,"",IF(AND(NOT(ISBLANK(E1727)),COUNTBLANK(E1727:K1727) = 6),"3 Delete",IF(ISBLANK(E1727),"2 Add",IF(SHA1Range(E1727:K1727) = "5d965fd32f054e8cb80ddc29ed6cb3b1cad794c9","0 Original","1 Modify"))))</f>
        <v>0 Original</v>
      </c>
      <c r="D1727" s="5" t="s">
        <v>3834</v>
      </c>
      <c r="E1727" s="3">
        <v>3671</v>
      </c>
      <c r="F1727" t="s">
        <v>1486</v>
      </c>
      <c r="G1727" t="s">
        <v>400</v>
      </c>
      <c r="H1727" s="9">
        <v>4.99</v>
      </c>
      <c r="I1727" s="3">
        <v>2</v>
      </c>
      <c r="J1727" s="5" t="s">
        <v>68</v>
      </c>
      <c r="K1727" s="15">
        <v>41942.680752314816</v>
      </c>
      <c r="L1727" s="20">
        <f t="shared" si="78"/>
        <v>41942</v>
      </c>
      <c r="M1727" t="str">
        <f t="shared" si="79"/>
        <v>10-2014</v>
      </c>
      <c r="N1727">
        <f t="shared" si="80"/>
        <v>9.98</v>
      </c>
    </row>
    <row r="1728" spans="3:14" x14ac:dyDescent="0.25">
      <c r="C1728" t="str">
        <f>IF(COUNTBLANK(E1728:K1728) = 7,"",IF(AND(NOT(ISBLANK(E1728)),COUNTBLANK(E1728:K1728) = 6),"3 Delete",IF(ISBLANK(E1728),"2 Add",IF(SHA1Range(E1728:K1728) = "8276fef8130a4ba23cf98d7a1ac19b028bd01737","0 Original","1 Modify"))))</f>
        <v>0 Original</v>
      </c>
      <c r="D1728" s="5" t="s">
        <v>3835</v>
      </c>
      <c r="E1728" s="3">
        <v>3672</v>
      </c>
      <c r="F1728" t="s">
        <v>1486</v>
      </c>
      <c r="G1728" t="s">
        <v>400</v>
      </c>
      <c r="H1728" s="9">
        <v>4.99</v>
      </c>
      <c r="I1728" s="3">
        <v>2</v>
      </c>
      <c r="J1728" s="5" t="s">
        <v>68</v>
      </c>
      <c r="K1728" s="15">
        <v>41942.680752314816</v>
      </c>
      <c r="L1728" s="20">
        <f t="shared" si="78"/>
        <v>41942</v>
      </c>
      <c r="M1728" t="str">
        <f t="shared" si="79"/>
        <v>10-2014</v>
      </c>
      <c r="N1728">
        <f t="shared" si="80"/>
        <v>9.98</v>
      </c>
    </row>
    <row r="1729" spans="3:14" x14ac:dyDescent="0.25">
      <c r="C1729" t="str">
        <f>IF(COUNTBLANK(E1729:K1729) = 7,"",IF(AND(NOT(ISBLANK(E1729)),COUNTBLANK(E1729:K1729) = 6),"3 Delete",IF(ISBLANK(E1729),"2 Add",IF(SHA1Range(E1729:K1729) = "a0d11371fd7447dfa2f169329bbf5c96b5d7f302","0 Original","1 Modify"))))</f>
        <v>0 Original</v>
      </c>
      <c r="D1729" s="5" t="s">
        <v>3836</v>
      </c>
      <c r="E1729" s="3">
        <v>1678</v>
      </c>
      <c r="F1729" t="s">
        <v>1487</v>
      </c>
      <c r="G1729" t="s">
        <v>845</v>
      </c>
      <c r="H1729" s="9">
        <v>7.99</v>
      </c>
      <c r="I1729" s="3">
        <v>2</v>
      </c>
      <c r="J1729" s="5" t="s">
        <v>68</v>
      </c>
      <c r="K1729" s="15">
        <v>41943.348090277781</v>
      </c>
      <c r="L1729" s="20">
        <f t="shared" si="78"/>
        <v>41943</v>
      </c>
      <c r="M1729" t="str">
        <f t="shared" si="79"/>
        <v>10-2014</v>
      </c>
      <c r="N1729">
        <f t="shared" si="80"/>
        <v>15.98</v>
      </c>
    </row>
    <row r="1730" spans="3:14" x14ac:dyDescent="0.25">
      <c r="C1730" t="str">
        <f>IF(COUNTBLANK(E1730:K1730) = 7,"",IF(AND(NOT(ISBLANK(E1730)),COUNTBLANK(E1730:K1730) = 6),"3 Delete",IF(ISBLANK(E1730),"2 Add",IF(SHA1Range(E1730:K1730) = "a026a91b9333719567f0d16771fe20967705e46e","0 Original","1 Modify"))))</f>
        <v>0 Original</v>
      </c>
      <c r="D1730" s="5" t="s">
        <v>3837</v>
      </c>
      <c r="E1730" s="3">
        <v>1679</v>
      </c>
      <c r="F1730" t="s">
        <v>1487</v>
      </c>
      <c r="G1730" t="s">
        <v>820</v>
      </c>
      <c r="H1730" s="9">
        <v>9.99</v>
      </c>
      <c r="I1730" s="3">
        <v>2</v>
      </c>
      <c r="J1730" s="5" t="s">
        <v>68</v>
      </c>
      <c r="K1730" s="15">
        <v>41943.348090277781</v>
      </c>
      <c r="L1730" s="20">
        <f t="shared" si="78"/>
        <v>41943</v>
      </c>
      <c r="M1730" t="str">
        <f t="shared" si="79"/>
        <v>10-2014</v>
      </c>
      <c r="N1730">
        <f t="shared" si="80"/>
        <v>19.98</v>
      </c>
    </row>
    <row r="1731" spans="3:14" x14ac:dyDescent="0.25">
      <c r="C1731" t="str">
        <f>IF(COUNTBLANK(E1731:K1731) = 7,"",IF(AND(NOT(ISBLANK(E1731)),COUNTBLANK(E1731:K1731) = 6),"3 Delete",IF(ISBLANK(E1731),"2 Add",IF(SHA1Range(E1731:K1731) = "07c9ce42a502b6423fe2925a36cd379f69f9080e","0 Original","1 Modify"))))</f>
        <v>0 Original</v>
      </c>
      <c r="D1731" s="5" t="s">
        <v>3838</v>
      </c>
      <c r="E1731" s="3">
        <v>1680</v>
      </c>
      <c r="F1731" t="s">
        <v>1487</v>
      </c>
      <c r="G1731" t="s">
        <v>373</v>
      </c>
      <c r="H1731" s="9">
        <v>7.99</v>
      </c>
      <c r="I1731" s="3">
        <v>1</v>
      </c>
      <c r="J1731" s="5" t="s">
        <v>68</v>
      </c>
      <c r="K1731" s="15">
        <v>41943.348090277781</v>
      </c>
      <c r="L1731" s="20">
        <f t="shared" ref="L1731:L1794" si="81">DATEVALUE(LEFT(F1731,10))</f>
        <v>41943</v>
      </c>
      <c r="M1731" t="str">
        <f t="shared" ref="M1731:M1794" si="82">TEXT(L1731,"mm-yyyy")</f>
        <v>10-2014</v>
      </c>
      <c r="N1731">
        <f t="shared" ref="N1731:N1794" si="83">H1731*I1731</f>
        <v>7.99</v>
      </c>
    </row>
    <row r="1732" spans="3:14" x14ac:dyDescent="0.25">
      <c r="C1732" t="str">
        <f>IF(COUNTBLANK(E1732:K1732) = 7,"",IF(AND(NOT(ISBLANK(E1732)),COUNTBLANK(E1732:K1732) = 6),"3 Delete",IF(ISBLANK(E1732),"2 Add",IF(SHA1Range(E1732:K1732) = "d28b6f6933a567bf379b9513b8d50494d3b9dd35","0 Original","1 Modify"))))</f>
        <v>0 Original</v>
      </c>
      <c r="D1732" s="5" t="s">
        <v>4324</v>
      </c>
      <c r="E1732" s="3">
        <v>877</v>
      </c>
      <c r="F1732" t="s">
        <v>1488</v>
      </c>
      <c r="G1732" t="s">
        <v>820</v>
      </c>
      <c r="H1732" s="9">
        <v>9.99</v>
      </c>
      <c r="I1732" s="3">
        <v>1</v>
      </c>
      <c r="J1732" s="5" t="s">
        <v>68</v>
      </c>
      <c r="K1732" s="15">
        <v>41945.526365740741</v>
      </c>
      <c r="L1732" s="20">
        <f t="shared" si="81"/>
        <v>41945</v>
      </c>
      <c r="M1732" t="str">
        <f t="shared" si="82"/>
        <v>11-2014</v>
      </c>
      <c r="N1732">
        <f t="shared" si="83"/>
        <v>9.99</v>
      </c>
    </row>
    <row r="1733" spans="3:14" x14ac:dyDescent="0.25">
      <c r="C1733" t="str">
        <f>IF(COUNTBLANK(E1733:K1733) = 7,"",IF(AND(NOT(ISBLANK(E1733)),COUNTBLANK(E1733:K1733) = 6),"3 Delete",IF(ISBLANK(E1733),"2 Add",IF(SHA1Range(E1733:K1733) = "8494db2e691f2353d005bfc38fba8f4677a6288f","0 Original","1 Modify"))))</f>
        <v>0 Original</v>
      </c>
      <c r="D1733" s="5" t="s">
        <v>4325</v>
      </c>
      <c r="E1733" s="3">
        <v>878</v>
      </c>
      <c r="F1733" t="s">
        <v>1488</v>
      </c>
      <c r="G1733" t="s">
        <v>507</v>
      </c>
      <c r="H1733" s="9">
        <v>6.99</v>
      </c>
      <c r="I1733" s="3">
        <v>1</v>
      </c>
      <c r="J1733" s="5" t="s">
        <v>68</v>
      </c>
      <c r="K1733" s="15">
        <v>41945.526365740741</v>
      </c>
      <c r="L1733" s="20">
        <f t="shared" si="81"/>
        <v>41945</v>
      </c>
      <c r="M1733" t="str">
        <f t="shared" si="82"/>
        <v>11-2014</v>
      </c>
      <c r="N1733">
        <f t="shared" si="83"/>
        <v>6.99</v>
      </c>
    </row>
    <row r="1734" spans="3:14" x14ac:dyDescent="0.25">
      <c r="C1734" t="str">
        <f>IF(COUNTBLANK(E1734:K1734) = 7,"",IF(AND(NOT(ISBLANK(E1734)),COUNTBLANK(E1734:K1734) = 6),"3 Delete",IF(ISBLANK(E1734),"2 Add",IF(SHA1Range(E1734:K1734) = "54e8ff8438be355d5ab91a7182af63fb9c5f688c","0 Original","1 Modify"))))</f>
        <v>0 Original</v>
      </c>
      <c r="D1734" s="5" t="s">
        <v>3839</v>
      </c>
      <c r="E1734" s="3">
        <v>1580</v>
      </c>
      <c r="F1734" t="s">
        <v>1489</v>
      </c>
      <c r="G1734" t="s">
        <v>654</v>
      </c>
      <c r="H1734" s="9">
        <v>5.99</v>
      </c>
      <c r="I1734" s="3">
        <v>1</v>
      </c>
      <c r="J1734" s="5" t="s">
        <v>68</v>
      </c>
      <c r="K1734" s="15">
        <v>41946.359756944446</v>
      </c>
      <c r="L1734" s="20">
        <f t="shared" si="81"/>
        <v>41946</v>
      </c>
      <c r="M1734" t="str">
        <f t="shared" si="82"/>
        <v>11-2014</v>
      </c>
      <c r="N1734">
        <f t="shared" si="83"/>
        <v>5.99</v>
      </c>
    </row>
    <row r="1735" spans="3:14" x14ac:dyDescent="0.25">
      <c r="C1735" t="str">
        <f>IF(COUNTBLANK(E1735:K1735) = 7,"",IF(AND(NOT(ISBLANK(E1735)),COUNTBLANK(E1735:K1735) = 6),"3 Delete",IF(ISBLANK(E1735),"2 Add",IF(SHA1Range(E1735:K1735) = "0478a7d052bd00764ee064da2cd39e5b59905d2e","0 Original","1 Modify"))))</f>
        <v>0 Original</v>
      </c>
      <c r="D1735" s="5" t="s">
        <v>4326</v>
      </c>
      <c r="E1735" s="3">
        <v>934</v>
      </c>
      <c r="F1735" t="s">
        <v>1490</v>
      </c>
      <c r="G1735" t="s">
        <v>749</v>
      </c>
      <c r="H1735" s="9">
        <v>5.99</v>
      </c>
      <c r="I1735" s="3">
        <v>2</v>
      </c>
      <c r="J1735" s="5" t="s">
        <v>68</v>
      </c>
      <c r="K1735" s="15">
        <v>41946.658553240741</v>
      </c>
      <c r="L1735" s="20">
        <f t="shared" si="81"/>
        <v>41946</v>
      </c>
      <c r="M1735" t="str">
        <f t="shared" si="82"/>
        <v>11-2014</v>
      </c>
      <c r="N1735">
        <f t="shared" si="83"/>
        <v>11.98</v>
      </c>
    </row>
    <row r="1736" spans="3:14" x14ac:dyDescent="0.25">
      <c r="C1736" t="str">
        <f>IF(COUNTBLANK(E1736:K1736) = 7,"",IF(AND(NOT(ISBLANK(E1736)),COUNTBLANK(E1736:K1736) = 6),"3 Delete",IF(ISBLANK(E1736),"2 Add",IF(SHA1Range(E1736:K1736) = "3507103bf473684af17960c0c8ba50fd562bbdd9","0 Original","1 Modify"))))</f>
        <v>0 Original</v>
      </c>
      <c r="D1736" s="5" t="s">
        <v>4327</v>
      </c>
      <c r="E1736" s="3">
        <v>807</v>
      </c>
      <c r="F1736" t="s">
        <v>1491</v>
      </c>
      <c r="G1736" t="s">
        <v>820</v>
      </c>
      <c r="H1736" s="9">
        <v>9.99</v>
      </c>
      <c r="I1736" s="3">
        <v>1</v>
      </c>
      <c r="J1736" s="5" t="s">
        <v>68</v>
      </c>
      <c r="K1736" s="15">
        <v>41946.809363425928</v>
      </c>
      <c r="L1736" s="20">
        <f t="shared" si="81"/>
        <v>41946</v>
      </c>
      <c r="M1736" t="str">
        <f t="shared" si="82"/>
        <v>11-2014</v>
      </c>
      <c r="N1736">
        <f t="shared" si="83"/>
        <v>9.99</v>
      </c>
    </row>
    <row r="1737" spans="3:14" x14ac:dyDescent="0.25">
      <c r="C1737" t="str">
        <f>IF(COUNTBLANK(E1737:K1737) = 7,"",IF(AND(NOT(ISBLANK(E1737)),COUNTBLANK(E1737:K1737) = 6),"3 Delete",IF(ISBLANK(E1737),"2 Add",IF(SHA1Range(E1737:K1737) = "138a2e6b82113e9422f3fc2532877acca9be3322","0 Original","1 Modify"))))</f>
        <v>0 Original</v>
      </c>
      <c r="D1737" s="5" t="s">
        <v>4328</v>
      </c>
      <c r="E1737" s="3">
        <v>808</v>
      </c>
      <c r="F1737" t="s">
        <v>1491</v>
      </c>
      <c r="G1737" t="s">
        <v>514</v>
      </c>
      <c r="H1737" s="9">
        <v>6.99</v>
      </c>
      <c r="I1737" s="3">
        <v>2</v>
      </c>
      <c r="J1737" s="5" t="s">
        <v>68</v>
      </c>
      <c r="K1737" s="15">
        <v>41946.809363425928</v>
      </c>
      <c r="L1737" s="20">
        <f t="shared" si="81"/>
        <v>41946</v>
      </c>
      <c r="M1737" t="str">
        <f t="shared" si="82"/>
        <v>11-2014</v>
      </c>
      <c r="N1737">
        <f t="shared" si="83"/>
        <v>13.98</v>
      </c>
    </row>
    <row r="1738" spans="3:14" x14ac:dyDescent="0.25">
      <c r="C1738" t="str">
        <f>IF(COUNTBLANK(E1738:K1738) = 7,"",IF(AND(NOT(ISBLANK(E1738)),COUNTBLANK(E1738:K1738) = 6),"3 Delete",IF(ISBLANK(E1738),"2 Add",IF(SHA1Range(E1738:K1738) = "3960a2fe1d7cbae61398a8daaecec3c517bd3484","0 Original","1 Modify"))))</f>
        <v>0 Original</v>
      </c>
      <c r="D1738" s="5" t="s">
        <v>4329</v>
      </c>
      <c r="E1738" s="3">
        <v>809</v>
      </c>
      <c r="F1738" t="s">
        <v>1491</v>
      </c>
      <c r="G1738" t="s">
        <v>514</v>
      </c>
      <c r="H1738" s="9">
        <v>6.99</v>
      </c>
      <c r="I1738" s="3">
        <v>2</v>
      </c>
      <c r="J1738" s="5" t="s">
        <v>68</v>
      </c>
      <c r="K1738" s="15">
        <v>41946.809363425928</v>
      </c>
      <c r="L1738" s="20">
        <f t="shared" si="81"/>
        <v>41946</v>
      </c>
      <c r="M1738" t="str">
        <f t="shared" si="82"/>
        <v>11-2014</v>
      </c>
      <c r="N1738">
        <f t="shared" si="83"/>
        <v>13.98</v>
      </c>
    </row>
    <row r="1739" spans="3:14" x14ac:dyDescent="0.25">
      <c r="C1739" t="str">
        <f>IF(COUNTBLANK(E1739:K1739) = 7,"",IF(AND(NOT(ISBLANK(E1739)),COUNTBLANK(E1739:K1739) = 6),"3 Delete",IF(ISBLANK(E1739),"2 Add",IF(SHA1Range(E1739:K1739) = "eae59200d152c1ca63fad475ebeccfec042bb123","0 Original","1 Modify"))))</f>
        <v>0 Original</v>
      </c>
      <c r="D1739" s="5" t="s">
        <v>3840</v>
      </c>
      <c r="E1739" s="3">
        <v>3346</v>
      </c>
      <c r="F1739" t="s">
        <v>1492</v>
      </c>
      <c r="G1739" t="s">
        <v>514</v>
      </c>
      <c r="H1739" s="9">
        <v>6.99</v>
      </c>
      <c r="I1739" s="3">
        <v>1</v>
      </c>
      <c r="J1739" s="5" t="s">
        <v>68</v>
      </c>
      <c r="K1739" s="15">
        <v>41947.760844907411</v>
      </c>
      <c r="L1739" s="20">
        <f t="shared" si="81"/>
        <v>41947</v>
      </c>
      <c r="M1739" t="str">
        <f t="shared" si="82"/>
        <v>11-2014</v>
      </c>
      <c r="N1739">
        <f t="shared" si="83"/>
        <v>6.99</v>
      </c>
    </row>
    <row r="1740" spans="3:14" x14ac:dyDescent="0.25">
      <c r="C1740" t="str">
        <f>IF(COUNTBLANK(E1740:K1740) = 7,"",IF(AND(NOT(ISBLANK(E1740)),COUNTBLANK(E1740:K1740) = 6),"3 Delete",IF(ISBLANK(E1740),"2 Add",IF(SHA1Range(E1740:K1740) = "0778dadcb55f5fa193ab49a49c7e6541d8457824","0 Original","1 Modify"))))</f>
        <v>0 Original</v>
      </c>
      <c r="D1740" s="5" t="s">
        <v>3841</v>
      </c>
      <c r="E1740" s="3">
        <v>3347</v>
      </c>
      <c r="F1740" t="s">
        <v>1492</v>
      </c>
      <c r="G1740" t="s">
        <v>642</v>
      </c>
      <c r="H1740" s="9">
        <v>9.99</v>
      </c>
      <c r="I1740" s="3">
        <v>2</v>
      </c>
      <c r="J1740" s="5" t="s">
        <v>68</v>
      </c>
      <c r="K1740" s="15">
        <v>41947.760844907411</v>
      </c>
      <c r="L1740" s="20">
        <f t="shared" si="81"/>
        <v>41947</v>
      </c>
      <c r="M1740" t="str">
        <f t="shared" si="82"/>
        <v>11-2014</v>
      </c>
      <c r="N1740">
        <f t="shared" si="83"/>
        <v>19.98</v>
      </c>
    </row>
    <row r="1741" spans="3:14" x14ac:dyDescent="0.25">
      <c r="C1741" t="str">
        <f>IF(COUNTBLANK(E1741:K1741) = 7,"",IF(AND(NOT(ISBLANK(E1741)),COUNTBLANK(E1741:K1741) = 6),"3 Delete",IF(ISBLANK(E1741),"2 Add",IF(SHA1Range(E1741:K1741) = "f18b8df448af30d05a2d0952a9ca18251f522456","0 Original","1 Modify"))))</f>
        <v>0 Original</v>
      </c>
      <c r="D1741" s="5" t="s">
        <v>3842</v>
      </c>
      <c r="E1741" s="3">
        <v>3348</v>
      </c>
      <c r="F1741" t="s">
        <v>1492</v>
      </c>
      <c r="G1741" t="s">
        <v>948</v>
      </c>
      <c r="H1741" s="9">
        <v>4.99</v>
      </c>
      <c r="I1741" s="3">
        <v>1</v>
      </c>
      <c r="J1741" s="5" t="s">
        <v>68</v>
      </c>
      <c r="K1741" s="15">
        <v>41947.760844907411</v>
      </c>
      <c r="L1741" s="20">
        <f t="shared" si="81"/>
        <v>41947</v>
      </c>
      <c r="M1741" t="str">
        <f t="shared" si="82"/>
        <v>11-2014</v>
      </c>
      <c r="N1741">
        <f t="shared" si="83"/>
        <v>4.99</v>
      </c>
    </row>
    <row r="1742" spans="3:14" x14ac:dyDescent="0.25">
      <c r="C1742" t="str">
        <f>IF(COUNTBLANK(E1742:K1742) = 7,"",IF(AND(NOT(ISBLANK(E1742)),COUNTBLANK(E1742:K1742) = 6),"3 Delete",IF(ISBLANK(E1742),"2 Add",IF(SHA1Range(E1742:K1742) = "ea62c8e6c225b92296a9d6715bda2fc193d849b6","0 Original","1 Modify"))))</f>
        <v>0 Original</v>
      </c>
      <c r="D1742" s="5" t="s">
        <v>3843</v>
      </c>
      <c r="E1742" s="3">
        <v>3349</v>
      </c>
      <c r="F1742" t="s">
        <v>1492</v>
      </c>
      <c r="G1742" t="s">
        <v>642</v>
      </c>
      <c r="H1742" s="9">
        <v>9.99</v>
      </c>
      <c r="I1742" s="3">
        <v>1</v>
      </c>
      <c r="J1742" s="5" t="s">
        <v>68</v>
      </c>
      <c r="K1742" s="15">
        <v>41947.760844907411</v>
      </c>
      <c r="L1742" s="20">
        <f t="shared" si="81"/>
        <v>41947</v>
      </c>
      <c r="M1742" t="str">
        <f t="shared" si="82"/>
        <v>11-2014</v>
      </c>
      <c r="N1742">
        <f t="shared" si="83"/>
        <v>9.99</v>
      </c>
    </row>
    <row r="1743" spans="3:14" x14ac:dyDescent="0.25">
      <c r="C1743" t="str">
        <f>IF(COUNTBLANK(E1743:K1743) = 7,"",IF(AND(NOT(ISBLANK(E1743)),COUNTBLANK(E1743:K1743) = 6),"3 Delete",IF(ISBLANK(E1743),"2 Add",IF(SHA1Range(E1743:K1743) = "084223b2ae28c051b911bd9dfd38563ae585390f","0 Original","1 Modify"))))</f>
        <v>0 Original</v>
      </c>
      <c r="D1743" s="5" t="s">
        <v>3844</v>
      </c>
      <c r="E1743" s="3">
        <v>3350</v>
      </c>
      <c r="F1743" t="s">
        <v>1492</v>
      </c>
      <c r="G1743" t="s">
        <v>948</v>
      </c>
      <c r="H1743" s="9">
        <v>4.99</v>
      </c>
      <c r="I1743" s="3">
        <v>1</v>
      </c>
      <c r="J1743" s="5" t="s">
        <v>68</v>
      </c>
      <c r="K1743" s="15">
        <v>41947.760844907411</v>
      </c>
      <c r="L1743" s="20">
        <f t="shared" si="81"/>
        <v>41947</v>
      </c>
      <c r="M1743" t="str">
        <f t="shared" si="82"/>
        <v>11-2014</v>
      </c>
      <c r="N1743">
        <f t="shared" si="83"/>
        <v>4.99</v>
      </c>
    </row>
    <row r="1744" spans="3:14" x14ac:dyDescent="0.25">
      <c r="C1744" t="str">
        <f>IF(COUNTBLANK(E1744:K1744) = 7,"",IF(AND(NOT(ISBLANK(E1744)),COUNTBLANK(E1744:K1744) = 6),"3 Delete",IF(ISBLANK(E1744),"2 Add",IF(SHA1Range(E1744:K1744) = "21c394b70c64c8e621cbfdbf57993602dcd802d7","0 Original","1 Modify"))))</f>
        <v>0 Original</v>
      </c>
      <c r="D1744" s="5" t="s">
        <v>3845</v>
      </c>
      <c r="E1744" s="3">
        <v>3351</v>
      </c>
      <c r="F1744" t="s">
        <v>1492</v>
      </c>
      <c r="G1744" t="s">
        <v>749</v>
      </c>
      <c r="H1744" s="9">
        <v>5.99</v>
      </c>
      <c r="I1744" s="3">
        <v>2</v>
      </c>
      <c r="J1744" s="5" t="s">
        <v>68</v>
      </c>
      <c r="K1744" s="15">
        <v>41947.760844907411</v>
      </c>
      <c r="L1744" s="20">
        <f t="shared" si="81"/>
        <v>41947</v>
      </c>
      <c r="M1744" t="str">
        <f t="shared" si="82"/>
        <v>11-2014</v>
      </c>
      <c r="N1744">
        <f t="shared" si="83"/>
        <v>11.98</v>
      </c>
    </row>
    <row r="1745" spans="3:14" x14ac:dyDescent="0.25">
      <c r="C1745" t="str">
        <f>IF(COUNTBLANK(E1745:K1745) = 7,"",IF(AND(NOT(ISBLANK(E1745)),COUNTBLANK(E1745:K1745) = 6),"3 Delete",IF(ISBLANK(E1745),"2 Add",IF(SHA1Range(E1745:K1745) = "68c515767a46748f0888461f4765268a09a21670","0 Original","1 Modify"))))</f>
        <v>0 Original</v>
      </c>
      <c r="D1745" s="5" t="s">
        <v>3846</v>
      </c>
      <c r="E1745" s="3">
        <v>3352</v>
      </c>
      <c r="F1745" t="s">
        <v>1492</v>
      </c>
      <c r="G1745" t="s">
        <v>373</v>
      </c>
      <c r="H1745" s="9">
        <v>7.99</v>
      </c>
      <c r="I1745" s="3">
        <v>2</v>
      </c>
      <c r="J1745" s="5" t="s">
        <v>68</v>
      </c>
      <c r="K1745" s="15">
        <v>41947.760844907411</v>
      </c>
      <c r="L1745" s="20">
        <f t="shared" si="81"/>
        <v>41947</v>
      </c>
      <c r="M1745" t="str">
        <f t="shared" si="82"/>
        <v>11-2014</v>
      </c>
      <c r="N1745">
        <f t="shared" si="83"/>
        <v>15.98</v>
      </c>
    </row>
    <row r="1746" spans="3:14" x14ac:dyDescent="0.25">
      <c r="C1746" t="str">
        <f>IF(COUNTBLANK(E1746:K1746) = 7,"",IF(AND(NOT(ISBLANK(E1746)),COUNTBLANK(E1746:K1746) = 6),"3 Delete",IF(ISBLANK(E1746),"2 Add",IF(SHA1Range(E1746:K1746) = "d33cb31c0333f3609e726236cdd672c6cee8c7a6","0 Original","1 Modify"))))</f>
        <v>0 Original</v>
      </c>
      <c r="D1746" s="5" t="s">
        <v>3847</v>
      </c>
      <c r="E1746" s="3">
        <v>3353</v>
      </c>
      <c r="F1746" t="s">
        <v>1492</v>
      </c>
      <c r="G1746" t="s">
        <v>373</v>
      </c>
      <c r="H1746" s="9">
        <v>7.99</v>
      </c>
      <c r="I1746" s="3">
        <v>1</v>
      </c>
      <c r="J1746" s="5" t="s">
        <v>68</v>
      </c>
      <c r="K1746" s="15">
        <v>41947.760844907411</v>
      </c>
      <c r="L1746" s="20">
        <f t="shared" si="81"/>
        <v>41947</v>
      </c>
      <c r="M1746" t="str">
        <f t="shared" si="82"/>
        <v>11-2014</v>
      </c>
      <c r="N1746">
        <f t="shared" si="83"/>
        <v>7.99</v>
      </c>
    </row>
    <row r="1747" spans="3:14" x14ac:dyDescent="0.25">
      <c r="C1747" t="str">
        <f>IF(COUNTBLANK(E1747:K1747) = 7,"",IF(AND(NOT(ISBLANK(E1747)),COUNTBLANK(E1747:K1747) = 6),"3 Delete",IF(ISBLANK(E1747),"2 Add",IF(SHA1Range(E1747:K1747) = "c12c2f5102e8b796b53bf83f6095abee1f56f7a8","0 Original","1 Modify"))))</f>
        <v>0 Original</v>
      </c>
      <c r="D1747" s="5" t="s">
        <v>3848</v>
      </c>
      <c r="E1747" s="3">
        <v>787</v>
      </c>
      <c r="F1747" t="s">
        <v>1493</v>
      </c>
      <c r="G1747" t="s">
        <v>514</v>
      </c>
      <c r="H1747" s="9">
        <v>6.99</v>
      </c>
      <c r="I1747" s="3">
        <v>1</v>
      </c>
      <c r="J1747" s="5" t="s">
        <v>68</v>
      </c>
      <c r="K1747" s="15">
        <v>41948.432569444441</v>
      </c>
      <c r="L1747" s="20">
        <f t="shared" si="81"/>
        <v>41948</v>
      </c>
      <c r="M1747" t="str">
        <f t="shared" si="82"/>
        <v>11-2014</v>
      </c>
      <c r="N1747">
        <f t="shared" si="83"/>
        <v>6.99</v>
      </c>
    </row>
    <row r="1748" spans="3:14" x14ac:dyDescent="0.25">
      <c r="C1748" t="str">
        <f>IF(COUNTBLANK(E1748:K1748) = 7,"",IF(AND(NOT(ISBLANK(E1748)),COUNTBLANK(E1748:K1748) = 6),"3 Delete",IF(ISBLANK(E1748),"2 Add",IF(SHA1Range(E1748:K1748) = "4b4e4353a636d94969a8803131486a15df2c6a65","0 Original","1 Modify"))))</f>
        <v>0 Original</v>
      </c>
      <c r="D1748" s="5" t="s">
        <v>3849</v>
      </c>
      <c r="E1748" s="3">
        <v>788</v>
      </c>
      <c r="F1748" t="s">
        <v>1493</v>
      </c>
      <c r="G1748" t="s">
        <v>955</v>
      </c>
      <c r="H1748" s="9">
        <v>8.99</v>
      </c>
      <c r="I1748" s="3">
        <v>1</v>
      </c>
      <c r="J1748" s="5" t="s">
        <v>68</v>
      </c>
      <c r="K1748" s="15">
        <v>41948.432569444441</v>
      </c>
      <c r="L1748" s="20">
        <f t="shared" si="81"/>
        <v>41948</v>
      </c>
      <c r="M1748" t="str">
        <f t="shared" si="82"/>
        <v>11-2014</v>
      </c>
      <c r="N1748">
        <f t="shared" si="83"/>
        <v>8.99</v>
      </c>
    </row>
    <row r="1749" spans="3:14" x14ac:dyDescent="0.25">
      <c r="C1749" t="str">
        <f>IF(COUNTBLANK(E1749:K1749) = 7,"",IF(AND(NOT(ISBLANK(E1749)),COUNTBLANK(E1749:K1749) = 6),"3 Delete",IF(ISBLANK(E1749),"2 Add",IF(SHA1Range(E1749:K1749) = "921ddd0a57d704f45aa283b328067e43ee812d23","0 Original","1 Modify"))))</f>
        <v>0 Original</v>
      </c>
      <c r="D1749" s="5" t="s">
        <v>4330</v>
      </c>
      <c r="E1749" s="3">
        <v>789</v>
      </c>
      <c r="F1749" t="s">
        <v>1493</v>
      </c>
      <c r="G1749" t="s">
        <v>854</v>
      </c>
      <c r="H1749" s="9">
        <v>8.99</v>
      </c>
      <c r="I1749" s="3">
        <v>1</v>
      </c>
      <c r="J1749" s="5" t="s">
        <v>68</v>
      </c>
      <c r="K1749" s="15">
        <v>41948.432569444441</v>
      </c>
      <c r="L1749" s="20">
        <f t="shared" si="81"/>
        <v>41948</v>
      </c>
      <c r="M1749" t="str">
        <f t="shared" si="82"/>
        <v>11-2014</v>
      </c>
      <c r="N1749">
        <f t="shared" si="83"/>
        <v>8.99</v>
      </c>
    </row>
    <row r="1750" spans="3:14" x14ac:dyDescent="0.25">
      <c r="C1750" t="str">
        <f>IF(COUNTBLANK(E1750:K1750) = 7,"",IF(AND(NOT(ISBLANK(E1750)),COUNTBLANK(E1750:K1750) = 6),"3 Delete",IF(ISBLANK(E1750),"2 Add",IF(SHA1Range(E1750:K1750) = "61044283c81eb13718877976c8bd126acd4da10c","0 Original","1 Modify"))))</f>
        <v>0 Original</v>
      </c>
      <c r="D1750" s="5" t="s">
        <v>4331</v>
      </c>
      <c r="E1750" s="3">
        <v>790</v>
      </c>
      <c r="F1750" t="s">
        <v>1493</v>
      </c>
      <c r="G1750" t="s">
        <v>596</v>
      </c>
      <c r="H1750" s="9">
        <v>7.99</v>
      </c>
      <c r="I1750" s="3">
        <v>1</v>
      </c>
      <c r="J1750" s="5" t="s">
        <v>68</v>
      </c>
      <c r="K1750" s="15">
        <v>41948.432569444441</v>
      </c>
      <c r="L1750" s="20">
        <f t="shared" si="81"/>
        <v>41948</v>
      </c>
      <c r="M1750" t="str">
        <f t="shared" si="82"/>
        <v>11-2014</v>
      </c>
      <c r="N1750">
        <f t="shared" si="83"/>
        <v>7.99</v>
      </c>
    </row>
    <row r="1751" spans="3:14" x14ac:dyDescent="0.25">
      <c r="C1751" t="str">
        <f>IF(COUNTBLANK(E1751:K1751) = 7,"",IF(AND(NOT(ISBLANK(E1751)),COUNTBLANK(E1751:K1751) = 6),"3 Delete",IF(ISBLANK(E1751),"2 Add",IF(SHA1Range(E1751:K1751) = "7b4ed77a5a7883f757a83bb4eae3edfba9d0f74c","0 Original","1 Modify"))))</f>
        <v>0 Original</v>
      </c>
      <c r="D1751" s="5" t="s">
        <v>4332</v>
      </c>
      <c r="E1751" s="3">
        <v>518</v>
      </c>
      <c r="F1751" t="s">
        <v>1494</v>
      </c>
      <c r="G1751" t="s">
        <v>445</v>
      </c>
      <c r="H1751" s="9">
        <v>7.99</v>
      </c>
      <c r="I1751" s="3">
        <v>1</v>
      </c>
      <c r="J1751" s="5" t="s">
        <v>68</v>
      </c>
      <c r="K1751" s="15">
        <v>41948.510405092595</v>
      </c>
      <c r="L1751" s="20">
        <f t="shared" si="81"/>
        <v>41948</v>
      </c>
      <c r="M1751" t="str">
        <f t="shared" si="82"/>
        <v>11-2014</v>
      </c>
      <c r="N1751">
        <f t="shared" si="83"/>
        <v>7.99</v>
      </c>
    </row>
    <row r="1752" spans="3:14" x14ac:dyDescent="0.25">
      <c r="C1752" t="str">
        <f>IF(COUNTBLANK(E1752:K1752) = 7,"",IF(AND(NOT(ISBLANK(E1752)),COUNTBLANK(E1752:K1752) = 6),"3 Delete",IF(ISBLANK(E1752),"2 Add",IF(SHA1Range(E1752:K1752) = "4223947a483a859d26fddb051adba66b92fa63c5","0 Original","1 Modify"))))</f>
        <v>0 Original</v>
      </c>
      <c r="D1752" s="5" t="s">
        <v>3850</v>
      </c>
      <c r="E1752" s="3">
        <v>3043</v>
      </c>
      <c r="F1752" t="s">
        <v>1495</v>
      </c>
      <c r="G1752" t="s">
        <v>373</v>
      </c>
      <c r="H1752" s="9">
        <v>7.99</v>
      </c>
      <c r="I1752" s="3">
        <v>2</v>
      </c>
      <c r="J1752" s="5" t="s">
        <v>68</v>
      </c>
      <c r="K1752" s="15">
        <v>41948.811724537038</v>
      </c>
      <c r="L1752" s="20">
        <f t="shared" si="81"/>
        <v>41948</v>
      </c>
      <c r="M1752" t="str">
        <f t="shared" si="82"/>
        <v>11-2014</v>
      </c>
      <c r="N1752">
        <f t="shared" si="83"/>
        <v>15.98</v>
      </c>
    </row>
    <row r="1753" spans="3:14" x14ac:dyDescent="0.25">
      <c r="C1753" t="str">
        <f>IF(COUNTBLANK(E1753:K1753) = 7,"",IF(AND(NOT(ISBLANK(E1753)),COUNTBLANK(E1753:K1753) = 6),"3 Delete",IF(ISBLANK(E1753),"2 Add",IF(SHA1Range(E1753:K1753) = "19d10d4b5769af29c8882fc59daebe680800c62d","0 Original","1 Modify"))))</f>
        <v>0 Original</v>
      </c>
      <c r="D1753" s="5" t="s">
        <v>3851</v>
      </c>
      <c r="E1753" s="3">
        <v>3044</v>
      </c>
      <c r="F1753" t="s">
        <v>1495</v>
      </c>
      <c r="G1753" t="s">
        <v>948</v>
      </c>
      <c r="H1753" s="9">
        <v>4.99</v>
      </c>
      <c r="I1753" s="3">
        <v>1</v>
      </c>
      <c r="J1753" s="5" t="s">
        <v>68</v>
      </c>
      <c r="K1753" s="15">
        <v>41948.811724537038</v>
      </c>
      <c r="L1753" s="20">
        <f t="shared" si="81"/>
        <v>41948</v>
      </c>
      <c r="M1753" t="str">
        <f t="shared" si="82"/>
        <v>11-2014</v>
      </c>
      <c r="N1753">
        <f t="shared" si="83"/>
        <v>4.99</v>
      </c>
    </row>
    <row r="1754" spans="3:14" x14ac:dyDescent="0.25">
      <c r="C1754" t="str">
        <f>IF(COUNTBLANK(E1754:K1754) = 7,"",IF(AND(NOT(ISBLANK(E1754)),COUNTBLANK(E1754:K1754) = 6),"3 Delete",IF(ISBLANK(E1754),"2 Add",IF(SHA1Range(E1754:K1754) = "89a7f1da7f1b53bd4f74a912e71acef64a149120","0 Original","1 Modify"))))</f>
        <v>0 Original</v>
      </c>
      <c r="D1754" s="5" t="s">
        <v>3852</v>
      </c>
      <c r="E1754" s="3">
        <v>3045</v>
      </c>
      <c r="F1754" t="s">
        <v>1495</v>
      </c>
      <c r="G1754" t="s">
        <v>514</v>
      </c>
      <c r="H1754" s="9">
        <v>6.99</v>
      </c>
      <c r="I1754" s="3">
        <v>2</v>
      </c>
      <c r="J1754" s="5" t="s">
        <v>68</v>
      </c>
      <c r="K1754" s="15">
        <v>41948.811724537038</v>
      </c>
      <c r="L1754" s="20">
        <f t="shared" si="81"/>
        <v>41948</v>
      </c>
      <c r="M1754" t="str">
        <f t="shared" si="82"/>
        <v>11-2014</v>
      </c>
      <c r="N1754">
        <f t="shared" si="83"/>
        <v>13.98</v>
      </c>
    </row>
    <row r="1755" spans="3:14" x14ac:dyDescent="0.25">
      <c r="C1755" t="str">
        <f>IF(COUNTBLANK(E1755:K1755) = 7,"",IF(AND(NOT(ISBLANK(E1755)),COUNTBLANK(E1755:K1755) = 6),"3 Delete",IF(ISBLANK(E1755),"2 Add",IF(SHA1Range(E1755:K1755) = "c7c902a2c3d3880da20637bf475862aafa2a44ad","0 Original","1 Modify"))))</f>
        <v>0 Original</v>
      </c>
      <c r="D1755" s="5" t="s">
        <v>3853</v>
      </c>
      <c r="E1755" s="3">
        <v>2325</v>
      </c>
      <c r="F1755" t="s">
        <v>1496</v>
      </c>
      <c r="G1755" t="s">
        <v>891</v>
      </c>
      <c r="H1755" s="9">
        <v>8.99</v>
      </c>
      <c r="I1755" s="3">
        <v>2</v>
      </c>
      <c r="J1755" s="5" t="s">
        <v>68</v>
      </c>
      <c r="K1755" s="15">
        <v>41949.669340277775</v>
      </c>
      <c r="L1755" s="20">
        <f t="shared" si="81"/>
        <v>41949</v>
      </c>
      <c r="M1755" t="str">
        <f t="shared" si="82"/>
        <v>11-2014</v>
      </c>
      <c r="N1755">
        <f t="shared" si="83"/>
        <v>17.98</v>
      </c>
    </row>
    <row r="1756" spans="3:14" x14ac:dyDescent="0.25">
      <c r="C1756" t="str">
        <f>IF(COUNTBLANK(E1756:K1756) = 7,"",IF(AND(NOT(ISBLANK(E1756)),COUNTBLANK(E1756:K1756) = 6),"3 Delete",IF(ISBLANK(E1756),"2 Add",IF(SHA1Range(E1756:K1756) = "509b14521d16fa813a1e63f2e8713e7eb4f92569","0 Original","1 Modify"))))</f>
        <v>0 Original</v>
      </c>
      <c r="D1756" s="5" t="s">
        <v>3854</v>
      </c>
      <c r="E1756" s="3">
        <v>2326</v>
      </c>
      <c r="F1756" t="s">
        <v>1496</v>
      </c>
      <c r="G1756" t="s">
        <v>671</v>
      </c>
      <c r="H1756" s="9">
        <v>6.99</v>
      </c>
      <c r="I1756" s="3">
        <v>1</v>
      </c>
      <c r="J1756" s="5" t="s">
        <v>68</v>
      </c>
      <c r="K1756" s="15">
        <v>41949.669340277775</v>
      </c>
      <c r="L1756" s="20">
        <f t="shared" si="81"/>
        <v>41949</v>
      </c>
      <c r="M1756" t="str">
        <f t="shared" si="82"/>
        <v>11-2014</v>
      </c>
      <c r="N1756">
        <f t="shared" si="83"/>
        <v>6.99</v>
      </c>
    </row>
    <row r="1757" spans="3:14" x14ac:dyDescent="0.25">
      <c r="C1757" t="str">
        <f>IF(COUNTBLANK(E1757:K1757) = 7,"",IF(AND(NOT(ISBLANK(E1757)),COUNTBLANK(E1757:K1757) = 6),"3 Delete",IF(ISBLANK(E1757),"2 Add",IF(SHA1Range(E1757:K1757) = "ef22ccb6240a5e7615deb790f61de802f81a1abc","0 Original","1 Modify"))))</f>
        <v>0 Original</v>
      </c>
      <c r="D1757" s="5" t="s">
        <v>3855</v>
      </c>
      <c r="E1757" s="3">
        <v>1798</v>
      </c>
      <c r="F1757" t="s">
        <v>1497</v>
      </c>
      <c r="G1757" t="s">
        <v>585</v>
      </c>
      <c r="H1757" s="9">
        <v>9.99</v>
      </c>
      <c r="I1757" s="3">
        <v>2</v>
      </c>
      <c r="J1757" s="5" t="s">
        <v>68</v>
      </c>
      <c r="K1757" s="15">
        <v>41949.847175925926</v>
      </c>
      <c r="L1757" s="20">
        <f t="shared" si="81"/>
        <v>41949</v>
      </c>
      <c r="M1757" t="str">
        <f t="shared" si="82"/>
        <v>11-2014</v>
      </c>
      <c r="N1757">
        <f t="shared" si="83"/>
        <v>19.98</v>
      </c>
    </row>
    <row r="1758" spans="3:14" x14ac:dyDescent="0.25">
      <c r="C1758" t="str">
        <f>IF(COUNTBLANK(E1758:K1758) = 7,"",IF(AND(NOT(ISBLANK(E1758)),COUNTBLANK(E1758:K1758) = 6),"3 Delete",IF(ISBLANK(E1758),"2 Add",IF(SHA1Range(E1758:K1758) = "810dbb9d404e47df9072d76ab73e3f5f1e73a26e","0 Original","1 Modify"))))</f>
        <v>0 Original</v>
      </c>
      <c r="D1758" s="5" t="s">
        <v>3856</v>
      </c>
      <c r="E1758" s="3">
        <v>1799</v>
      </c>
      <c r="F1758" t="s">
        <v>1497</v>
      </c>
      <c r="G1758" t="s">
        <v>654</v>
      </c>
      <c r="H1758" s="9">
        <v>5.99</v>
      </c>
      <c r="I1758" s="3">
        <v>2</v>
      </c>
      <c r="J1758" s="5" t="s">
        <v>68</v>
      </c>
      <c r="K1758" s="15">
        <v>41949.847175925926</v>
      </c>
      <c r="L1758" s="20">
        <f t="shared" si="81"/>
        <v>41949</v>
      </c>
      <c r="M1758" t="str">
        <f t="shared" si="82"/>
        <v>11-2014</v>
      </c>
      <c r="N1758">
        <f t="shared" si="83"/>
        <v>11.98</v>
      </c>
    </row>
    <row r="1759" spans="3:14" x14ac:dyDescent="0.25">
      <c r="C1759" t="str">
        <f>IF(COUNTBLANK(E1759:K1759) = 7,"",IF(AND(NOT(ISBLANK(E1759)),COUNTBLANK(E1759:K1759) = 6),"3 Delete",IF(ISBLANK(E1759),"2 Add",IF(SHA1Range(E1759:K1759) = "c9cfc947dbdc79ad5d125aa83516df290b37c445","0 Original","1 Modify"))))</f>
        <v>0 Original</v>
      </c>
      <c r="D1759" s="5" t="s">
        <v>3857</v>
      </c>
      <c r="E1759" s="3">
        <v>3434</v>
      </c>
      <c r="F1759" t="s">
        <v>1498</v>
      </c>
      <c r="G1759" t="s">
        <v>514</v>
      </c>
      <c r="H1759" s="9">
        <v>6.99</v>
      </c>
      <c r="I1759" s="3">
        <v>2</v>
      </c>
      <c r="J1759" s="5" t="s">
        <v>68</v>
      </c>
      <c r="K1759" s="15">
        <v>41950.126493055555</v>
      </c>
      <c r="L1759" s="20">
        <f t="shared" si="81"/>
        <v>41950</v>
      </c>
      <c r="M1759" t="str">
        <f t="shared" si="82"/>
        <v>11-2014</v>
      </c>
      <c r="N1759">
        <f t="shared" si="83"/>
        <v>13.98</v>
      </c>
    </row>
    <row r="1760" spans="3:14" x14ac:dyDescent="0.25">
      <c r="C1760" t="str">
        <f>IF(COUNTBLANK(E1760:K1760) = 7,"",IF(AND(NOT(ISBLANK(E1760)),COUNTBLANK(E1760:K1760) = 6),"3 Delete",IF(ISBLANK(E1760),"2 Add",IF(SHA1Range(E1760:K1760) = "b732cf08e2f4ee1aa92bda8a912d63a767c609c0","0 Original","1 Modify"))))</f>
        <v>0 Original</v>
      </c>
      <c r="D1760" s="5" t="s">
        <v>3858</v>
      </c>
      <c r="E1760" s="3">
        <v>3435</v>
      </c>
      <c r="F1760" t="s">
        <v>1498</v>
      </c>
      <c r="G1760" t="s">
        <v>579</v>
      </c>
      <c r="H1760" s="9">
        <v>9.99</v>
      </c>
      <c r="I1760" s="3">
        <v>1</v>
      </c>
      <c r="J1760" s="5" t="s">
        <v>68</v>
      </c>
      <c r="K1760" s="15">
        <v>41950.126493055555</v>
      </c>
      <c r="L1760" s="20">
        <f t="shared" si="81"/>
        <v>41950</v>
      </c>
      <c r="M1760" t="str">
        <f t="shared" si="82"/>
        <v>11-2014</v>
      </c>
      <c r="N1760">
        <f t="shared" si="83"/>
        <v>9.99</v>
      </c>
    </row>
    <row r="1761" spans="3:14" x14ac:dyDescent="0.25">
      <c r="C1761" t="str">
        <f>IF(COUNTBLANK(E1761:K1761) = 7,"",IF(AND(NOT(ISBLANK(E1761)),COUNTBLANK(E1761:K1761) = 6),"3 Delete",IF(ISBLANK(E1761),"2 Add",IF(SHA1Range(E1761:K1761) = "2dff9e5e29a1ffb92947d3fac1ea8d5f27c5eff1","0 Original","1 Modify"))))</f>
        <v>0 Original</v>
      </c>
      <c r="D1761" s="5" t="s">
        <v>3859</v>
      </c>
      <c r="E1761" s="3">
        <v>1862</v>
      </c>
      <c r="F1761" t="s">
        <v>1499</v>
      </c>
      <c r="G1761" t="s">
        <v>563</v>
      </c>
      <c r="H1761" s="9">
        <v>6.99</v>
      </c>
      <c r="I1761" s="3">
        <v>1</v>
      </c>
      <c r="J1761" s="5" t="s">
        <v>68</v>
      </c>
      <c r="K1761" s="15">
        <v>41950.369027777779</v>
      </c>
      <c r="L1761" s="20">
        <f t="shared" si="81"/>
        <v>41950</v>
      </c>
      <c r="M1761" t="str">
        <f t="shared" si="82"/>
        <v>11-2014</v>
      </c>
      <c r="N1761">
        <f t="shared" si="83"/>
        <v>6.99</v>
      </c>
    </row>
    <row r="1762" spans="3:14" x14ac:dyDescent="0.25">
      <c r="C1762" t="str">
        <f>IF(COUNTBLANK(E1762:K1762) = 7,"",IF(AND(NOT(ISBLANK(E1762)),COUNTBLANK(E1762:K1762) = 6),"3 Delete",IF(ISBLANK(E1762),"2 Add",IF(SHA1Range(E1762:K1762) = "1f4830a34a6be79cf221d002a13fe96aef5d28ef","0 Original","1 Modify"))))</f>
        <v>0 Original</v>
      </c>
      <c r="D1762" s="5" t="s">
        <v>3860</v>
      </c>
      <c r="E1762" s="3">
        <v>1863</v>
      </c>
      <c r="F1762" t="s">
        <v>1499</v>
      </c>
      <c r="G1762" t="s">
        <v>642</v>
      </c>
      <c r="H1762" s="9">
        <v>9.99</v>
      </c>
      <c r="I1762" s="3">
        <v>2</v>
      </c>
      <c r="J1762" s="5" t="s">
        <v>68</v>
      </c>
      <c r="K1762" s="15">
        <v>41950.369027777779</v>
      </c>
      <c r="L1762" s="20">
        <f t="shared" si="81"/>
        <v>41950</v>
      </c>
      <c r="M1762" t="str">
        <f t="shared" si="82"/>
        <v>11-2014</v>
      </c>
      <c r="N1762">
        <f t="shared" si="83"/>
        <v>19.98</v>
      </c>
    </row>
    <row r="1763" spans="3:14" x14ac:dyDescent="0.25">
      <c r="C1763" t="str">
        <f>IF(COUNTBLANK(E1763:K1763) = 7,"",IF(AND(NOT(ISBLANK(E1763)),COUNTBLANK(E1763:K1763) = 6),"3 Delete",IF(ISBLANK(E1763),"2 Add",IF(SHA1Range(E1763:K1763) = "d00849ddcf65a4f2327a77b8066a08226173fc32","0 Original","1 Modify"))))</f>
        <v>0 Original</v>
      </c>
      <c r="D1763" s="5" t="s">
        <v>3861</v>
      </c>
      <c r="E1763" s="3">
        <v>1864</v>
      </c>
      <c r="F1763" t="s">
        <v>1499</v>
      </c>
      <c r="G1763" t="s">
        <v>761</v>
      </c>
      <c r="H1763" s="9">
        <v>8.99</v>
      </c>
      <c r="I1763" s="3">
        <v>1</v>
      </c>
      <c r="J1763" s="5" t="s">
        <v>68</v>
      </c>
      <c r="K1763" s="15">
        <v>41950.369027777779</v>
      </c>
      <c r="L1763" s="20">
        <f t="shared" si="81"/>
        <v>41950</v>
      </c>
      <c r="M1763" t="str">
        <f t="shared" si="82"/>
        <v>11-2014</v>
      </c>
      <c r="N1763">
        <f t="shared" si="83"/>
        <v>8.99</v>
      </c>
    </row>
    <row r="1764" spans="3:14" x14ac:dyDescent="0.25">
      <c r="C1764" t="str">
        <f>IF(COUNTBLANK(E1764:K1764) = 7,"",IF(AND(NOT(ISBLANK(E1764)),COUNTBLANK(E1764:K1764) = 6),"3 Delete",IF(ISBLANK(E1764),"2 Add",IF(SHA1Range(E1764:K1764) = "f519b3b4c01df42617c61be08580b148da3cd243","0 Original","1 Modify"))))</f>
        <v>0 Original</v>
      </c>
      <c r="D1764" s="5" t="s">
        <v>3862</v>
      </c>
      <c r="E1764" s="3">
        <v>3289</v>
      </c>
      <c r="F1764" t="s">
        <v>1500</v>
      </c>
      <c r="G1764" t="s">
        <v>948</v>
      </c>
      <c r="H1764" s="9">
        <v>4.99</v>
      </c>
      <c r="I1764" s="3">
        <v>1</v>
      </c>
      <c r="J1764" s="5" t="s">
        <v>68</v>
      </c>
      <c r="K1764" s="15">
        <v>41951.300416666665</v>
      </c>
      <c r="L1764" s="20">
        <f t="shared" si="81"/>
        <v>41951</v>
      </c>
      <c r="M1764" t="str">
        <f t="shared" si="82"/>
        <v>11-2014</v>
      </c>
      <c r="N1764">
        <f t="shared" si="83"/>
        <v>4.99</v>
      </c>
    </row>
    <row r="1765" spans="3:14" x14ac:dyDescent="0.25">
      <c r="C1765" t="str">
        <f>IF(COUNTBLANK(E1765:K1765) = 7,"",IF(AND(NOT(ISBLANK(E1765)),COUNTBLANK(E1765:K1765) = 6),"3 Delete",IF(ISBLANK(E1765),"2 Add",IF(SHA1Range(E1765:K1765) = "b0e117a528bdb7889b4688033e5d0b2791017023","0 Original","1 Modify"))))</f>
        <v>0 Original</v>
      </c>
      <c r="D1765" s="5" t="s">
        <v>3863</v>
      </c>
      <c r="E1765" s="3">
        <v>3290</v>
      </c>
      <c r="F1765" t="s">
        <v>1500</v>
      </c>
      <c r="G1765" t="s">
        <v>400</v>
      </c>
      <c r="H1765" s="9">
        <v>4.99</v>
      </c>
      <c r="I1765" s="3">
        <v>1</v>
      </c>
      <c r="J1765" s="5" t="s">
        <v>68</v>
      </c>
      <c r="K1765" s="15">
        <v>41951.300416666665</v>
      </c>
      <c r="L1765" s="20">
        <f t="shared" si="81"/>
        <v>41951</v>
      </c>
      <c r="M1765" t="str">
        <f t="shared" si="82"/>
        <v>11-2014</v>
      </c>
      <c r="N1765">
        <f t="shared" si="83"/>
        <v>4.99</v>
      </c>
    </row>
    <row r="1766" spans="3:14" x14ac:dyDescent="0.25">
      <c r="C1766" t="str">
        <f>IF(COUNTBLANK(E1766:K1766) = 7,"",IF(AND(NOT(ISBLANK(E1766)),COUNTBLANK(E1766:K1766) = 6),"3 Delete",IF(ISBLANK(E1766),"2 Add",IF(SHA1Range(E1766:K1766) = "17c0a65492c7ae3dad36ad073c712ea905c59bad","0 Original","1 Modify"))))</f>
        <v>0 Original</v>
      </c>
      <c r="D1766" s="5" t="s">
        <v>3864</v>
      </c>
      <c r="E1766" s="3">
        <v>3291</v>
      </c>
      <c r="F1766" t="s">
        <v>1500</v>
      </c>
      <c r="G1766" t="s">
        <v>642</v>
      </c>
      <c r="H1766" s="9">
        <v>9.99</v>
      </c>
      <c r="I1766" s="3">
        <v>1</v>
      </c>
      <c r="J1766" s="5" t="s">
        <v>68</v>
      </c>
      <c r="K1766" s="15">
        <v>41951.300416666665</v>
      </c>
      <c r="L1766" s="20">
        <f t="shared" si="81"/>
        <v>41951</v>
      </c>
      <c r="M1766" t="str">
        <f t="shared" si="82"/>
        <v>11-2014</v>
      </c>
      <c r="N1766">
        <f t="shared" si="83"/>
        <v>9.99</v>
      </c>
    </row>
    <row r="1767" spans="3:14" x14ac:dyDescent="0.25">
      <c r="C1767" t="str">
        <f>IF(COUNTBLANK(E1767:K1767) = 7,"",IF(AND(NOT(ISBLANK(E1767)),COUNTBLANK(E1767:K1767) = 6),"3 Delete",IF(ISBLANK(E1767),"2 Add",IF(SHA1Range(E1767:K1767) = "4384081b8712f4d5f2847c29ac8bf1b3706cedbb","0 Original","1 Modify"))))</f>
        <v>0 Original</v>
      </c>
      <c r="D1767" s="5" t="s">
        <v>3865</v>
      </c>
      <c r="E1767" s="3">
        <v>3292</v>
      </c>
      <c r="F1767" t="s">
        <v>1500</v>
      </c>
      <c r="G1767" t="s">
        <v>579</v>
      </c>
      <c r="H1767" s="9">
        <v>9.99</v>
      </c>
      <c r="I1767" s="3">
        <v>2</v>
      </c>
      <c r="J1767" s="5" t="s">
        <v>68</v>
      </c>
      <c r="K1767" s="15">
        <v>41951.300416666665</v>
      </c>
      <c r="L1767" s="20">
        <f t="shared" si="81"/>
        <v>41951</v>
      </c>
      <c r="M1767" t="str">
        <f t="shared" si="82"/>
        <v>11-2014</v>
      </c>
      <c r="N1767">
        <f t="shared" si="83"/>
        <v>19.98</v>
      </c>
    </row>
    <row r="1768" spans="3:14" x14ac:dyDescent="0.25">
      <c r="C1768" t="str">
        <f>IF(COUNTBLANK(E1768:K1768) = 7,"",IF(AND(NOT(ISBLANK(E1768)),COUNTBLANK(E1768:K1768) = 6),"3 Delete",IF(ISBLANK(E1768),"2 Add",IF(SHA1Range(E1768:K1768) = "b4236d9c1b48e6d5c3a9ac18e5c468fb1752fae7","0 Original","1 Modify"))))</f>
        <v>0 Original</v>
      </c>
      <c r="D1768" s="5" t="s">
        <v>3866</v>
      </c>
      <c r="E1768" s="3">
        <v>3152</v>
      </c>
      <c r="F1768" t="s">
        <v>1501</v>
      </c>
      <c r="G1768" t="s">
        <v>552</v>
      </c>
      <c r="H1768" s="9">
        <v>6.99</v>
      </c>
      <c r="I1768" s="3">
        <v>1</v>
      </c>
      <c r="J1768" s="5" t="s">
        <v>68</v>
      </c>
      <c r="K1768" s="15">
        <v>41953.866296296299</v>
      </c>
      <c r="L1768" s="20">
        <f t="shared" si="81"/>
        <v>41953</v>
      </c>
      <c r="M1768" t="str">
        <f t="shared" si="82"/>
        <v>11-2014</v>
      </c>
      <c r="N1768">
        <f t="shared" si="83"/>
        <v>6.99</v>
      </c>
    </row>
    <row r="1769" spans="3:14" x14ac:dyDescent="0.25">
      <c r="C1769" t="str">
        <f>IF(COUNTBLANK(E1769:K1769) = 7,"",IF(AND(NOT(ISBLANK(E1769)),COUNTBLANK(E1769:K1769) = 6),"3 Delete",IF(ISBLANK(E1769),"2 Add",IF(SHA1Range(E1769:K1769) = "97cef78f71d6869150b39c43613615a7087eaf03","0 Original","1 Modify"))))</f>
        <v>0 Original</v>
      </c>
      <c r="D1769" s="5" t="s">
        <v>3867</v>
      </c>
      <c r="E1769" s="3">
        <v>3153</v>
      </c>
      <c r="F1769" t="s">
        <v>1501</v>
      </c>
      <c r="G1769" t="s">
        <v>373</v>
      </c>
      <c r="H1769" s="9">
        <v>7.99</v>
      </c>
      <c r="I1769" s="3">
        <v>2</v>
      </c>
      <c r="J1769" s="5" t="s">
        <v>68</v>
      </c>
      <c r="K1769" s="15">
        <v>41953.866296296299</v>
      </c>
      <c r="L1769" s="20">
        <f t="shared" si="81"/>
        <v>41953</v>
      </c>
      <c r="M1769" t="str">
        <f t="shared" si="82"/>
        <v>11-2014</v>
      </c>
      <c r="N1769">
        <f t="shared" si="83"/>
        <v>15.98</v>
      </c>
    </row>
    <row r="1770" spans="3:14" x14ac:dyDescent="0.25">
      <c r="C1770" t="str">
        <f>IF(COUNTBLANK(E1770:K1770) = 7,"",IF(AND(NOT(ISBLANK(E1770)),COUNTBLANK(E1770:K1770) = 6),"3 Delete",IF(ISBLANK(E1770),"2 Add",IF(SHA1Range(E1770:K1770) = "6ce12af76b5049abd8872746c4c5a686f2ef127f","0 Original","1 Modify"))))</f>
        <v>0 Original</v>
      </c>
      <c r="D1770" s="5" t="s">
        <v>3868</v>
      </c>
      <c r="E1770" s="3">
        <v>3154</v>
      </c>
      <c r="F1770" t="s">
        <v>1501</v>
      </c>
      <c r="G1770" t="s">
        <v>579</v>
      </c>
      <c r="H1770" s="9">
        <v>9.99</v>
      </c>
      <c r="I1770" s="3">
        <v>1</v>
      </c>
      <c r="J1770" s="5" t="s">
        <v>68</v>
      </c>
      <c r="K1770" s="15">
        <v>41953.866296296299</v>
      </c>
      <c r="L1770" s="20">
        <f t="shared" si="81"/>
        <v>41953</v>
      </c>
      <c r="M1770" t="str">
        <f t="shared" si="82"/>
        <v>11-2014</v>
      </c>
      <c r="N1770">
        <f t="shared" si="83"/>
        <v>9.99</v>
      </c>
    </row>
    <row r="1771" spans="3:14" x14ac:dyDescent="0.25">
      <c r="C1771" t="str">
        <f>IF(COUNTBLANK(E1771:K1771) = 7,"",IF(AND(NOT(ISBLANK(E1771)),COUNTBLANK(E1771:K1771) = 6),"3 Delete",IF(ISBLANK(E1771),"2 Add",IF(SHA1Range(E1771:K1771) = "a1e07476d43ad6b86961a82fd6e6d366e802bef5","0 Original","1 Modify"))))</f>
        <v>0 Original</v>
      </c>
      <c r="D1771" s="5" t="s">
        <v>3869</v>
      </c>
      <c r="E1771" s="3">
        <v>3155</v>
      </c>
      <c r="F1771" t="s">
        <v>1501</v>
      </c>
      <c r="G1771" t="s">
        <v>373</v>
      </c>
      <c r="H1771" s="9">
        <v>7.99</v>
      </c>
      <c r="I1771" s="3">
        <v>1</v>
      </c>
      <c r="J1771" s="5" t="s">
        <v>68</v>
      </c>
      <c r="K1771" s="15">
        <v>41953.866296296299</v>
      </c>
      <c r="L1771" s="20">
        <f t="shared" si="81"/>
        <v>41953</v>
      </c>
      <c r="M1771" t="str">
        <f t="shared" si="82"/>
        <v>11-2014</v>
      </c>
      <c r="N1771">
        <f t="shared" si="83"/>
        <v>7.99</v>
      </c>
    </row>
    <row r="1772" spans="3:14" x14ac:dyDescent="0.25">
      <c r="C1772" t="str">
        <f>IF(COUNTBLANK(E1772:K1772) = 7,"",IF(AND(NOT(ISBLANK(E1772)),COUNTBLANK(E1772:K1772) = 6),"3 Delete",IF(ISBLANK(E1772),"2 Add",IF(SHA1Range(E1772:K1772) = "8ec48fec089a122018000acdc51380a7d72df50b","0 Original","1 Modify"))))</f>
        <v>0 Original</v>
      </c>
      <c r="D1772" s="5" t="s">
        <v>3870</v>
      </c>
      <c r="E1772" s="3">
        <v>3156</v>
      </c>
      <c r="F1772" t="s">
        <v>1501</v>
      </c>
      <c r="G1772" t="s">
        <v>707</v>
      </c>
      <c r="H1772" s="9">
        <v>7.99</v>
      </c>
      <c r="I1772" s="3">
        <v>2</v>
      </c>
      <c r="J1772" s="5" t="s">
        <v>68</v>
      </c>
      <c r="K1772" s="15">
        <v>41953.866296296299</v>
      </c>
      <c r="L1772" s="20">
        <f t="shared" si="81"/>
        <v>41953</v>
      </c>
      <c r="M1772" t="str">
        <f t="shared" si="82"/>
        <v>11-2014</v>
      </c>
      <c r="N1772">
        <f t="shared" si="83"/>
        <v>15.98</v>
      </c>
    </row>
    <row r="1773" spans="3:14" x14ac:dyDescent="0.25">
      <c r="C1773" t="str">
        <f>IF(COUNTBLANK(E1773:K1773) = 7,"",IF(AND(NOT(ISBLANK(E1773)),COUNTBLANK(E1773:K1773) = 6),"3 Delete",IF(ISBLANK(E1773),"2 Add",IF(SHA1Range(E1773:K1773) = "a42c894decc3a5d2bf19a3e2325efd3c525989f6","0 Original","1 Modify"))))</f>
        <v>0 Original</v>
      </c>
      <c r="D1773" s="5" t="s">
        <v>4333</v>
      </c>
      <c r="E1773" s="3">
        <v>147</v>
      </c>
      <c r="F1773" t="s">
        <v>1502</v>
      </c>
      <c r="G1773" t="s">
        <v>715</v>
      </c>
      <c r="H1773" s="9">
        <v>8.99</v>
      </c>
      <c r="I1773" s="3">
        <v>1</v>
      </c>
      <c r="J1773" s="5" t="s">
        <v>68</v>
      </c>
      <c r="K1773" s="15">
        <v>41954.814131944448</v>
      </c>
      <c r="L1773" s="20">
        <f t="shared" si="81"/>
        <v>41954</v>
      </c>
      <c r="M1773" t="str">
        <f t="shared" si="82"/>
        <v>11-2014</v>
      </c>
      <c r="N1773">
        <f t="shared" si="83"/>
        <v>8.99</v>
      </c>
    </row>
    <row r="1774" spans="3:14" x14ac:dyDescent="0.25">
      <c r="C1774" t="str">
        <f>IF(COUNTBLANK(E1774:K1774) = 7,"",IF(AND(NOT(ISBLANK(E1774)),COUNTBLANK(E1774:K1774) = 6),"3 Delete",IF(ISBLANK(E1774),"2 Add",IF(SHA1Range(E1774:K1774) = "9eba284e04316e2f12f43b4b0675639f1a050119","0 Original","1 Modify"))))</f>
        <v>0 Original</v>
      </c>
      <c r="D1774" s="5" t="s">
        <v>4334</v>
      </c>
      <c r="E1774" s="3">
        <v>148</v>
      </c>
      <c r="F1774" t="s">
        <v>1502</v>
      </c>
      <c r="G1774" t="s">
        <v>693</v>
      </c>
      <c r="H1774" s="9">
        <v>7.99</v>
      </c>
      <c r="I1774" s="3">
        <v>1</v>
      </c>
      <c r="J1774" s="5" t="s">
        <v>68</v>
      </c>
      <c r="K1774" s="15">
        <v>41954.814131944448</v>
      </c>
      <c r="L1774" s="20">
        <f t="shared" si="81"/>
        <v>41954</v>
      </c>
      <c r="M1774" t="str">
        <f t="shared" si="82"/>
        <v>11-2014</v>
      </c>
      <c r="N1774">
        <f t="shared" si="83"/>
        <v>7.99</v>
      </c>
    </row>
    <row r="1775" spans="3:14" x14ac:dyDescent="0.25">
      <c r="C1775" t="str">
        <f>IF(COUNTBLANK(E1775:K1775) = 7,"",IF(AND(NOT(ISBLANK(E1775)),COUNTBLANK(E1775:K1775) = 6),"3 Delete",IF(ISBLANK(E1775),"2 Add",IF(SHA1Range(E1775:K1775) = "e7e19acb9d032e74df82ba29f2758817c63624b9","0 Original","1 Modify"))))</f>
        <v>0 Original</v>
      </c>
      <c r="D1775" s="5" t="s">
        <v>4335</v>
      </c>
      <c r="E1775" s="3">
        <v>149</v>
      </c>
      <c r="F1775" t="s">
        <v>1502</v>
      </c>
      <c r="G1775" t="s">
        <v>521</v>
      </c>
      <c r="H1775" s="9">
        <v>7.99</v>
      </c>
      <c r="I1775" s="3">
        <v>1</v>
      </c>
      <c r="J1775" s="5" t="s">
        <v>68</v>
      </c>
      <c r="K1775" s="15">
        <v>41954.814131944448</v>
      </c>
      <c r="L1775" s="20">
        <f t="shared" si="81"/>
        <v>41954</v>
      </c>
      <c r="M1775" t="str">
        <f t="shared" si="82"/>
        <v>11-2014</v>
      </c>
      <c r="N1775">
        <f t="shared" si="83"/>
        <v>7.99</v>
      </c>
    </row>
    <row r="1776" spans="3:14" x14ac:dyDescent="0.25">
      <c r="C1776" t="str">
        <f>IF(COUNTBLANK(E1776:K1776) = 7,"",IF(AND(NOT(ISBLANK(E1776)),COUNTBLANK(E1776:K1776) = 6),"3 Delete",IF(ISBLANK(E1776),"2 Add",IF(SHA1Range(E1776:K1776) = "13c37eb917403baf2f770244d430e7be7af5dd42","0 Original","1 Modify"))))</f>
        <v>0 Original</v>
      </c>
      <c r="D1776" s="5" t="s">
        <v>3871</v>
      </c>
      <c r="E1776" s="3">
        <v>150</v>
      </c>
      <c r="F1776" t="s">
        <v>1502</v>
      </c>
      <c r="G1776" t="s">
        <v>532</v>
      </c>
      <c r="H1776" s="9">
        <v>9.99</v>
      </c>
      <c r="I1776" s="3">
        <v>1</v>
      </c>
      <c r="J1776" s="5" t="s">
        <v>68</v>
      </c>
      <c r="K1776" s="15">
        <v>41954.814131944448</v>
      </c>
      <c r="L1776" s="20">
        <f t="shared" si="81"/>
        <v>41954</v>
      </c>
      <c r="M1776" t="str">
        <f t="shared" si="82"/>
        <v>11-2014</v>
      </c>
      <c r="N1776">
        <f t="shared" si="83"/>
        <v>9.99</v>
      </c>
    </row>
    <row r="1777" spans="3:14" x14ac:dyDescent="0.25">
      <c r="C1777" t="str">
        <f>IF(COUNTBLANK(E1777:K1777) = 7,"",IF(AND(NOT(ISBLANK(E1777)),COUNTBLANK(E1777:K1777) = 6),"3 Delete",IF(ISBLANK(E1777),"2 Add",IF(SHA1Range(E1777:K1777) = "5e90b2ff0a737899ccedb7443ca722fd91ff4686","0 Original","1 Modify"))))</f>
        <v>0 Original</v>
      </c>
      <c r="D1777" s="5" t="s">
        <v>4336</v>
      </c>
      <c r="E1777" s="3">
        <v>151</v>
      </c>
      <c r="F1777" t="s">
        <v>1502</v>
      </c>
      <c r="G1777" t="s">
        <v>764</v>
      </c>
      <c r="H1777" s="9">
        <v>9.99</v>
      </c>
      <c r="I1777" s="3">
        <v>1</v>
      </c>
      <c r="J1777" s="5" t="s">
        <v>68</v>
      </c>
      <c r="K1777" s="15">
        <v>41954.814131944448</v>
      </c>
      <c r="L1777" s="20">
        <f t="shared" si="81"/>
        <v>41954</v>
      </c>
      <c r="M1777" t="str">
        <f t="shared" si="82"/>
        <v>11-2014</v>
      </c>
      <c r="N1777">
        <f t="shared" si="83"/>
        <v>9.99</v>
      </c>
    </row>
    <row r="1778" spans="3:14" x14ac:dyDescent="0.25">
      <c r="C1778" t="str">
        <f>IF(COUNTBLANK(E1778:K1778) = 7,"",IF(AND(NOT(ISBLANK(E1778)),COUNTBLANK(E1778:K1778) = 6),"3 Delete",IF(ISBLANK(E1778),"2 Add",IF(SHA1Range(E1778:K1778) = "f0a01c158734ed3d26e7eae37bcdf3d0d8c17709","0 Original","1 Modify"))))</f>
        <v>0 Original</v>
      </c>
      <c r="D1778" s="5" t="s">
        <v>4337</v>
      </c>
      <c r="E1778" s="3">
        <v>152</v>
      </c>
      <c r="F1778" t="s">
        <v>1502</v>
      </c>
      <c r="G1778" t="s">
        <v>861</v>
      </c>
      <c r="H1778" s="9">
        <v>8.99</v>
      </c>
      <c r="I1778" s="3">
        <v>1</v>
      </c>
      <c r="J1778" s="5" t="s">
        <v>68</v>
      </c>
      <c r="K1778" s="15">
        <v>41954.814131944448</v>
      </c>
      <c r="L1778" s="20">
        <f t="shared" si="81"/>
        <v>41954</v>
      </c>
      <c r="M1778" t="str">
        <f t="shared" si="82"/>
        <v>11-2014</v>
      </c>
      <c r="N1778">
        <f t="shared" si="83"/>
        <v>8.99</v>
      </c>
    </row>
    <row r="1779" spans="3:14" x14ac:dyDescent="0.25">
      <c r="C1779" t="str">
        <f>IF(COUNTBLANK(E1779:K1779) = 7,"",IF(AND(NOT(ISBLANK(E1779)),COUNTBLANK(E1779:K1779) = 6),"3 Delete",IF(ISBLANK(E1779),"2 Add",IF(SHA1Range(E1779:K1779) = "09de8ada38e7816329cee46f4e698cf445b22863","0 Original","1 Modify"))))</f>
        <v>0 Original</v>
      </c>
      <c r="D1779" s="5" t="s">
        <v>3872</v>
      </c>
      <c r="E1779" s="3">
        <v>1637</v>
      </c>
      <c r="F1779" t="s">
        <v>1503</v>
      </c>
      <c r="G1779" t="s">
        <v>588</v>
      </c>
      <c r="H1779" s="9">
        <v>4.99</v>
      </c>
      <c r="I1779" s="3">
        <v>1</v>
      </c>
      <c r="J1779" s="5" t="s">
        <v>68</v>
      </c>
      <c r="K1779" s="15">
        <v>41957.530231481483</v>
      </c>
      <c r="L1779" s="20">
        <f t="shared" si="81"/>
        <v>41957</v>
      </c>
      <c r="M1779" t="str">
        <f t="shared" si="82"/>
        <v>11-2014</v>
      </c>
      <c r="N1779">
        <f t="shared" si="83"/>
        <v>4.99</v>
      </c>
    </row>
    <row r="1780" spans="3:14" x14ac:dyDescent="0.25">
      <c r="C1780" t="str">
        <f>IF(COUNTBLANK(E1780:K1780) = 7,"",IF(AND(NOT(ISBLANK(E1780)),COUNTBLANK(E1780:K1780) = 6),"3 Delete",IF(ISBLANK(E1780),"2 Add",IF(SHA1Range(E1780:K1780) = "5cfb834055e04857aafbeb14b82425d0d0b52beb","0 Original","1 Modify"))))</f>
        <v>0 Original</v>
      </c>
      <c r="D1780" s="5" t="s">
        <v>3873</v>
      </c>
      <c r="E1780" s="3">
        <v>1638</v>
      </c>
      <c r="F1780" t="s">
        <v>1503</v>
      </c>
      <c r="G1780" t="s">
        <v>588</v>
      </c>
      <c r="H1780" s="9">
        <v>4.99</v>
      </c>
      <c r="I1780" s="3">
        <v>1</v>
      </c>
      <c r="J1780" s="5" t="s">
        <v>68</v>
      </c>
      <c r="K1780" s="15">
        <v>41957.530231481483</v>
      </c>
      <c r="L1780" s="20">
        <f t="shared" si="81"/>
        <v>41957</v>
      </c>
      <c r="M1780" t="str">
        <f t="shared" si="82"/>
        <v>11-2014</v>
      </c>
      <c r="N1780">
        <f t="shared" si="83"/>
        <v>4.99</v>
      </c>
    </row>
    <row r="1781" spans="3:14" x14ac:dyDescent="0.25">
      <c r="C1781" t="str">
        <f>IF(COUNTBLANK(E1781:K1781) = 7,"",IF(AND(NOT(ISBLANK(E1781)),COUNTBLANK(E1781:K1781) = 6),"3 Delete",IF(ISBLANK(E1781),"2 Add",IF(SHA1Range(E1781:K1781) = "569d6f90f74b013a3dbf0c5024babcd7f740f3e9","0 Original","1 Modify"))))</f>
        <v>0 Original</v>
      </c>
      <c r="D1781" s="5" t="s">
        <v>3874</v>
      </c>
      <c r="E1781" s="3">
        <v>1639</v>
      </c>
      <c r="F1781" t="s">
        <v>1503</v>
      </c>
      <c r="G1781" t="s">
        <v>588</v>
      </c>
      <c r="H1781" s="9">
        <v>4.99</v>
      </c>
      <c r="I1781" s="3">
        <v>2</v>
      </c>
      <c r="J1781" s="5" t="s">
        <v>68</v>
      </c>
      <c r="K1781" s="15">
        <v>41957.530231481483</v>
      </c>
      <c r="L1781" s="20">
        <f t="shared" si="81"/>
        <v>41957</v>
      </c>
      <c r="M1781" t="str">
        <f t="shared" si="82"/>
        <v>11-2014</v>
      </c>
      <c r="N1781">
        <f t="shared" si="83"/>
        <v>9.98</v>
      </c>
    </row>
    <row r="1782" spans="3:14" x14ac:dyDescent="0.25">
      <c r="C1782" t="str">
        <f>IF(COUNTBLANK(E1782:K1782) = 7,"",IF(AND(NOT(ISBLANK(E1782)),COUNTBLANK(E1782:K1782) = 6),"3 Delete",IF(ISBLANK(E1782),"2 Add",IF(SHA1Range(E1782:K1782) = "e5866ce034c5552c1e7e63ab3caf3176361ff331","0 Original","1 Modify"))))</f>
        <v>0 Original</v>
      </c>
      <c r="D1782" s="5" t="s">
        <v>3875</v>
      </c>
      <c r="E1782" s="3">
        <v>1640</v>
      </c>
      <c r="F1782" t="s">
        <v>1503</v>
      </c>
      <c r="G1782" t="s">
        <v>697</v>
      </c>
      <c r="H1782" s="9">
        <v>5.99</v>
      </c>
      <c r="I1782" s="3">
        <v>2</v>
      </c>
      <c r="J1782" s="5" t="s">
        <v>68</v>
      </c>
      <c r="K1782" s="15">
        <v>41957.530231481483</v>
      </c>
      <c r="L1782" s="20">
        <f t="shared" si="81"/>
        <v>41957</v>
      </c>
      <c r="M1782" t="str">
        <f t="shared" si="82"/>
        <v>11-2014</v>
      </c>
      <c r="N1782">
        <f t="shared" si="83"/>
        <v>11.98</v>
      </c>
    </row>
    <row r="1783" spans="3:14" x14ac:dyDescent="0.25">
      <c r="C1783" t="str">
        <f>IF(COUNTBLANK(E1783:K1783) = 7,"",IF(AND(NOT(ISBLANK(E1783)),COUNTBLANK(E1783:K1783) = 6),"3 Delete",IF(ISBLANK(E1783),"2 Add",IF(SHA1Range(E1783:K1783) = "b7fadffb863f913e60f74628a4fae1808f544575","0 Original","1 Modify"))))</f>
        <v>0 Original</v>
      </c>
      <c r="D1783" s="5" t="s">
        <v>3876</v>
      </c>
      <c r="E1783" s="3">
        <v>2272</v>
      </c>
      <c r="F1783" t="s">
        <v>1504</v>
      </c>
      <c r="G1783" t="s">
        <v>842</v>
      </c>
      <c r="H1783" s="9">
        <v>4.99</v>
      </c>
      <c r="I1783" s="3">
        <v>1</v>
      </c>
      <c r="J1783" s="5" t="s">
        <v>68</v>
      </c>
      <c r="K1783" s="15">
        <v>41959.464814814812</v>
      </c>
      <c r="L1783" s="20">
        <f t="shared" si="81"/>
        <v>41959</v>
      </c>
      <c r="M1783" t="str">
        <f t="shared" si="82"/>
        <v>11-2014</v>
      </c>
      <c r="N1783">
        <f t="shared" si="83"/>
        <v>4.99</v>
      </c>
    </row>
    <row r="1784" spans="3:14" x14ac:dyDescent="0.25">
      <c r="C1784" t="str">
        <f>IF(COUNTBLANK(E1784:K1784) = 7,"",IF(AND(NOT(ISBLANK(E1784)),COUNTBLANK(E1784:K1784) = 6),"3 Delete",IF(ISBLANK(E1784),"2 Add",IF(SHA1Range(E1784:K1784) = "3a70b1f1f4a3d6f767778cf63a748cf20e23f958","0 Original","1 Modify"))))</f>
        <v>0 Original</v>
      </c>
      <c r="D1784" s="5" t="s">
        <v>3877</v>
      </c>
      <c r="E1784" s="3">
        <v>2273</v>
      </c>
      <c r="F1784" t="s">
        <v>1504</v>
      </c>
      <c r="G1784" t="s">
        <v>749</v>
      </c>
      <c r="H1784" s="9">
        <v>5.99</v>
      </c>
      <c r="I1784" s="3">
        <v>1</v>
      </c>
      <c r="J1784" s="5" t="s">
        <v>68</v>
      </c>
      <c r="K1784" s="15">
        <v>41959.464814814812</v>
      </c>
      <c r="L1784" s="20">
        <f t="shared" si="81"/>
        <v>41959</v>
      </c>
      <c r="M1784" t="str">
        <f t="shared" si="82"/>
        <v>11-2014</v>
      </c>
      <c r="N1784">
        <f t="shared" si="83"/>
        <v>5.99</v>
      </c>
    </row>
    <row r="1785" spans="3:14" x14ac:dyDescent="0.25">
      <c r="C1785" t="str">
        <f>IF(COUNTBLANK(E1785:K1785) = 7,"",IF(AND(NOT(ISBLANK(E1785)),COUNTBLANK(E1785:K1785) = 6),"3 Delete",IF(ISBLANK(E1785),"2 Add",IF(SHA1Range(E1785:K1785) = "dfd81dd7d441827e79cdf9810a868313d8cd7e9b","0 Original","1 Modify"))))</f>
        <v>0 Original</v>
      </c>
      <c r="D1785" s="5" t="s">
        <v>3878</v>
      </c>
      <c r="E1785" s="3">
        <v>2274</v>
      </c>
      <c r="F1785" t="s">
        <v>1504</v>
      </c>
      <c r="G1785" t="s">
        <v>560</v>
      </c>
      <c r="H1785" s="9">
        <v>8.99</v>
      </c>
      <c r="I1785" s="3">
        <v>2</v>
      </c>
      <c r="J1785" s="5" t="s">
        <v>68</v>
      </c>
      <c r="K1785" s="15">
        <v>41959.464814814812</v>
      </c>
      <c r="L1785" s="20">
        <f t="shared" si="81"/>
        <v>41959</v>
      </c>
      <c r="M1785" t="str">
        <f t="shared" si="82"/>
        <v>11-2014</v>
      </c>
      <c r="N1785">
        <f t="shared" si="83"/>
        <v>17.98</v>
      </c>
    </row>
    <row r="1786" spans="3:14" x14ac:dyDescent="0.25">
      <c r="C1786" t="str">
        <f>IF(COUNTBLANK(E1786:K1786) = 7,"",IF(AND(NOT(ISBLANK(E1786)),COUNTBLANK(E1786:K1786) = 6),"3 Delete",IF(ISBLANK(E1786),"2 Add",IF(SHA1Range(E1786:K1786) = "5535b114342eafab23ef4177f3f2e1e528777cc7","0 Original","1 Modify"))))</f>
        <v>0 Original</v>
      </c>
      <c r="D1786" s="5" t="s">
        <v>3879</v>
      </c>
      <c r="E1786" s="3">
        <v>2275</v>
      </c>
      <c r="F1786" t="s">
        <v>1504</v>
      </c>
      <c r="G1786" t="s">
        <v>514</v>
      </c>
      <c r="H1786" s="9">
        <v>6.99</v>
      </c>
      <c r="I1786" s="3">
        <v>1</v>
      </c>
      <c r="J1786" s="5" t="s">
        <v>68</v>
      </c>
      <c r="K1786" s="15">
        <v>41959.464814814812</v>
      </c>
      <c r="L1786" s="20">
        <f t="shared" si="81"/>
        <v>41959</v>
      </c>
      <c r="M1786" t="str">
        <f t="shared" si="82"/>
        <v>11-2014</v>
      </c>
      <c r="N1786">
        <f t="shared" si="83"/>
        <v>6.99</v>
      </c>
    </row>
    <row r="1787" spans="3:14" x14ac:dyDescent="0.25">
      <c r="C1787" t="str">
        <f>IF(COUNTBLANK(E1787:K1787) = 7,"",IF(AND(NOT(ISBLANK(E1787)),COUNTBLANK(E1787:K1787) = 6),"3 Delete",IF(ISBLANK(E1787),"2 Add",IF(SHA1Range(E1787:K1787) = "20e266b339d7fd51ce7ae594923f10060c006286","0 Original","1 Modify"))))</f>
        <v>0 Original</v>
      </c>
      <c r="D1787" s="5" t="s">
        <v>3880</v>
      </c>
      <c r="E1787" s="3">
        <v>2276</v>
      </c>
      <c r="F1787" t="s">
        <v>1504</v>
      </c>
      <c r="G1787" t="s">
        <v>596</v>
      </c>
      <c r="H1787" s="9">
        <v>7.99</v>
      </c>
      <c r="I1787" s="3">
        <v>1</v>
      </c>
      <c r="J1787" s="5" t="s">
        <v>68</v>
      </c>
      <c r="K1787" s="15">
        <v>41959.464814814812</v>
      </c>
      <c r="L1787" s="20">
        <f t="shared" si="81"/>
        <v>41959</v>
      </c>
      <c r="M1787" t="str">
        <f t="shared" si="82"/>
        <v>11-2014</v>
      </c>
      <c r="N1787">
        <f t="shared" si="83"/>
        <v>7.99</v>
      </c>
    </row>
    <row r="1788" spans="3:14" x14ac:dyDescent="0.25">
      <c r="C1788" t="str">
        <f>IF(COUNTBLANK(E1788:K1788) = 7,"",IF(AND(NOT(ISBLANK(E1788)),COUNTBLANK(E1788:K1788) = 6),"3 Delete",IF(ISBLANK(E1788),"2 Add",IF(SHA1Range(E1788:K1788) = "b04cea86533d73a8266e1c52e400c09c33d22e8d","0 Original","1 Modify"))))</f>
        <v>0 Original</v>
      </c>
      <c r="D1788" s="5" t="s">
        <v>3881</v>
      </c>
      <c r="E1788" s="3">
        <v>3233</v>
      </c>
      <c r="F1788" t="s">
        <v>1505</v>
      </c>
      <c r="G1788" t="s">
        <v>514</v>
      </c>
      <c r="H1788" s="9">
        <v>6.99</v>
      </c>
      <c r="I1788" s="3">
        <v>1</v>
      </c>
      <c r="J1788" s="5" t="s">
        <v>68</v>
      </c>
      <c r="K1788" s="15">
        <v>41959.53466435185</v>
      </c>
      <c r="L1788" s="20">
        <f t="shared" si="81"/>
        <v>41959</v>
      </c>
      <c r="M1788" t="str">
        <f t="shared" si="82"/>
        <v>11-2014</v>
      </c>
      <c r="N1788">
        <f t="shared" si="83"/>
        <v>6.99</v>
      </c>
    </row>
    <row r="1789" spans="3:14" x14ac:dyDescent="0.25">
      <c r="C1789" t="str">
        <f>IF(COUNTBLANK(E1789:K1789) = 7,"",IF(AND(NOT(ISBLANK(E1789)),COUNTBLANK(E1789:K1789) = 6),"3 Delete",IF(ISBLANK(E1789),"2 Add",IF(SHA1Range(E1789:K1789) = "da148be0e227725ebd664334d6f8b600d53522d4","0 Original","1 Modify"))))</f>
        <v>0 Original</v>
      </c>
      <c r="D1789" s="5" t="s">
        <v>3882</v>
      </c>
      <c r="E1789" s="3">
        <v>3234</v>
      </c>
      <c r="F1789" t="s">
        <v>1505</v>
      </c>
      <c r="G1789" t="s">
        <v>687</v>
      </c>
      <c r="H1789" s="9">
        <v>9.99</v>
      </c>
      <c r="I1789" s="3">
        <v>2</v>
      </c>
      <c r="J1789" s="5" t="s">
        <v>68</v>
      </c>
      <c r="K1789" s="15">
        <v>41959.53466435185</v>
      </c>
      <c r="L1789" s="20">
        <f t="shared" si="81"/>
        <v>41959</v>
      </c>
      <c r="M1789" t="str">
        <f t="shared" si="82"/>
        <v>11-2014</v>
      </c>
      <c r="N1789">
        <f t="shared" si="83"/>
        <v>19.98</v>
      </c>
    </row>
    <row r="1790" spans="3:14" x14ac:dyDescent="0.25">
      <c r="C1790" t="str">
        <f>IF(COUNTBLANK(E1790:K1790) = 7,"",IF(AND(NOT(ISBLANK(E1790)),COUNTBLANK(E1790:K1790) = 6),"3 Delete",IF(ISBLANK(E1790),"2 Add",IF(SHA1Range(E1790:K1790) = "bcd406239b366b487dc03db357643ef911ab255e","0 Original","1 Modify"))))</f>
        <v>0 Original</v>
      </c>
      <c r="D1790" s="5" t="s">
        <v>3883</v>
      </c>
      <c r="E1790" s="3">
        <v>3235</v>
      </c>
      <c r="F1790" t="s">
        <v>1505</v>
      </c>
      <c r="G1790" t="s">
        <v>400</v>
      </c>
      <c r="H1790" s="9">
        <v>4.99</v>
      </c>
      <c r="I1790" s="3">
        <v>1</v>
      </c>
      <c r="J1790" s="5" t="s">
        <v>68</v>
      </c>
      <c r="K1790" s="15">
        <v>41959.53466435185</v>
      </c>
      <c r="L1790" s="20">
        <f t="shared" si="81"/>
        <v>41959</v>
      </c>
      <c r="M1790" t="str">
        <f t="shared" si="82"/>
        <v>11-2014</v>
      </c>
      <c r="N1790">
        <f t="shared" si="83"/>
        <v>4.99</v>
      </c>
    </row>
    <row r="1791" spans="3:14" x14ac:dyDescent="0.25">
      <c r="C1791" t="str">
        <f>IF(COUNTBLANK(E1791:K1791) = 7,"",IF(AND(NOT(ISBLANK(E1791)),COUNTBLANK(E1791:K1791) = 6),"3 Delete",IF(ISBLANK(E1791),"2 Add",IF(SHA1Range(E1791:K1791) = "7d94e403d9c8f36690b2873d0c34f9a5b0b21fbd","0 Original","1 Modify"))))</f>
        <v>0 Original</v>
      </c>
      <c r="D1791" s="5" t="s">
        <v>3884</v>
      </c>
      <c r="E1791" s="3">
        <v>3236</v>
      </c>
      <c r="F1791" t="s">
        <v>1505</v>
      </c>
      <c r="G1791" t="s">
        <v>400</v>
      </c>
      <c r="H1791" s="9">
        <v>4.99</v>
      </c>
      <c r="I1791" s="3">
        <v>1</v>
      </c>
      <c r="J1791" s="5" t="s">
        <v>68</v>
      </c>
      <c r="K1791" s="15">
        <v>41959.53466435185</v>
      </c>
      <c r="L1791" s="20">
        <f t="shared" si="81"/>
        <v>41959</v>
      </c>
      <c r="M1791" t="str">
        <f t="shared" si="82"/>
        <v>11-2014</v>
      </c>
      <c r="N1791">
        <f t="shared" si="83"/>
        <v>4.99</v>
      </c>
    </row>
    <row r="1792" spans="3:14" x14ac:dyDescent="0.25">
      <c r="C1792" t="str">
        <f>IF(COUNTBLANK(E1792:K1792) = 7,"",IF(AND(NOT(ISBLANK(E1792)),COUNTBLANK(E1792:K1792) = 6),"3 Delete",IF(ISBLANK(E1792),"2 Add",IF(SHA1Range(E1792:K1792) = "0b41bcb50dcf8cdd25ff58b2f201d91ffa34acf1","0 Original","1 Modify"))))</f>
        <v>0 Original</v>
      </c>
      <c r="D1792" s="5" t="s">
        <v>3885</v>
      </c>
      <c r="E1792" s="3">
        <v>3788</v>
      </c>
      <c r="F1792" t="s">
        <v>1506</v>
      </c>
      <c r="G1792" t="s">
        <v>707</v>
      </c>
      <c r="H1792" s="9">
        <v>7.99</v>
      </c>
      <c r="I1792" s="3">
        <v>1</v>
      </c>
      <c r="J1792" s="5" t="s">
        <v>68</v>
      </c>
      <c r="K1792" s="15">
        <v>41959.704791666663</v>
      </c>
      <c r="L1792" s="20">
        <f t="shared" si="81"/>
        <v>41959</v>
      </c>
      <c r="M1792" t="str">
        <f t="shared" si="82"/>
        <v>11-2014</v>
      </c>
      <c r="N1792">
        <f t="shared" si="83"/>
        <v>7.99</v>
      </c>
    </row>
    <row r="1793" spans="3:14" x14ac:dyDescent="0.25">
      <c r="C1793" t="str">
        <f>IF(COUNTBLANK(E1793:K1793) = 7,"",IF(AND(NOT(ISBLANK(E1793)),COUNTBLANK(E1793:K1793) = 6),"3 Delete",IF(ISBLANK(E1793),"2 Add",IF(SHA1Range(E1793:K1793) = "4e35673fa233bf05d0a02e7d89475c7d6222994f","0 Original","1 Modify"))))</f>
        <v>0 Original</v>
      </c>
      <c r="D1793" s="5" t="s">
        <v>3886</v>
      </c>
      <c r="E1793" s="3">
        <v>3789</v>
      </c>
      <c r="F1793" t="s">
        <v>1506</v>
      </c>
      <c r="G1793" t="s">
        <v>552</v>
      </c>
      <c r="H1793" s="9">
        <v>6.99</v>
      </c>
      <c r="I1793" s="3">
        <v>2</v>
      </c>
      <c r="J1793" s="5" t="s">
        <v>68</v>
      </c>
      <c r="K1793" s="15">
        <v>41959.704791666663</v>
      </c>
      <c r="L1793" s="20">
        <f t="shared" si="81"/>
        <v>41959</v>
      </c>
      <c r="M1793" t="str">
        <f t="shared" si="82"/>
        <v>11-2014</v>
      </c>
      <c r="N1793">
        <f t="shared" si="83"/>
        <v>13.98</v>
      </c>
    </row>
    <row r="1794" spans="3:14" x14ac:dyDescent="0.25">
      <c r="C1794" t="str">
        <f>IF(COUNTBLANK(E1794:K1794) = 7,"",IF(AND(NOT(ISBLANK(E1794)),COUNTBLANK(E1794:K1794) = 6),"3 Delete",IF(ISBLANK(E1794),"2 Add",IF(SHA1Range(E1794:K1794) = "404ab8be14b45f95f965d5e24032230ce3b84463","0 Original","1 Modify"))))</f>
        <v>0 Original</v>
      </c>
      <c r="D1794" s="5" t="s">
        <v>4338</v>
      </c>
      <c r="E1794" s="3">
        <v>310</v>
      </c>
      <c r="F1794" t="s">
        <v>1507</v>
      </c>
      <c r="G1794" t="s">
        <v>884</v>
      </c>
      <c r="H1794" s="9">
        <v>5.99</v>
      </c>
      <c r="I1794" s="3">
        <v>1</v>
      </c>
      <c r="J1794" s="5" t="s">
        <v>68</v>
      </c>
      <c r="K1794" s="15">
        <v>41959.712858796294</v>
      </c>
      <c r="L1794" s="20">
        <f t="shared" si="81"/>
        <v>41959</v>
      </c>
      <c r="M1794" t="str">
        <f t="shared" si="82"/>
        <v>11-2014</v>
      </c>
      <c r="N1794">
        <f t="shared" si="83"/>
        <v>5.99</v>
      </c>
    </row>
    <row r="1795" spans="3:14" x14ac:dyDescent="0.25">
      <c r="C1795" t="str">
        <f>IF(COUNTBLANK(E1795:K1795) = 7,"",IF(AND(NOT(ISBLANK(E1795)),COUNTBLANK(E1795:K1795) = 6),"3 Delete",IF(ISBLANK(E1795),"2 Add",IF(SHA1Range(E1795:K1795) = "2ea29278a7897b4599c0e4e45ad19182f52ef1c8","0 Original","1 Modify"))))</f>
        <v>0 Original</v>
      </c>
      <c r="D1795" s="5" t="s">
        <v>4339</v>
      </c>
      <c r="E1795" s="3">
        <v>311</v>
      </c>
      <c r="F1795" t="s">
        <v>1507</v>
      </c>
      <c r="G1795" t="s">
        <v>624</v>
      </c>
      <c r="H1795" s="9">
        <v>9.99</v>
      </c>
      <c r="I1795" s="3">
        <v>1</v>
      </c>
      <c r="J1795" s="5" t="s">
        <v>68</v>
      </c>
      <c r="K1795" s="15">
        <v>41959.712858796294</v>
      </c>
      <c r="L1795" s="20">
        <f t="shared" ref="L1795:L1858" si="84">DATEVALUE(LEFT(F1795,10))</f>
        <v>41959</v>
      </c>
      <c r="M1795" t="str">
        <f t="shared" ref="M1795:M1858" si="85">TEXT(L1795,"mm-yyyy")</f>
        <v>11-2014</v>
      </c>
      <c r="N1795">
        <f t="shared" ref="N1795:N1858" si="86">H1795*I1795</f>
        <v>9.99</v>
      </c>
    </row>
    <row r="1796" spans="3:14" x14ac:dyDescent="0.25">
      <c r="C1796" t="str">
        <f>IF(COUNTBLANK(E1796:K1796) = 7,"",IF(AND(NOT(ISBLANK(E1796)),COUNTBLANK(E1796:K1796) = 6),"3 Delete",IF(ISBLANK(E1796),"2 Add",IF(SHA1Range(E1796:K1796) = "24d7389607260051a42ed357c0f792977b6ac56e","0 Original","1 Modify"))))</f>
        <v>0 Original</v>
      </c>
      <c r="D1796" s="5" t="s">
        <v>4340</v>
      </c>
      <c r="E1796" s="3">
        <v>312</v>
      </c>
      <c r="F1796" t="s">
        <v>1507</v>
      </c>
      <c r="G1796" t="s">
        <v>697</v>
      </c>
      <c r="H1796" s="9">
        <v>5.99</v>
      </c>
      <c r="I1796" s="3">
        <v>2</v>
      </c>
      <c r="J1796" s="5" t="s">
        <v>68</v>
      </c>
      <c r="K1796" s="15">
        <v>41959.712858796294</v>
      </c>
      <c r="L1796" s="20">
        <f t="shared" si="84"/>
        <v>41959</v>
      </c>
      <c r="M1796" t="str">
        <f t="shared" si="85"/>
        <v>11-2014</v>
      </c>
      <c r="N1796">
        <f t="shared" si="86"/>
        <v>11.98</v>
      </c>
    </row>
    <row r="1797" spans="3:14" x14ac:dyDescent="0.25">
      <c r="C1797" t="str">
        <f>IF(COUNTBLANK(E1797:K1797) = 7,"",IF(AND(NOT(ISBLANK(E1797)),COUNTBLANK(E1797:K1797) = 6),"3 Delete",IF(ISBLANK(E1797),"2 Add",IF(SHA1Range(E1797:K1797) = "fecb6561c72a531f3df638cf92307380d82fd6de","0 Original","1 Modify"))))</f>
        <v>0 Original</v>
      </c>
      <c r="D1797" s="5" t="s">
        <v>4341</v>
      </c>
      <c r="E1797" s="3">
        <v>313</v>
      </c>
      <c r="F1797" t="s">
        <v>1507</v>
      </c>
      <c r="G1797" t="s">
        <v>869</v>
      </c>
      <c r="H1797" s="9">
        <v>4.99</v>
      </c>
      <c r="I1797" s="3">
        <v>1</v>
      </c>
      <c r="J1797" s="5" t="s">
        <v>68</v>
      </c>
      <c r="K1797" s="15">
        <v>41959.712858796294</v>
      </c>
      <c r="L1797" s="20">
        <f t="shared" si="84"/>
        <v>41959</v>
      </c>
      <c r="M1797" t="str">
        <f t="shared" si="85"/>
        <v>11-2014</v>
      </c>
      <c r="N1797">
        <f t="shared" si="86"/>
        <v>4.99</v>
      </c>
    </row>
    <row r="1798" spans="3:14" x14ac:dyDescent="0.25">
      <c r="C1798" t="str">
        <f>IF(COUNTBLANK(E1798:K1798) = 7,"",IF(AND(NOT(ISBLANK(E1798)),COUNTBLANK(E1798:K1798) = 6),"3 Delete",IF(ISBLANK(E1798),"2 Add",IF(SHA1Range(E1798:K1798) = "6bb1945fe57d715e83afc8168ead4f50ddcb5bc1","0 Original","1 Modify"))))</f>
        <v>0 Original</v>
      </c>
      <c r="D1798" s="5" t="s">
        <v>4342</v>
      </c>
      <c r="E1798" s="3">
        <v>314</v>
      </c>
      <c r="F1798" t="s">
        <v>1507</v>
      </c>
      <c r="G1798" t="s">
        <v>448</v>
      </c>
      <c r="H1798" s="9">
        <v>8.99</v>
      </c>
      <c r="I1798" s="3">
        <v>1</v>
      </c>
      <c r="J1798" s="5" t="s">
        <v>68</v>
      </c>
      <c r="K1798" s="15">
        <v>41959.712858796294</v>
      </c>
      <c r="L1798" s="20">
        <f t="shared" si="84"/>
        <v>41959</v>
      </c>
      <c r="M1798" t="str">
        <f t="shared" si="85"/>
        <v>11-2014</v>
      </c>
      <c r="N1798">
        <f t="shared" si="86"/>
        <v>8.99</v>
      </c>
    </row>
    <row r="1799" spans="3:14" x14ac:dyDescent="0.25">
      <c r="C1799" t="str">
        <f>IF(COUNTBLANK(E1799:K1799) = 7,"",IF(AND(NOT(ISBLANK(E1799)),COUNTBLANK(E1799:K1799) = 6),"3 Delete",IF(ISBLANK(E1799),"2 Add",IF(SHA1Range(E1799:K1799) = "9fea450ed111db414f90e6ff523458697b556b11","0 Original","1 Modify"))))</f>
        <v>0 Original</v>
      </c>
      <c r="D1799" s="5" t="s">
        <v>4343</v>
      </c>
      <c r="E1799" s="3">
        <v>315</v>
      </c>
      <c r="F1799" t="s">
        <v>1507</v>
      </c>
      <c r="G1799" t="s">
        <v>560</v>
      </c>
      <c r="H1799" s="9">
        <v>8.99</v>
      </c>
      <c r="I1799" s="3">
        <v>1</v>
      </c>
      <c r="J1799" s="5" t="s">
        <v>68</v>
      </c>
      <c r="K1799" s="15">
        <v>41959.712858796294</v>
      </c>
      <c r="L1799" s="20">
        <f t="shared" si="84"/>
        <v>41959</v>
      </c>
      <c r="M1799" t="str">
        <f t="shared" si="85"/>
        <v>11-2014</v>
      </c>
      <c r="N1799">
        <f t="shared" si="86"/>
        <v>8.99</v>
      </c>
    </row>
    <row r="1800" spans="3:14" x14ac:dyDescent="0.25">
      <c r="C1800" t="str">
        <f>IF(COUNTBLANK(E1800:K1800) = 7,"",IF(AND(NOT(ISBLANK(E1800)),COUNTBLANK(E1800:K1800) = 6),"3 Delete",IF(ISBLANK(E1800),"2 Add",IF(SHA1Range(E1800:K1800) = "a25469ab17dad664ecb133f12c4ac0dc346df6c8","0 Original","1 Modify"))))</f>
        <v>0 Original</v>
      </c>
      <c r="D1800" s="5" t="s">
        <v>3887</v>
      </c>
      <c r="E1800" s="3">
        <v>1790</v>
      </c>
      <c r="F1800" t="s">
        <v>1508</v>
      </c>
      <c r="G1800" t="s">
        <v>482</v>
      </c>
      <c r="H1800" s="9">
        <v>8.99</v>
      </c>
      <c r="I1800" s="3">
        <v>1</v>
      </c>
      <c r="J1800" s="5" t="s">
        <v>68</v>
      </c>
      <c r="K1800" s="15">
        <v>41959.827326388891</v>
      </c>
      <c r="L1800" s="20">
        <f t="shared" si="84"/>
        <v>41959</v>
      </c>
      <c r="M1800" t="str">
        <f t="shared" si="85"/>
        <v>11-2014</v>
      </c>
      <c r="N1800">
        <f t="shared" si="86"/>
        <v>8.99</v>
      </c>
    </row>
    <row r="1801" spans="3:14" x14ac:dyDescent="0.25">
      <c r="C1801" t="str">
        <f>IF(COUNTBLANK(E1801:K1801) = 7,"",IF(AND(NOT(ISBLANK(E1801)),COUNTBLANK(E1801:K1801) = 6),"3 Delete",IF(ISBLANK(E1801),"2 Add",IF(SHA1Range(E1801:K1801) = "42d97d03db42fbeaf35b4f6646c5dad807d18fd9","0 Original","1 Modify"))))</f>
        <v>0 Original</v>
      </c>
      <c r="D1801" s="5" t="s">
        <v>3888</v>
      </c>
      <c r="E1801" s="3">
        <v>1791</v>
      </c>
      <c r="F1801" t="s">
        <v>1508</v>
      </c>
      <c r="G1801" t="s">
        <v>585</v>
      </c>
      <c r="H1801" s="9">
        <v>9.99</v>
      </c>
      <c r="I1801" s="3">
        <v>2</v>
      </c>
      <c r="J1801" s="5" t="s">
        <v>68</v>
      </c>
      <c r="K1801" s="15">
        <v>41959.827326388891</v>
      </c>
      <c r="L1801" s="20">
        <f t="shared" si="84"/>
        <v>41959</v>
      </c>
      <c r="M1801" t="str">
        <f t="shared" si="85"/>
        <v>11-2014</v>
      </c>
      <c r="N1801">
        <f t="shared" si="86"/>
        <v>19.98</v>
      </c>
    </row>
    <row r="1802" spans="3:14" x14ac:dyDescent="0.25">
      <c r="C1802" t="str">
        <f>IF(COUNTBLANK(E1802:K1802) = 7,"",IF(AND(NOT(ISBLANK(E1802)),COUNTBLANK(E1802:K1802) = 6),"3 Delete",IF(ISBLANK(E1802),"2 Add",IF(SHA1Range(E1802:K1802) = "48a725cf41da8230c992b72947c7b1d7291cf6c6","0 Original","1 Modify"))))</f>
        <v>0 Original</v>
      </c>
      <c r="D1802" s="5" t="s">
        <v>3889</v>
      </c>
      <c r="E1802" s="3">
        <v>1535</v>
      </c>
      <c r="F1802" t="s">
        <v>1509</v>
      </c>
      <c r="G1802" t="s">
        <v>585</v>
      </c>
      <c r="H1802" s="9">
        <v>9.99</v>
      </c>
      <c r="I1802" s="3">
        <v>2</v>
      </c>
      <c r="J1802" s="5" t="s">
        <v>68</v>
      </c>
      <c r="K1802" s="15">
        <v>41959.845682870371</v>
      </c>
      <c r="L1802" s="20">
        <f t="shared" si="84"/>
        <v>41959</v>
      </c>
      <c r="M1802" t="str">
        <f t="shared" si="85"/>
        <v>11-2014</v>
      </c>
      <c r="N1802">
        <f t="shared" si="86"/>
        <v>19.98</v>
      </c>
    </row>
    <row r="1803" spans="3:14" x14ac:dyDescent="0.25">
      <c r="C1803" t="str">
        <f>IF(COUNTBLANK(E1803:K1803) = 7,"",IF(AND(NOT(ISBLANK(E1803)),COUNTBLANK(E1803:K1803) = 6),"3 Delete",IF(ISBLANK(E1803),"2 Add",IF(SHA1Range(E1803:K1803) = "df65a6a8c24633f92e6990720f3c12c9050bd959","0 Original","1 Modify"))))</f>
        <v>0 Original</v>
      </c>
      <c r="D1803" s="5" t="s">
        <v>3890</v>
      </c>
      <c r="E1803" s="3">
        <v>2777</v>
      </c>
      <c r="F1803" t="s">
        <v>1510</v>
      </c>
      <c r="G1803" t="s">
        <v>552</v>
      </c>
      <c r="H1803" s="9">
        <v>6.99</v>
      </c>
      <c r="I1803" s="3">
        <v>2</v>
      </c>
      <c r="J1803" s="5" t="s">
        <v>68</v>
      </c>
      <c r="K1803" s="15">
        <v>41961.138090277775</v>
      </c>
      <c r="L1803" s="20">
        <f t="shared" si="84"/>
        <v>41961</v>
      </c>
      <c r="M1803" t="str">
        <f t="shared" si="85"/>
        <v>11-2014</v>
      </c>
      <c r="N1803">
        <f t="shared" si="86"/>
        <v>13.98</v>
      </c>
    </row>
    <row r="1804" spans="3:14" x14ac:dyDescent="0.25">
      <c r="C1804" t="str">
        <f>IF(COUNTBLANK(E1804:K1804) = 7,"",IF(AND(NOT(ISBLANK(E1804)),COUNTBLANK(E1804:K1804) = 6),"3 Delete",IF(ISBLANK(E1804),"2 Add",IF(SHA1Range(E1804:K1804) = "732e866fa7bfa8fb16d5276e990879a025fd1618","0 Original","1 Modify"))))</f>
        <v>0 Original</v>
      </c>
      <c r="D1804" s="5" t="s">
        <v>3891</v>
      </c>
      <c r="E1804" s="3">
        <v>2778</v>
      </c>
      <c r="F1804" t="s">
        <v>1510</v>
      </c>
      <c r="G1804" t="s">
        <v>948</v>
      </c>
      <c r="H1804" s="9">
        <v>4.99</v>
      </c>
      <c r="I1804" s="3">
        <v>1</v>
      </c>
      <c r="J1804" s="5" t="s">
        <v>68</v>
      </c>
      <c r="K1804" s="15">
        <v>41961.138090277775</v>
      </c>
      <c r="L1804" s="20">
        <f t="shared" si="84"/>
        <v>41961</v>
      </c>
      <c r="M1804" t="str">
        <f t="shared" si="85"/>
        <v>11-2014</v>
      </c>
      <c r="N1804">
        <f t="shared" si="86"/>
        <v>4.99</v>
      </c>
    </row>
    <row r="1805" spans="3:14" x14ac:dyDescent="0.25">
      <c r="C1805" t="str">
        <f>IF(COUNTBLANK(E1805:K1805) = 7,"",IF(AND(NOT(ISBLANK(E1805)),COUNTBLANK(E1805:K1805) = 6),"3 Delete",IF(ISBLANK(E1805),"2 Add",IF(SHA1Range(E1805:K1805) = "21bae68974956f9e9df8c60f7188c0aebc03aea4","0 Original","1 Modify"))))</f>
        <v>0 Original</v>
      </c>
      <c r="D1805" s="5" t="s">
        <v>3892</v>
      </c>
      <c r="E1805" s="3">
        <v>2779</v>
      </c>
      <c r="F1805" t="s">
        <v>1510</v>
      </c>
      <c r="G1805" t="s">
        <v>642</v>
      </c>
      <c r="H1805" s="9">
        <v>9.99</v>
      </c>
      <c r="I1805" s="3">
        <v>1</v>
      </c>
      <c r="J1805" s="5" t="s">
        <v>68</v>
      </c>
      <c r="K1805" s="15">
        <v>41961.138090277775</v>
      </c>
      <c r="L1805" s="20">
        <f t="shared" si="84"/>
        <v>41961</v>
      </c>
      <c r="M1805" t="str">
        <f t="shared" si="85"/>
        <v>11-2014</v>
      </c>
      <c r="N1805">
        <f t="shared" si="86"/>
        <v>9.99</v>
      </c>
    </row>
    <row r="1806" spans="3:14" x14ac:dyDescent="0.25">
      <c r="C1806" t="str">
        <f>IF(COUNTBLANK(E1806:K1806) = 7,"",IF(AND(NOT(ISBLANK(E1806)),COUNTBLANK(E1806:K1806) = 6),"3 Delete",IF(ISBLANK(E1806),"2 Add",IF(SHA1Range(E1806:K1806) = "439c7c267f3a357149c31282593026b64f314a53","0 Original","1 Modify"))))</f>
        <v>0 Original</v>
      </c>
      <c r="D1806" s="5" t="s">
        <v>3893</v>
      </c>
      <c r="E1806" s="3">
        <v>2780</v>
      </c>
      <c r="F1806" t="s">
        <v>1510</v>
      </c>
      <c r="G1806" t="s">
        <v>579</v>
      </c>
      <c r="H1806" s="9">
        <v>9.99</v>
      </c>
      <c r="I1806" s="3">
        <v>1</v>
      </c>
      <c r="J1806" s="5" t="s">
        <v>68</v>
      </c>
      <c r="K1806" s="15">
        <v>41961.138090277775</v>
      </c>
      <c r="L1806" s="20">
        <f t="shared" si="84"/>
        <v>41961</v>
      </c>
      <c r="M1806" t="str">
        <f t="shared" si="85"/>
        <v>11-2014</v>
      </c>
      <c r="N1806">
        <f t="shared" si="86"/>
        <v>9.99</v>
      </c>
    </row>
    <row r="1807" spans="3:14" x14ac:dyDescent="0.25">
      <c r="C1807" t="str">
        <f>IF(COUNTBLANK(E1807:K1807) = 7,"",IF(AND(NOT(ISBLANK(E1807)),COUNTBLANK(E1807:K1807) = 6),"3 Delete",IF(ISBLANK(E1807),"2 Add",IF(SHA1Range(E1807:K1807) = "31a0658ff0e9ba605b249f70243d5eff57f6b684","0 Original","1 Modify"))))</f>
        <v>0 Original</v>
      </c>
      <c r="D1807" s="5" t="s">
        <v>3894</v>
      </c>
      <c r="E1807" s="3">
        <v>2781</v>
      </c>
      <c r="F1807" t="s">
        <v>1510</v>
      </c>
      <c r="G1807" t="s">
        <v>579</v>
      </c>
      <c r="H1807" s="9">
        <v>9.99</v>
      </c>
      <c r="I1807" s="3">
        <v>2</v>
      </c>
      <c r="J1807" s="5" t="s">
        <v>68</v>
      </c>
      <c r="K1807" s="15">
        <v>41961.138090277775</v>
      </c>
      <c r="L1807" s="20">
        <f t="shared" si="84"/>
        <v>41961</v>
      </c>
      <c r="M1807" t="str">
        <f t="shared" si="85"/>
        <v>11-2014</v>
      </c>
      <c r="N1807">
        <f t="shared" si="86"/>
        <v>19.98</v>
      </c>
    </row>
    <row r="1808" spans="3:14" x14ac:dyDescent="0.25">
      <c r="C1808" t="str">
        <f>IF(COUNTBLANK(E1808:K1808) = 7,"",IF(AND(NOT(ISBLANK(E1808)),COUNTBLANK(E1808:K1808) = 6),"3 Delete",IF(ISBLANK(E1808),"2 Add",IF(SHA1Range(E1808:K1808) = "b9772f03e1126fbcaea76b099a87d41b62a6378f","0 Original","1 Modify"))))</f>
        <v>0 Original</v>
      </c>
      <c r="D1808" s="5" t="s">
        <v>3895</v>
      </c>
      <c r="E1808" s="3">
        <v>2171</v>
      </c>
      <c r="F1808" t="s">
        <v>1511</v>
      </c>
      <c r="G1808" t="s">
        <v>781</v>
      </c>
      <c r="H1808" s="9">
        <v>5.99</v>
      </c>
      <c r="I1808" s="3">
        <v>1</v>
      </c>
      <c r="J1808" s="5" t="s">
        <v>68</v>
      </c>
      <c r="K1808" s="15">
        <v>41961.561412037037</v>
      </c>
      <c r="L1808" s="20">
        <f t="shared" si="84"/>
        <v>41961</v>
      </c>
      <c r="M1808" t="str">
        <f t="shared" si="85"/>
        <v>11-2014</v>
      </c>
      <c r="N1808">
        <f t="shared" si="86"/>
        <v>5.99</v>
      </c>
    </row>
    <row r="1809" spans="3:14" x14ac:dyDescent="0.25">
      <c r="C1809" t="str">
        <f>IF(COUNTBLANK(E1809:K1809) = 7,"",IF(AND(NOT(ISBLANK(E1809)),COUNTBLANK(E1809:K1809) = 6),"3 Delete",IF(ISBLANK(E1809),"2 Add",IF(SHA1Range(E1809:K1809) = "79bf76c2b4e97a075077705cf576c347b357f910","0 Original","1 Modify"))))</f>
        <v>0 Original</v>
      </c>
      <c r="D1809" s="5" t="s">
        <v>3896</v>
      </c>
      <c r="E1809" s="3">
        <v>2172</v>
      </c>
      <c r="F1809" t="s">
        <v>1511</v>
      </c>
      <c r="G1809" t="s">
        <v>781</v>
      </c>
      <c r="H1809" s="9">
        <v>5.99</v>
      </c>
      <c r="I1809" s="3">
        <v>1</v>
      </c>
      <c r="J1809" s="5" t="s">
        <v>68</v>
      </c>
      <c r="K1809" s="15">
        <v>41961.561412037037</v>
      </c>
      <c r="L1809" s="20">
        <f t="shared" si="84"/>
        <v>41961</v>
      </c>
      <c r="M1809" t="str">
        <f t="shared" si="85"/>
        <v>11-2014</v>
      </c>
      <c r="N1809">
        <f t="shared" si="86"/>
        <v>5.99</v>
      </c>
    </row>
    <row r="1810" spans="3:14" x14ac:dyDescent="0.25">
      <c r="C1810" t="str">
        <f>IF(COUNTBLANK(E1810:K1810) = 7,"",IF(AND(NOT(ISBLANK(E1810)),COUNTBLANK(E1810:K1810) = 6),"3 Delete",IF(ISBLANK(E1810),"2 Add",IF(SHA1Range(E1810:K1810) = "38ca50581ebe428a3ee0d1a737310ed718c93623","0 Original","1 Modify"))))</f>
        <v>0 Original</v>
      </c>
      <c r="D1810" s="5" t="s">
        <v>3897</v>
      </c>
      <c r="E1810" s="3">
        <v>2363</v>
      </c>
      <c r="F1810" t="s">
        <v>1512</v>
      </c>
      <c r="G1810" t="s">
        <v>514</v>
      </c>
      <c r="H1810" s="9">
        <v>6.99</v>
      </c>
      <c r="I1810" s="3">
        <v>2</v>
      </c>
      <c r="J1810" s="5" t="s">
        <v>68</v>
      </c>
      <c r="K1810" s="15">
        <v>41962.672754629632</v>
      </c>
      <c r="L1810" s="20">
        <f t="shared" si="84"/>
        <v>41962</v>
      </c>
      <c r="M1810" t="str">
        <f t="shared" si="85"/>
        <v>11-2014</v>
      </c>
      <c r="N1810">
        <f t="shared" si="86"/>
        <v>13.98</v>
      </c>
    </row>
    <row r="1811" spans="3:14" x14ac:dyDescent="0.25">
      <c r="C1811" t="str">
        <f>IF(COUNTBLANK(E1811:K1811) = 7,"",IF(AND(NOT(ISBLANK(E1811)),COUNTBLANK(E1811:K1811) = 6),"3 Delete",IF(ISBLANK(E1811),"2 Add",IF(SHA1Range(E1811:K1811) = "809c9c0dbafddade6f47f24dcceadc6f8587db3c","0 Original","1 Modify"))))</f>
        <v>0 Original</v>
      </c>
      <c r="D1811" s="5" t="s">
        <v>3898</v>
      </c>
      <c r="E1811" s="3">
        <v>2364</v>
      </c>
      <c r="F1811" t="s">
        <v>1512</v>
      </c>
      <c r="G1811" t="s">
        <v>642</v>
      </c>
      <c r="H1811" s="9">
        <v>9.99</v>
      </c>
      <c r="I1811" s="3">
        <v>1</v>
      </c>
      <c r="J1811" s="5" t="s">
        <v>68</v>
      </c>
      <c r="K1811" s="15">
        <v>41962.672754629632</v>
      </c>
      <c r="L1811" s="20">
        <f t="shared" si="84"/>
        <v>41962</v>
      </c>
      <c r="M1811" t="str">
        <f t="shared" si="85"/>
        <v>11-2014</v>
      </c>
      <c r="N1811">
        <f t="shared" si="86"/>
        <v>9.99</v>
      </c>
    </row>
    <row r="1812" spans="3:14" x14ac:dyDescent="0.25">
      <c r="C1812" t="str">
        <f>IF(COUNTBLANK(E1812:K1812) = 7,"",IF(AND(NOT(ISBLANK(E1812)),COUNTBLANK(E1812:K1812) = 6),"3 Delete",IF(ISBLANK(E1812),"2 Add",IF(SHA1Range(E1812:K1812) = "0980cf03171ee2aef2261e69791d8a94da5cf5e8","0 Original","1 Modify"))))</f>
        <v>0 Original</v>
      </c>
      <c r="D1812" s="5" t="s">
        <v>3899</v>
      </c>
      <c r="E1812" s="3">
        <v>2365</v>
      </c>
      <c r="F1812" t="s">
        <v>1512</v>
      </c>
      <c r="G1812" t="s">
        <v>373</v>
      </c>
      <c r="H1812" s="9">
        <v>7.99</v>
      </c>
      <c r="I1812" s="3">
        <v>1</v>
      </c>
      <c r="J1812" s="5" t="s">
        <v>68</v>
      </c>
      <c r="K1812" s="15">
        <v>41962.672754629632</v>
      </c>
      <c r="L1812" s="20">
        <f t="shared" si="84"/>
        <v>41962</v>
      </c>
      <c r="M1812" t="str">
        <f t="shared" si="85"/>
        <v>11-2014</v>
      </c>
      <c r="N1812">
        <f t="shared" si="86"/>
        <v>7.99</v>
      </c>
    </row>
    <row r="1813" spans="3:14" x14ac:dyDescent="0.25">
      <c r="C1813" t="str">
        <f>IF(COUNTBLANK(E1813:K1813) = 7,"",IF(AND(NOT(ISBLANK(E1813)),COUNTBLANK(E1813:K1813) = 6),"3 Delete",IF(ISBLANK(E1813),"2 Add",IF(SHA1Range(E1813:K1813) = "02965a3f2296e2229a96d6f4adb061857c0a3757","0 Original","1 Modify"))))</f>
        <v>0 Original</v>
      </c>
      <c r="D1813" s="5" t="s">
        <v>3900</v>
      </c>
      <c r="E1813" s="3">
        <v>2366</v>
      </c>
      <c r="F1813" t="s">
        <v>1512</v>
      </c>
      <c r="G1813" t="s">
        <v>373</v>
      </c>
      <c r="H1813" s="9">
        <v>7.99</v>
      </c>
      <c r="I1813" s="3">
        <v>1</v>
      </c>
      <c r="J1813" s="5" t="s">
        <v>68</v>
      </c>
      <c r="K1813" s="15">
        <v>41962.672754629632</v>
      </c>
      <c r="L1813" s="20">
        <f t="shared" si="84"/>
        <v>41962</v>
      </c>
      <c r="M1813" t="str">
        <f t="shared" si="85"/>
        <v>11-2014</v>
      </c>
      <c r="N1813">
        <f t="shared" si="86"/>
        <v>7.99</v>
      </c>
    </row>
    <row r="1814" spans="3:14" x14ac:dyDescent="0.25">
      <c r="C1814" t="str">
        <f>IF(COUNTBLANK(E1814:K1814) = 7,"",IF(AND(NOT(ISBLANK(E1814)),COUNTBLANK(E1814:K1814) = 6),"3 Delete",IF(ISBLANK(E1814),"2 Add",IF(SHA1Range(E1814:K1814) = "d7698c2664f70c0235eaa30c1f49f5e0c1f8a512","0 Original","1 Modify"))))</f>
        <v>0 Original</v>
      </c>
      <c r="D1814" s="5" t="s">
        <v>3901</v>
      </c>
      <c r="E1814" s="3">
        <v>2367</v>
      </c>
      <c r="F1814" t="s">
        <v>1512</v>
      </c>
      <c r="G1814" t="s">
        <v>552</v>
      </c>
      <c r="H1814" s="9">
        <v>6.99</v>
      </c>
      <c r="I1814" s="3">
        <v>1</v>
      </c>
      <c r="J1814" s="5" t="s">
        <v>68</v>
      </c>
      <c r="K1814" s="15">
        <v>41962.672754629632</v>
      </c>
      <c r="L1814" s="20">
        <f t="shared" si="84"/>
        <v>41962</v>
      </c>
      <c r="M1814" t="str">
        <f t="shared" si="85"/>
        <v>11-2014</v>
      </c>
      <c r="N1814">
        <f t="shared" si="86"/>
        <v>6.99</v>
      </c>
    </row>
    <row r="1815" spans="3:14" x14ac:dyDescent="0.25">
      <c r="C1815" t="str">
        <f>IF(COUNTBLANK(E1815:K1815) = 7,"",IF(AND(NOT(ISBLANK(E1815)),COUNTBLANK(E1815:K1815) = 6),"3 Delete",IF(ISBLANK(E1815),"2 Add",IF(SHA1Range(E1815:K1815) = "4a0677d01ee698e282cffbc8b6b2eeadb163a524","0 Original","1 Modify"))))</f>
        <v>0 Original</v>
      </c>
      <c r="D1815" s="5" t="s">
        <v>3902</v>
      </c>
      <c r="E1815" s="3">
        <v>2368</v>
      </c>
      <c r="F1815" t="s">
        <v>1512</v>
      </c>
      <c r="G1815" t="s">
        <v>373</v>
      </c>
      <c r="H1815" s="9">
        <v>7.99</v>
      </c>
      <c r="I1815" s="3">
        <v>1</v>
      </c>
      <c r="J1815" s="5" t="s">
        <v>68</v>
      </c>
      <c r="K1815" s="15">
        <v>41962.672754629632</v>
      </c>
      <c r="L1815" s="20">
        <f t="shared" si="84"/>
        <v>41962</v>
      </c>
      <c r="M1815" t="str">
        <f t="shared" si="85"/>
        <v>11-2014</v>
      </c>
      <c r="N1815">
        <f t="shared" si="86"/>
        <v>7.99</v>
      </c>
    </row>
    <row r="1816" spans="3:14" x14ac:dyDescent="0.25">
      <c r="C1816" t="str">
        <f>IF(COUNTBLANK(E1816:K1816) = 7,"",IF(AND(NOT(ISBLANK(E1816)),COUNTBLANK(E1816:K1816) = 6),"3 Delete",IF(ISBLANK(E1816),"2 Add",IF(SHA1Range(E1816:K1816) = "d9da10556e04537f114675252d1403bab9224ac7","0 Original","1 Modify"))))</f>
        <v>0 Original</v>
      </c>
      <c r="D1816" s="5" t="s">
        <v>3903</v>
      </c>
      <c r="E1816" s="3">
        <v>2369</v>
      </c>
      <c r="F1816" t="s">
        <v>1512</v>
      </c>
      <c r="G1816" t="s">
        <v>579</v>
      </c>
      <c r="H1816" s="9">
        <v>9.99</v>
      </c>
      <c r="I1816" s="3">
        <v>2</v>
      </c>
      <c r="J1816" s="5" t="s">
        <v>68</v>
      </c>
      <c r="K1816" s="15">
        <v>41962.672754629632</v>
      </c>
      <c r="L1816" s="20">
        <f t="shared" si="84"/>
        <v>41962</v>
      </c>
      <c r="M1816" t="str">
        <f t="shared" si="85"/>
        <v>11-2014</v>
      </c>
      <c r="N1816">
        <f t="shared" si="86"/>
        <v>19.98</v>
      </c>
    </row>
    <row r="1817" spans="3:14" x14ac:dyDescent="0.25">
      <c r="C1817" t="str">
        <f>IF(COUNTBLANK(E1817:K1817) = 7,"",IF(AND(NOT(ISBLANK(E1817)),COUNTBLANK(E1817:K1817) = 6),"3 Delete",IF(ISBLANK(E1817),"2 Add",IF(SHA1Range(E1817:K1817) = "2c0b9669cdebad430c19f0ac2c38bfff8fa2b446","0 Original","1 Modify"))))</f>
        <v>0 Original</v>
      </c>
      <c r="D1817" s="5" t="s">
        <v>3904</v>
      </c>
      <c r="E1817" s="3">
        <v>2551</v>
      </c>
      <c r="F1817" t="s">
        <v>1513</v>
      </c>
      <c r="G1817" t="s">
        <v>707</v>
      </c>
      <c r="H1817" s="9">
        <v>7.99</v>
      </c>
      <c r="I1817" s="3">
        <v>1</v>
      </c>
      <c r="J1817" s="5" t="s">
        <v>68</v>
      </c>
      <c r="K1817" s="15">
        <v>41962.857893518521</v>
      </c>
      <c r="L1817" s="20">
        <f t="shared" si="84"/>
        <v>41962</v>
      </c>
      <c r="M1817" t="str">
        <f t="shared" si="85"/>
        <v>11-2014</v>
      </c>
      <c r="N1817">
        <f t="shared" si="86"/>
        <v>7.99</v>
      </c>
    </row>
    <row r="1818" spans="3:14" x14ac:dyDescent="0.25">
      <c r="C1818" t="str">
        <f>IF(COUNTBLANK(E1818:K1818) = 7,"",IF(AND(NOT(ISBLANK(E1818)),COUNTBLANK(E1818:K1818) = 6),"3 Delete",IF(ISBLANK(E1818),"2 Add",IF(SHA1Range(E1818:K1818) = "bc23e24855a181c1123fd9ae008797fc210fbc6a","0 Original","1 Modify"))))</f>
        <v>0 Original</v>
      </c>
      <c r="D1818" s="5" t="s">
        <v>3905</v>
      </c>
      <c r="E1818" s="3">
        <v>2552</v>
      </c>
      <c r="F1818" t="s">
        <v>1513</v>
      </c>
      <c r="G1818" t="s">
        <v>373</v>
      </c>
      <c r="H1818" s="9">
        <v>7.99</v>
      </c>
      <c r="I1818" s="3">
        <v>1</v>
      </c>
      <c r="J1818" s="5" t="s">
        <v>68</v>
      </c>
      <c r="K1818" s="15">
        <v>41962.857893518521</v>
      </c>
      <c r="L1818" s="20">
        <f t="shared" si="84"/>
        <v>41962</v>
      </c>
      <c r="M1818" t="str">
        <f t="shared" si="85"/>
        <v>11-2014</v>
      </c>
      <c r="N1818">
        <f t="shared" si="86"/>
        <v>7.99</v>
      </c>
    </row>
    <row r="1819" spans="3:14" x14ac:dyDescent="0.25">
      <c r="C1819" t="str">
        <f>IF(COUNTBLANK(E1819:K1819) = 7,"",IF(AND(NOT(ISBLANK(E1819)),COUNTBLANK(E1819:K1819) = 6),"3 Delete",IF(ISBLANK(E1819),"2 Add",IF(SHA1Range(E1819:K1819) = "d28e9b31289bd5e9ff36610f9836feaf81416d8a","0 Original","1 Modify"))))</f>
        <v>0 Original</v>
      </c>
      <c r="D1819" s="5" t="s">
        <v>3906</v>
      </c>
      <c r="E1819" s="3">
        <v>3623</v>
      </c>
      <c r="F1819" t="s">
        <v>1514</v>
      </c>
      <c r="G1819" t="s">
        <v>707</v>
      </c>
      <c r="H1819" s="9">
        <v>7.99</v>
      </c>
      <c r="I1819" s="3">
        <v>1</v>
      </c>
      <c r="J1819" s="5" t="s">
        <v>68</v>
      </c>
      <c r="K1819" s="15">
        <v>41962.962245370371</v>
      </c>
      <c r="L1819" s="20">
        <f t="shared" si="84"/>
        <v>41962</v>
      </c>
      <c r="M1819" t="str">
        <f t="shared" si="85"/>
        <v>11-2014</v>
      </c>
      <c r="N1819">
        <f t="shared" si="86"/>
        <v>7.99</v>
      </c>
    </row>
    <row r="1820" spans="3:14" x14ac:dyDescent="0.25">
      <c r="C1820" t="str">
        <f>IF(COUNTBLANK(E1820:K1820) = 7,"",IF(AND(NOT(ISBLANK(E1820)),COUNTBLANK(E1820:K1820) = 6),"3 Delete",IF(ISBLANK(E1820),"2 Add",IF(SHA1Range(E1820:K1820) = "6c27b0b7bfdf569d271d8bf33d61a0f283dd225a","0 Original","1 Modify"))))</f>
        <v>0 Original</v>
      </c>
      <c r="D1820" s="5" t="s">
        <v>3907</v>
      </c>
      <c r="E1820" s="3">
        <v>3624</v>
      </c>
      <c r="F1820" t="s">
        <v>1514</v>
      </c>
      <c r="G1820" t="s">
        <v>642</v>
      </c>
      <c r="H1820" s="9">
        <v>9.99</v>
      </c>
      <c r="I1820" s="3">
        <v>1</v>
      </c>
      <c r="J1820" s="5" t="s">
        <v>68</v>
      </c>
      <c r="K1820" s="15">
        <v>41962.962245370371</v>
      </c>
      <c r="L1820" s="20">
        <f t="shared" si="84"/>
        <v>41962</v>
      </c>
      <c r="M1820" t="str">
        <f t="shared" si="85"/>
        <v>11-2014</v>
      </c>
      <c r="N1820">
        <f t="shared" si="86"/>
        <v>9.99</v>
      </c>
    </row>
    <row r="1821" spans="3:14" x14ac:dyDescent="0.25">
      <c r="C1821" t="str">
        <f>IF(COUNTBLANK(E1821:K1821) = 7,"",IF(AND(NOT(ISBLANK(E1821)),COUNTBLANK(E1821:K1821) = 6),"3 Delete",IF(ISBLANK(E1821),"2 Add",IF(SHA1Range(E1821:K1821) = "166bc00f81b27d910caa692e64da325fe0f15036","0 Original","1 Modify"))))</f>
        <v>0 Original</v>
      </c>
      <c r="D1821" s="5" t="s">
        <v>3908</v>
      </c>
      <c r="E1821" s="3">
        <v>3842</v>
      </c>
      <c r="F1821" t="s">
        <v>1515</v>
      </c>
      <c r="G1821" t="s">
        <v>552</v>
      </c>
      <c r="H1821" s="9">
        <v>6.99</v>
      </c>
      <c r="I1821" s="3">
        <v>1</v>
      </c>
      <c r="J1821" s="5" t="s">
        <v>68</v>
      </c>
      <c r="K1821" s="15">
        <v>41964.428148148145</v>
      </c>
      <c r="L1821" s="20">
        <f t="shared" si="84"/>
        <v>41964</v>
      </c>
      <c r="M1821" t="str">
        <f t="shared" si="85"/>
        <v>11-2014</v>
      </c>
      <c r="N1821">
        <f t="shared" si="86"/>
        <v>6.99</v>
      </c>
    </row>
    <row r="1822" spans="3:14" x14ac:dyDescent="0.25">
      <c r="C1822" t="str">
        <f>IF(COUNTBLANK(E1822:K1822) = 7,"",IF(AND(NOT(ISBLANK(E1822)),COUNTBLANK(E1822:K1822) = 6),"3 Delete",IF(ISBLANK(E1822),"2 Add",IF(SHA1Range(E1822:K1822) = "e3bed4233aeb40a8de7cb6fe990b075b55fcccfc","0 Original","1 Modify"))))</f>
        <v>0 Original</v>
      </c>
      <c r="D1822" s="5" t="s">
        <v>3909</v>
      </c>
      <c r="E1822" s="3">
        <v>3843</v>
      </c>
      <c r="F1822" t="s">
        <v>1515</v>
      </c>
      <c r="G1822" t="s">
        <v>514</v>
      </c>
      <c r="H1822" s="9">
        <v>6.99</v>
      </c>
      <c r="I1822" s="3">
        <v>2</v>
      </c>
      <c r="J1822" s="5" t="s">
        <v>68</v>
      </c>
      <c r="K1822" s="15">
        <v>41964.428148148145</v>
      </c>
      <c r="L1822" s="20">
        <f t="shared" si="84"/>
        <v>41964</v>
      </c>
      <c r="M1822" t="str">
        <f t="shared" si="85"/>
        <v>11-2014</v>
      </c>
      <c r="N1822">
        <f t="shared" si="86"/>
        <v>13.98</v>
      </c>
    </row>
    <row r="1823" spans="3:14" x14ac:dyDescent="0.25">
      <c r="C1823" t="str">
        <f>IF(COUNTBLANK(E1823:K1823) = 7,"",IF(AND(NOT(ISBLANK(E1823)),COUNTBLANK(E1823:K1823) = 6),"3 Delete",IF(ISBLANK(E1823),"2 Add",IF(SHA1Range(E1823:K1823) = "e763a4e15b235c4bddff1001b98d4fb48f0a8322","0 Original","1 Modify"))))</f>
        <v>0 Original</v>
      </c>
      <c r="D1823" s="5" t="s">
        <v>3910</v>
      </c>
      <c r="E1823" s="3">
        <v>3844</v>
      </c>
      <c r="F1823" t="s">
        <v>1515</v>
      </c>
      <c r="G1823" t="s">
        <v>948</v>
      </c>
      <c r="H1823" s="9">
        <v>4.99</v>
      </c>
      <c r="I1823" s="3">
        <v>2</v>
      </c>
      <c r="J1823" s="5" t="s">
        <v>68</v>
      </c>
      <c r="K1823" s="15">
        <v>41964.428148148145</v>
      </c>
      <c r="L1823" s="20">
        <f t="shared" si="84"/>
        <v>41964</v>
      </c>
      <c r="M1823" t="str">
        <f t="shared" si="85"/>
        <v>11-2014</v>
      </c>
      <c r="N1823">
        <f t="shared" si="86"/>
        <v>9.98</v>
      </c>
    </row>
    <row r="1824" spans="3:14" x14ac:dyDescent="0.25">
      <c r="C1824" t="str">
        <f>IF(COUNTBLANK(E1824:K1824) = 7,"",IF(AND(NOT(ISBLANK(E1824)),COUNTBLANK(E1824:K1824) = 6),"3 Delete",IF(ISBLANK(E1824),"2 Add",IF(SHA1Range(E1824:K1824) = "bbb4ad430a4eb9e13a590396d8c82a0d30ba81e2","0 Original","1 Modify"))))</f>
        <v>0 Original</v>
      </c>
      <c r="D1824" s="5" t="s">
        <v>3911</v>
      </c>
      <c r="E1824" s="3">
        <v>3845</v>
      </c>
      <c r="F1824" t="s">
        <v>1515</v>
      </c>
      <c r="G1824" t="s">
        <v>579</v>
      </c>
      <c r="H1824" s="9">
        <v>9.99</v>
      </c>
      <c r="I1824" s="3">
        <v>2</v>
      </c>
      <c r="J1824" s="5" t="s">
        <v>68</v>
      </c>
      <c r="K1824" s="15">
        <v>41964.428148148145</v>
      </c>
      <c r="L1824" s="20">
        <f t="shared" si="84"/>
        <v>41964</v>
      </c>
      <c r="M1824" t="str">
        <f t="shared" si="85"/>
        <v>11-2014</v>
      </c>
      <c r="N1824">
        <f t="shared" si="86"/>
        <v>19.98</v>
      </c>
    </row>
    <row r="1825" spans="3:14" x14ac:dyDescent="0.25">
      <c r="C1825" t="str">
        <f>IF(COUNTBLANK(E1825:K1825) = 7,"",IF(AND(NOT(ISBLANK(E1825)),COUNTBLANK(E1825:K1825) = 6),"3 Delete",IF(ISBLANK(E1825),"2 Add",IF(SHA1Range(E1825:K1825) = "e9a084b55a89c98fcb81ff1cba0c38c8e953adad","0 Original","1 Modify"))))</f>
        <v>0 Original</v>
      </c>
      <c r="D1825" s="5" t="s">
        <v>3912</v>
      </c>
      <c r="E1825" s="3">
        <v>3846</v>
      </c>
      <c r="F1825" t="s">
        <v>1515</v>
      </c>
      <c r="G1825" t="s">
        <v>948</v>
      </c>
      <c r="H1825" s="9">
        <v>4.99</v>
      </c>
      <c r="I1825" s="3">
        <v>1</v>
      </c>
      <c r="J1825" s="5" t="s">
        <v>68</v>
      </c>
      <c r="K1825" s="15">
        <v>41964.428148148145</v>
      </c>
      <c r="L1825" s="20">
        <f t="shared" si="84"/>
        <v>41964</v>
      </c>
      <c r="M1825" t="str">
        <f t="shared" si="85"/>
        <v>11-2014</v>
      </c>
      <c r="N1825">
        <f t="shared" si="86"/>
        <v>4.99</v>
      </c>
    </row>
    <row r="1826" spans="3:14" x14ac:dyDescent="0.25">
      <c r="C1826" t="str">
        <f>IF(COUNTBLANK(E1826:K1826) = 7,"",IF(AND(NOT(ISBLANK(E1826)),COUNTBLANK(E1826:K1826) = 6),"3 Delete",IF(ISBLANK(E1826),"2 Add",IF(SHA1Range(E1826:K1826) = "2ce502eeb2392a0862612989b436e9a15471c1f6","0 Original","1 Modify"))))</f>
        <v>0 Original</v>
      </c>
      <c r="D1826" s="5" t="s">
        <v>3913</v>
      </c>
      <c r="E1826" s="3">
        <v>3847</v>
      </c>
      <c r="F1826" t="s">
        <v>1515</v>
      </c>
      <c r="G1826" t="s">
        <v>514</v>
      </c>
      <c r="H1826" s="9">
        <v>6.99</v>
      </c>
      <c r="I1826" s="3">
        <v>1</v>
      </c>
      <c r="J1826" s="5" t="s">
        <v>68</v>
      </c>
      <c r="K1826" s="15">
        <v>41964.428148148145</v>
      </c>
      <c r="L1826" s="20">
        <f t="shared" si="84"/>
        <v>41964</v>
      </c>
      <c r="M1826" t="str">
        <f t="shared" si="85"/>
        <v>11-2014</v>
      </c>
      <c r="N1826">
        <f t="shared" si="86"/>
        <v>6.99</v>
      </c>
    </row>
    <row r="1827" spans="3:14" x14ac:dyDescent="0.25">
      <c r="C1827" t="str">
        <f>IF(COUNTBLANK(E1827:K1827) = 7,"",IF(AND(NOT(ISBLANK(E1827)),COUNTBLANK(E1827:K1827) = 6),"3 Delete",IF(ISBLANK(E1827),"2 Add",IF(SHA1Range(E1827:K1827) = "e00f90a756ee019a4e25c96fdde42e3bb93f31f5","0 Original","1 Modify"))))</f>
        <v>0 Original</v>
      </c>
      <c r="D1827" s="5" t="s">
        <v>4344</v>
      </c>
      <c r="E1827" s="3">
        <v>198</v>
      </c>
      <c r="F1827" t="s">
        <v>1516</v>
      </c>
      <c r="G1827" t="s">
        <v>945</v>
      </c>
      <c r="H1827" s="9">
        <v>4.99</v>
      </c>
      <c r="I1827" s="3">
        <v>2</v>
      </c>
      <c r="J1827" s="5" t="s">
        <v>68</v>
      </c>
      <c r="K1827" s="15">
        <v>41965.52002314815</v>
      </c>
      <c r="L1827" s="20">
        <f t="shared" si="84"/>
        <v>41965</v>
      </c>
      <c r="M1827" t="str">
        <f t="shared" si="85"/>
        <v>11-2014</v>
      </c>
      <c r="N1827">
        <f t="shared" si="86"/>
        <v>9.98</v>
      </c>
    </row>
    <row r="1828" spans="3:14" x14ac:dyDescent="0.25">
      <c r="C1828" t="str">
        <f>IF(COUNTBLANK(E1828:K1828) = 7,"",IF(AND(NOT(ISBLANK(E1828)),COUNTBLANK(E1828:K1828) = 6),"3 Delete",IF(ISBLANK(E1828),"2 Add",IF(SHA1Range(E1828:K1828) = "9f206f6d68850aea4137917eb78c587d51f0cef2","0 Original","1 Modify"))))</f>
        <v>0 Original</v>
      </c>
      <c r="D1828" s="5" t="s">
        <v>4345</v>
      </c>
      <c r="E1828" s="3">
        <v>199</v>
      </c>
      <c r="F1828" t="s">
        <v>1516</v>
      </c>
      <c r="G1828" t="s">
        <v>806</v>
      </c>
      <c r="H1828" s="9">
        <v>5.99</v>
      </c>
      <c r="I1828" s="3">
        <v>1</v>
      </c>
      <c r="J1828" s="5" t="s">
        <v>68</v>
      </c>
      <c r="K1828" s="15">
        <v>41965.52002314815</v>
      </c>
      <c r="L1828" s="20">
        <f t="shared" si="84"/>
        <v>41965</v>
      </c>
      <c r="M1828" t="str">
        <f t="shared" si="85"/>
        <v>11-2014</v>
      </c>
      <c r="N1828">
        <f t="shared" si="86"/>
        <v>5.99</v>
      </c>
    </row>
    <row r="1829" spans="3:14" x14ac:dyDescent="0.25">
      <c r="C1829" t="str">
        <f>IF(COUNTBLANK(E1829:K1829) = 7,"",IF(AND(NOT(ISBLANK(E1829)),COUNTBLANK(E1829:K1829) = 6),"3 Delete",IF(ISBLANK(E1829),"2 Add",IF(SHA1Range(E1829:K1829) = "2aae13d92d48c3f997eb14cac1aeaf35942ed048","0 Original","1 Modify"))))</f>
        <v>0 Original</v>
      </c>
      <c r="D1829" s="5" t="s">
        <v>4346</v>
      </c>
      <c r="E1829" s="3">
        <v>200</v>
      </c>
      <c r="F1829" t="s">
        <v>1516</v>
      </c>
      <c r="G1829" t="s">
        <v>588</v>
      </c>
      <c r="H1829" s="9">
        <v>4.99</v>
      </c>
      <c r="I1829" s="3">
        <v>1</v>
      </c>
      <c r="J1829" s="5" t="s">
        <v>68</v>
      </c>
      <c r="K1829" s="15">
        <v>41965.52002314815</v>
      </c>
      <c r="L1829" s="20">
        <f t="shared" si="84"/>
        <v>41965</v>
      </c>
      <c r="M1829" t="str">
        <f t="shared" si="85"/>
        <v>11-2014</v>
      </c>
      <c r="N1829">
        <f t="shared" si="86"/>
        <v>4.99</v>
      </c>
    </row>
    <row r="1830" spans="3:14" x14ac:dyDescent="0.25">
      <c r="C1830" t="str">
        <f>IF(COUNTBLANK(E1830:K1830) = 7,"",IF(AND(NOT(ISBLANK(E1830)),COUNTBLANK(E1830:K1830) = 6),"3 Delete",IF(ISBLANK(E1830),"2 Add",IF(SHA1Range(E1830:K1830) = "965d6a5b3bb92c7936517c30af4151f7a062ebbe","0 Original","1 Modify"))))</f>
        <v>0 Original</v>
      </c>
      <c r="D1830" s="5" t="s">
        <v>3914</v>
      </c>
      <c r="E1830" s="3">
        <v>2403</v>
      </c>
      <c r="F1830" t="s">
        <v>1517</v>
      </c>
      <c r="G1830" t="s">
        <v>514</v>
      </c>
      <c r="H1830" s="9">
        <v>6.99</v>
      </c>
      <c r="I1830" s="3">
        <v>2</v>
      </c>
      <c r="J1830" s="5" t="s">
        <v>68</v>
      </c>
      <c r="K1830" s="15">
        <v>41968.780231481483</v>
      </c>
      <c r="L1830" s="20">
        <f t="shared" si="84"/>
        <v>41968</v>
      </c>
      <c r="M1830" t="str">
        <f t="shared" si="85"/>
        <v>11-2014</v>
      </c>
      <c r="N1830">
        <f t="shared" si="86"/>
        <v>13.98</v>
      </c>
    </row>
    <row r="1831" spans="3:14" x14ac:dyDescent="0.25">
      <c r="C1831" t="str">
        <f>IF(COUNTBLANK(E1831:K1831) = 7,"",IF(AND(NOT(ISBLANK(E1831)),COUNTBLANK(E1831:K1831) = 6),"3 Delete",IF(ISBLANK(E1831),"2 Add",IF(SHA1Range(E1831:K1831) = "0a8c270f75cecb20e56ac914e5731dc7f64f45af","0 Original","1 Modify"))))</f>
        <v>0 Original</v>
      </c>
      <c r="D1831" s="5" t="s">
        <v>3915</v>
      </c>
      <c r="E1831" s="3">
        <v>2404</v>
      </c>
      <c r="F1831" t="s">
        <v>1517</v>
      </c>
      <c r="G1831" t="s">
        <v>400</v>
      </c>
      <c r="H1831" s="9">
        <v>4.99</v>
      </c>
      <c r="I1831" s="3">
        <v>1</v>
      </c>
      <c r="J1831" s="5" t="s">
        <v>68</v>
      </c>
      <c r="K1831" s="15">
        <v>41968.780231481483</v>
      </c>
      <c r="L1831" s="20">
        <f t="shared" si="84"/>
        <v>41968</v>
      </c>
      <c r="M1831" t="str">
        <f t="shared" si="85"/>
        <v>11-2014</v>
      </c>
      <c r="N1831">
        <f t="shared" si="86"/>
        <v>4.99</v>
      </c>
    </row>
    <row r="1832" spans="3:14" x14ac:dyDescent="0.25">
      <c r="C1832" t="str">
        <f>IF(COUNTBLANK(E1832:K1832) = 7,"",IF(AND(NOT(ISBLANK(E1832)),COUNTBLANK(E1832:K1832) = 6),"3 Delete",IF(ISBLANK(E1832),"2 Add",IF(SHA1Range(E1832:K1832) = "5bacff891a59c21f5b82a5fdecb762a613244449","0 Original","1 Modify"))))</f>
        <v>0 Original</v>
      </c>
      <c r="D1832" s="5" t="s">
        <v>3916</v>
      </c>
      <c r="E1832" s="3">
        <v>2405</v>
      </c>
      <c r="F1832" t="s">
        <v>1517</v>
      </c>
      <c r="G1832" t="s">
        <v>373</v>
      </c>
      <c r="H1832" s="9">
        <v>7.99</v>
      </c>
      <c r="I1832" s="3">
        <v>1</v>
      </c>
      <c r="J1832" s="5" t="s">
        <v>68</v>
      </c>
      <c r="K1832" s="15">
        <v>41968.780231481483</v>
      </c>
      <c r="L1832" s="20">
        <f t="shared" si="84"/>
        <v>41968</v>
      </c>
      <c r="M1832" t="str">
        <f t="shared" si="85"/>
        <v>11-2014</v>
      </c>
      <c r="N1832">
        <f t="shared" si="86"/>
        <v>7.99</v>
      </c>
    </row>
    <row r="1833" spans="3:14" x14ac:dyDescent="0.25">
      <c r="C1833" t="str">
        <f>IF(COUNTBLANK(E1833:K1833) = 7,"",IF(AND(NOT(ISBLANK(E1833)),COUNTBLANK(E1833:K1833) = 6),"3 Delete",IF(ISBLANK(E1833),"2 Add",IF(SHA1Range(E1833:K1833) = "925ef13270bda001f7e5630f8c81f370e40d8f36","0 Original","1 Modify"))))</f>
        <v>0 Original</v>
      </c>
      <c r="D1833" s="5" t="s">
        <v>3917</v>
      </c>
      <c r="E1833" s="3">
        <v>2406</v>
      </c>
      <c r="F1833" t="s">
        <v>1517</v>
      </c>
      <c r="G1833" t="s">
        <v>552</v>
      </c>
      <c r="H1833" s="9">
        <v>6.99</v>
      </c>
      <c r="I1833" s="3">
        <v>2</v>
      </c>
      <c r="J1833" s="5" t="s">
        <v>68</v>
      </c>
      <c r="K1833" s="15">
        <v>41968.780231481483</v>
      </c>
      <c r="L1833" s="20">
        <f t="shared" si="84"/>
        <v>41968</v>
      </c>
      <c r="M1833" t="str">
        <f t="shared" si="85"/>
        <v>11-2014</v>
      </c>
      <c r="N1833">
        <f t="shared" si="86"/>
        <v>13.98</v>
      </c>
    </row>
    <row r="1834" spans="3:14" x14ac:dyDescent="0.25">
      <c r="C1834" t="str">
        <f>IF(COUNTBLANK(E1834:K1834) = 7,"",IF(AND(NOT(ISBLANK(E1834)),COUNTBLANK(E1834:K1834) = 6),"3 Delete",IF(ISBLANK(E1834),"2 Add",IF(SHA1Range(E1834:K1834) = "d2b12131af45b711855ef71f956c2381a33c9904","0 Original","1 Modify"))))</f>
        <v>0 Original</v>
      </c>
      <c r="D1834" s="5" t="s">
        <v>3918</v>
      </c>
      <c r="E1834" s="3">
        <v>2407</v>
      </c>
      <c r="F1834" t="s">
        <v>1517</v>
      </c>
      <c r="G1834" t="s">
        <v>707</v>
      </c>
      <c r="H1834" s="9">
        <v>7.99</v>
      </c>
      <c r="I1834" s="3">
        <v>1</v>
      </c>
      <c r="J1834" s="5" t="s">
        <v>68</v>
      </c>
      <c r="K1834" s="15">
        <v>41968.780231481483</v>
      </c>
      <c r="L1834" s="20">
        <f t="shared" si="84"/>
        <v>41968</v>
      </c>
      <c r="M1834" t="str">
        <f t="shared" si="85"/>
        <v>11-2014</v>
      </c>
      <c r="N1834">
        <f t="shared" si="86"/>
        <v>7.99</v>
      </c>
    </row>
    <row r="1835" spans="3:14" x14ac:dyDescent="0.25">
      <c r="C1835" t="str">
        <f>IF(COUNTBLANK(E1835:K1835) = 7,"",IF(AND(NOT(ISBLANK(E1835)),COUNTBLANK(E1835:K1835) = 6),"3 Delete",IF(ISBLANK(E1835),"2 Add",IF(SHA1Range(E1835:K1835) = "5617ec95f47fade771e05853f322514af99a47a9","0 Original","1 Modify"))))</f>
        <v>0 Original</v>
      </c>
      <c r="D1835" s="5" t="s">
        <v>3919</v>
      </c>
      <c r="E1835" s="3">
        <v>1966</v>
      </c>
      <c r="F1835" t="s">
        <v>1518</v>
      </c>
      <c r="G1835" t="s">
        <v>548</v>
      </c>
      <c r="H1835" s="9">
        <v>5.99</v>
      </c>
      <c r="I1835" s="3">
        <v>1</v>
      </c>
      <c r="J1835" s="5" t="s">
        <v>68</v>
      </c>
      <c r="K1835" s="15">
        <v>41968.789560185185</v>
      </c>
      <c r="L1835" s="20">
        <f t="shared" si="84"/>
        <v>41968</v>
      </c>
      <c r="M1835" t="str">
        <f t="shared" si="85"/>
        <v>11-2014</v>
      </c>
      <c r="N1835">
        <f t="shared" si="86"/>
        <v>5.99</v>
      </c>
    </row>
    <row r="1836" spans="3:14" x14ac:dyDescent="0.25">
      <c r="C1836" t="str">
        <f>IF(COUNTBLANK(E1836:K1836) = 7,"",IF(AND(NOT(ISBLANK(E1836)),COUNTBLANK(E1836:K1836) = 6),"3 Delete",IF(ISBLANK(E1836),"2 Add",IF(SHA1Range(E1836:K1836) = "d391c705a1d4d518c878f3cf46adfcef98decf2b","0 Original","1 Modify"))))</f>
        <v>0 Original</v>
      </c>
      <c r="D1836" s="5" t="s">
        <v>3920</v>
      </c>
      <c r="E1836" s="3">
        <v>1967</v>
      </c>
      <c r="F1836" t="s">
        <v>1518</v>
      </c>
      <c r="G1836" t="s">
        <v>585</v>
      </c>
      <c r="H1836" s="9">
        <v>9.99</v>
      </c>
      <c r="I1836" s="3">
        <v>2</v>
      </c>
      <c r="J1836" s="5" t="s">
        <v>68</v>
      </c>
      <c r="K1836" s="15">
        <v>41968.789560185185</v>
      </c>
      <c r="L1836" s="20">
        <f t="shared" si="84"/>
        <v>41968</v>
      </c>
      <c r="M1836" t="str">
        <f t="shared" si="85"/>
        <v>11-2014</v>
      </c>
      <c r="N1836">
        <f t="shared" si="86"/>
        <v>19.98</v>
      </c>
    </row>
    <row r="1837" spans="3:14" x14ac:dyDescent="0.25">
      <c r="C1837" t="str">
        <f>IF(COUNTBLANK(E1837:K1837) = 7,"",IF(AND(NOT(ISBLANK(E1837)),COUNTBLANK(E1837:K1837) = 6),"3 Delete",IF(ISBLANK(E1837),"2 Add",IF(SHA1Range(E1837:K1837) = "8de3eaa5ce0e7472e584cf418d9b1fc300e3435a","0 Original","1 Modify"))))</f>
        <v>0 Original</v>
      </c>
      <c r="D1837" s="5" t="s">
        <v>3921</v>
      </c>
      <c r="E1837" s="3">
        <v>3887</v>
      </c>
      <c r="F1837" t="s">
        <v>1519</v>
      </c>
      <c r="G1837" t="s">
        <v>514</v>
      </c>
      <c r="H1837" s="9">
        <v>6.99</v>
      </c>
      <c r="I1837" s="3">
        <v>2</v>
      </c>
      <c r="J1837" s="5" t="s">
        <v>68</v>
      </c>
      <c r="K1837" s="15">
        <v>41968.985810185186</v>
      </c>
      <c r="L1837" s="20">
        <f t="shared" si="84"/>
        <v>41968</v>
      </c>
      <c r="M1837" t="str">
        <f t="shared" si="85"/>
        <v>11-2014</v>
      </c>
      <c r="N1837">
        <f t="shared" si="86"/>
        <v>13.98</v>
      </c>
    </row>
    <row r="1838" spans="3:14" x14ac:dyDescent="0.25">
      <c r="C1838" t="str">
        <f>IF(COUNTBLANK(E1838:K1838) = 7,"",IF(AND(NOT(ISBLANK(E1838)),COUNTBLANK(E1838:K1838) = 6),"3 Delete",IF(ISBLANK(E1838),"2 Add",IF(SHA1Range(E1838:K1838) = "231a91c6c0a0f1dae45db6f23aa27ad0250066f6","0 Original","1 Modify"))))</f>
        <v>0 Original</v>
      </c>
      <c r="D1838" s="5" t="s">
        <v>3922</v>
      </c>
      <c r="E1838" s="3">
        <v>3888</v>
      </c>
      <c r="F1838" t="s">
        <v>1519</v>
      </c>
      <c r="G1838" t="s">
        <v>749</v>
      </c>
      <c r="H1838" s="9">
        <v>5.99</v>
      </c>
      <c r="I1838" s="3">
        <v>1</v>
      </c>
      <c r="J1838" s="5" t="s">
        <v>68</v>
      </c>
      <c r="K1838" s="15">
        <v>41968.985810185186</v>
      </c>
      <c r="L1838" s="20">
        <f t="shared" si="84"/>
        <v>41968</v>
      </c>
      <c r="M1838" t="str">
        <f t="shared" si="85"/>
        <v>11-2014</v>
      </c>
      <c r="N1838">
        <f t="shared" si="86"/>
        <v>5.99</v>
      </c>
    </row>
    <row r="1839" spans="3:14" x14ac:dyDescent="0.25">
      <c r="C1839" t="str">
        <f>IF(COUNTBLANK(E1839:K1839) = 7,"",IF(AND(NOT(ISBLANK(E1839)),COUNTBLANK(E1839:K1839) = 6),"3 Delete",IF(ISBLANK(E1839),"2 Add",IF(SHA1Range(E1839:K1839) = "0371bf70afef90121b03ecfbb0aef0d8d12e2552","0 Original","1 Modify"))))</f>
        <v>0 Original</v>
      </c>
      <c r="D1839" s="5" t="s">
        <v>3923</v>
      </c>
      <c r="E1839" s="3">
        <v>3889</v>
      </c>
      <c r="F1839" t="s">
        <v>1519</v>
      </c>
      <c r="G1839" t="s">
        <v>948</v>
      </c>
      <c r="H1839" s="9">
        <v>4.99</v>
      </c>
      <c r="I1839" s="3">
        <v>2</v>
      </c>
      <c r="J1839" s="5" t="s">
        <v>68</v>
      </c>
      <c r="K1839" s="15">
        <v>41968.985810185186</v>
      </c>
      <c r="L1839" s="20">
        <f t="shared" si="84"/>
        <v>41968</v>
      </c>
      <c r="M1839" t="str">
        <f t="shared" si="85"/>
        <v>11-2014</v>
      </c>
      <c r="N1839">
        <f t="shared" si="86"/>
        <v>9.98</v>
      </c>
    </row>
    <row r="1840" spans="3:14" x14ac:dyDescent="0.25">
      <c r="C1840" t="str">
        <f>IF(COUNTBLANK(E1840:K1840) = 7,"",IF(AND(NOT(ISBLANK(E1840)),COUNTBLANK(E1840:K1840) = 6),"3 Delete",IF(ISBLANK(E1840),"2 Add",IF(SHA1Range(E1840:K1840) = "6e3ff44a29d771fa42d8316e1d55dead04b7c5a7","0 Original","1 Modify"))))</f>
        <v>0 Original</v>
      </c>
      <c r="D1840" s="5" t="s">
        <v>3924</v>
      </c>
      <c r="E1840" s="3">
        <v>3810</v>
      </c>
      <c r="F1840" t="s">
        <v>1520</v>
      </c>
      <c r="G1840" t="s">
        <v>579</v>
      </c>
      <c r="H1840" s="9">
        <v>9.99</v>
      </c>
      <c r="I1840" s="3">
        <v>1</v>
      </c>
      <c r="J1840" s="5" t="s">
        <v>68</v>
      </c>
      <c r="K1840" s="15">
        <v>41970.303773148145</v>
      </c>
      <c r="L1840" s="20">
        <f t="shared" si="84"/>
        <v>41970</v>
      </c>
      <c r="M1840" t="str">
        <f t="shared" si="85"/>
        <v>11-2014</v>
      </c>
      <c r="N1840">
        <f t="shared" si="86"/>
        <v>9.99</v>
      </c>
    </row>
    <row r="1841" spans="3:14" x14ac:dyDescent="0.25">
      <c r="C1841" t="str">
        <f>IF(COUNTBLANK(E1841:K1841) = 7,"",IF(AND(NOT(ISBLANK(E1841)),COUNTBLANK(E1841:K1841) = 6),"3 Delete",IF(ISBLANK(E1841),"2 Add",IF(SHA1Range(E1841:K1841) = "2d7f74d3b85a7d1101461c2bcd04de456e3d97cc","0 Original","1 Modify"))))</f>
        <v>0 Original</v>
      </c>
      <c r="D1841" s="5" t="s">
        <v>3925</v>
      </c>
      <c r="E1841" s="3">
        <v>3811</v>
      </c>
      <c r="F1841" t="s">
        <v>1520</v>
      </c>
      <c r="G1841" t="s">
        <v>400</v>
      </c>
      <c r="H1841" s="9">
        <v>4.99</v>
      </c>
      <c r="I1841" s="3">
        <v>1</v>
      </c>
      <c r="J1841" s="5" t="s">
        <v>68</v>
      </c>
      <c r="K1841" s="15">
        <v>41970.303773148145</v>
      </c>
      <c r="L1841" s="20">
        <f t="shared" si="84"/>
        <v>41970</v>
      </c>
      <c r="M1841" t="str">
        <f t="shared" si="85"/>
        <v>11-2014</v>
      </c>
      <c r="N1841">
        <f t="shared" si="86"/>
        <v>4.99</v>
      </c>
    </row>
    <row r="1842" spans="3:14" x14ac:dyDescent="0.25">
      <c r="C1842" t="str">
        <f>IF(COUNTBLANK(E1842:K1842) = 7,"",IF(AND(NOT(ISBLANK(E1842)),COUNTBLANK(E1842:K1842) = 6),"3 Delete",IF(ISBLANK(E1842),"2 Add",IF(SHA1Range(E1842:K1842) = "e9e5f94e219102aba2f28c48d7e947db92fba7d0","0 Original","1 Modify"))))</f>
        <v>0 Original</v>
      </c>
      <c r="D1842" s="5" t="s">
        <v>3926</v>
      </c>
      <c r="E1842" s="3">
        <v>3696</v>
      </c>
      <c r="F1842" t="s">
        <v>1521</v>
      </c>
      <c r="G1842" t="s">
        <v>948</v>
      </c>
      <c r="H1842" s="9">
        <v>4.99</v>
      </c>
      <c r="I1842" s="3">
        <v>1</v>
      </c>
      <c r="J1842" s="5" t="s">
        <v>68</v>
      </c>
      <c r="K1842" s="15">
        <v>41971.272291666668</v>
      </c>
      <c r="L1842" s="20">
        <f t="shared" si="84"/>
        <v>41971</v>
      </c>
      <c r="M1842" t="str">
        <f t="shared" si="85"/>
        <v>11-2014</v>
      </c>
      <c r="N1842">
        <f t="shared" si="86"/>
        <v>4.99</v>
      </c>
    </row>
    <row r="1843" spans="3:14" x14ac:dyDescent="0.25">
      <c r="C1843" t="str">
        <f>IF(COUNTBLANK(E1843:K1843) = 7,"",IF(AND(NOT(ISBLANK(E1843)),COUNTBLANK(E1843:K1843) = 6),"3 Delete",IF(ISBLANK(E1843),"2 Add",IF(SHA1Range(E1843:K1843) = "62380581443a06d10951df4405781289bba0604d","0 Original","1 Modify"))))</f>
        <v>0 Original</v>
      </c>
      <c r="D1843" s="5" t="s">
        <v>3927</v>
      </c>
      <c r="E1843" s="3">
        <v>3697</v>
      </c>
      <c r="F1843" t="s">
        <v>1521</v>
      </c>
      <c r="G1843" t="s">
        <v>552</v>
      </c>
      <c r="H1843" s="9">
        <v>6.99</v>
      </c>
      <c r="I1843" s="3">
        <v>1</v>
      </c>
      <c r="J1843" s="5" t="s">
        <v>68</v>
      </c>
      <c r="K1843" s="15">
        <v>41971.272291666668</v>
      </c>
      <c r="L1843" s="20">
        <f t="shared" si="84"/>
        <v>41971</v>
      </c>
      <c r="M1843" t="str">
        <f t="shared" si="85"/>
        <v>11-2014</v>
      </c>
      <c r="N1843">
        <f t="shared" si="86"/>
        <v>6.99</v>
      </c>
    </row>
    <row r="1844" spans="3:14" x14ac:dyDescent="0.25">
      <c r="C1844" t="str">
        <f>IF(COUNTBLANK(E1844:K1844) = 7,"",IF(AND(NOT(ISBLANK(E1844)),COUNTBLANK(E1844:K1844) = 6),"3 Delete",IF(ISBLANK(E1844),"2 Add",IF(SHA1Range(E1844:K1844) = "c9e0695062727e1958383a2fab37c094c8586f69","0 Original","1 Modify"))))</f>
        <v>0 Original</v>
      </c>
      <c r="D1844" s="5" t="s">
        <v>3928</v>
      </c>
      <c r="E1844" s="3">
        <v>3698</v>
      </c>
      <c r="F1844" t="s">
        <v>1521</v>
      </c>
      <c r="G1844" t="s">
        <v>749</v>
      </c>
      <c r="H1844" s="9">
        <v>5.99</v>
      </c>
      <c r="I1844" s="3">
        <v>1</v>
      </c>
      <c r="J1844" s="5" t="s">
        <v>68</v>
      </c>
      <c r="K1844" s="15">
        <v>41971.272291666668</v>
      </c>
      <c r="L1844" s="20">
        <f t="shared" si="84"/>
        <v>41971</v>
      </c>
      <c r="M1844" t="str">
        <f t="shared" si="85"/>
        <v>11-2014</v>
      </c>
      <c r="N1844">
        <f t="shared" si="86"/>
        <v>5.99</v>
      </c>
    </row>
    <row r="1845" spans="3:14" x14ac:dyDescent="0.25">
      <c r="C1845" t="str">
        <f>IF(COUNTBLANK(E1845:K1845) = 7,"",IF(AND(NOT(ISBLANK(E1845)),COUNTBLANK(E1845:K1845) = 6),"3 Delete",IF(ISBLANK(E1845),"2 Add",IF(SHA1Range(E1845:K1845) = "aaffa0eaedcd2c19d16652e8ab7b83822c29f61d","0 Original","1 Modify"))))</f>
        <v>0 Original</v>
      </c>
      <c r="D1845" s="5" t="s">
        <v>4347</v>
      </c>
      <c r="E1845" s="3">
        <v>362</v>
      </c>
      <c r="F1845" t="s">
        <v>1522</v>
      </c>
      <c r="G1845" t="s">
        <v>404</v>
      </c>
      <c r="H1845" s="9">
        <v>5.99</v>
      </c>
      <c r="I1845" s="3">
        <v>1</v>
      </c>
      <c r="J1845" s="5" t="s">
        <v>68</v>
      </c>
      <c r="K1845" s="15">
        <v>41971.434305555558</v>
      </c>
      <c r="L1845" s="20">
        <f t="shared" si="84"/>
        <v>41971</v>
      </c>
      <c r="M1845" t="str">
        <f t="shared" si="85"/>
        <v>11-2014</v>
      </c>
      <c r="N1845">
        <f t="shared" si="86"/>
        <v>5.99</v>
      </c>
    </row>
    <row r="1846" spans="3:14" x14ac:dyDescent="0.25">
      <c r="C1846" t="str">
        <f>IF(COUNTBLANK(E1846:K1846) = 7,"",IF(AND(NOT(ISBLANK(E1846)),COUNTBLANK(E1846:K1846) = 6),"3 Delete",IF(ISBLANK(E1846),"2 Add",IF(SHA1Range(E1846:K1846) = "8856e260bcf6c0678c9967b14afe0bcf0039eda7","0 Original","1 Modify"))))</f>
        <v>0 Original</v>
      </c>
      <c r="D1846" s="5" t="s">
        <v>4348</v>
      </c>
      <c r="E1846" s="3">
        <v>363</v>
      </c>
      <c r="F1846" t="s">
        <v>1522</v>
      </c>
      <c r="G1846" t="s">
        <v>651</v>
      </c>
      <c r="H1846" s="9">
        <v>4.99</v>
      </c>
      <c r="I1846" s="3">
        <v>1</v>
      </c>
      <c r="J1846" s="5" t="s">
        <v>68</v>
      </c>
      <c r="K1846" s="15">
        <v>41971.434305555558</v>
      </c>
      <c r="L1846" s="20">
        <f t="shared" si="84"/>
        <v>41971</v>
      </c>
      <c r="M1846" t="str">
        <f t="shared" si="85"/>
        <v>11-2014</v>
      </c>
      <c r="N1846">
        <f t="shared" si="86"/>
        <v>4.99</v>
      </c>
    </row>
    <row r="1847" spans="3:14" x14ac:dyDescent="0.25">
      <c r="C1847" t="str">
        <f>IF(COUNTBLANK(E1847:K1847) = 7,"",IF(AND(NOT(ISBLANK(E1847)),COUNTBLANK(E1847:K1847) = 6),"3 Delete",IF(ISBLANK(E1847),"2 Add",IF(SHA1Range(E1847:K1847) = "58d4e2d468ea6eab6e55997abfe63633a196d0fb","0 Original","1 Modify"))))</f>
        <v>0 Original</v>
      </c>
      <c r="D1847" s="5" t="s">
        <v>4349</v>
      </c>
      <c r="E1847" s="3">
        <v>821</v>
      </c>
      <c r="F1847" t="s">
        <v>1523</v>
      </c>
      <c r="G1847" t="s">
        <v>600</v>
      </c>
      <c r="H1847" s="9">
        <v>5.99</v>
      </c>
      <c r="I1847" s="3">
        <v>1</v>
      </c>
      <c r="J1847" s="5" t="s">
        <v>68</v>
      </c>
      <c r="K1847" s="15">
        <v>41973.388888888891</v>
      </c>
      <c r="L1847" s="20">
        <f t="shared" si="84"/>
        <v>41973</v>
      </c>
      <c r="M1847" t="str">
        <f t="shared" si="85"/>
        <v>11-2014</v>
      </c>
      <c r="N1847">
        <f t="shared" si="86"/>
        <v>5.99</v>
      </c>
    </row>
    <row r="1848" spans="3:14" x14ac:dyDescent="0.25">
      <c r="C1848" t="str">
        <f>IF(COUNTBLANK(E1848:K1848) = 7,"",IF(AND(NOT(ISBLANK(E1848)),COUNTBLANK(E1848:K1848) = 6),"3 Delete",IF(ISBLANK(E1848),"2 Add",IF(SHA1Range(E1848:K1848) = "79151d9e7a575190b75b0569feaf0bae6557eba3","0 Original","1 Modify"))))</f>
        <v>0 Original</v>
      </c>
      <c r="D1848" s="5" t="s">
        <v>3929</v>
      </c>
      <c r="E1848" s="3">
        <v>822</v>
      </c>
      <c r="F1848" t="s">
        <v>1523</v>
      </c>
      <c r="G1848" t="s">
        <v>507</v>
      </c>
      <c r="H1848" s="9">
        <v>6.99</v>
      </c>
      <c r="I1848" s="3">
        <v>1</v>
      </c>
      <c r="J1848" s="5" t="s">
        <v>68</v>
      </c>
      <c r="K1848" s="15">
        <v>41973.388888888891</v>
      </c>
      <c r="L1848" s="20">
        <f t="shared" si="84"/>
        <v>41973</v>
      </c>
      <c r="M1848" t="str">
        <f t="shared" si="85"/>
        <v>11-2014</v>
      </c>
      <c r="N1848">
        <f t="shared" si="86"/>
        <v>6.99</v>
      </c>
    </row>
    <row r="1849" spans="3:14" x14ac:dyDescent="0.25">
      <c r="C1849" t="str">
        <f>IF(COUNTBLANK(E1849:K1849) = 7,"",IF(AND(NOT(ISBLANK(E1849)),COUNTBLANK(E1849:K1849) = 6),"3 Delete",IF(ISBLANK(E1849),"2 Add",IF(SHA1Range(E1849:K1849) = "530490b150d6d37254a79823bd5afb1272e5d759","0 Original","1 Modify"))))</f>
        <v>0 Original</v>
      </c>
      <c r="D1849" s="5" t="s">
        <v>3930</v>
      </c>
      <c r="E1849" s="3">
        <v>3426</v>
      </c>
      <c r="F1849" t="s">
        <v>1524</v>
      </c>
      <c r="G1849" t="s">
        <v>687</v>
      </c>
      <c r="H1849" s="9">
        <v>9.99</v>
      </c>
      <c r="I1849" s="3">
        <v>1</v>
      </c>
      <c r="J1849" s="5" t="s">
        <v>68</v>
      </c>
      <c r="K1849" s="15">
        <v>41975.105358796296</v>
      </c>
      <c r="L1849" s="20">
        <f t="shared" si="84"/>
        <v>41975</v>
      </c>
      <c r="M1849" t="str">
        <f t="shared" si="85"/>
        <v>12-2014</v>
      </c>
      <c r="N1849">
        <f t="shared" si="86"/>
        <v>9.99</v>
      </c>
    </row>
    <row r="1850" spans="3:14" x14ac:dyDescent="0.25">
      <c r="C1850" t="str">
        <f>IF(COUNTBLANK(E1850:K1850) = 7,"",IF(AND(NOT(ISBLANK(E1850)),COUNTBLANK(E1850:K1850) = 6),"3 Delete",IF(ISBLANK(E1850),"2 Add",IF(SHA1Range(E1850:K1850) = "79fa053bbed2ed84d6b266368fbd6c70c3a1ef7d","0 Original","1 Modify"))))</f>
        <v>0 Original</v>
      </c>
      <c r="D1850" s="5" t="s">
        <v>3931</v>
      </c>
      <c r="E1850" s="3">
        <v>3427</v>
      </c>
      <c r="F1850" t="s">
        <v>1524</v>
      </c>
      <c r="G1850" t="s">
        <v>579</v>
      </c>
      <c r="H1850" s="9">
        <v>9.99</v>
      </c>
      <c r="I1850" s="3">
        <v>1</v>
      </c>
      <c r="J1850" s="5" t="s">
        <v>68</v>
      </c>
      <c r="K1850" s="15">
        <v>41975.105358796296</v>
      </c>
      <c r="L1850" s="20">
        <f t="shared" si="84"/>
        <v>41975</v>
      </c>
      <c r="M1850" t="str">
        <f t="shared" si="85"/>
        <v>12-2014</v>
      </c>
      <c r="N1850">
        <f t="shared" si="86"/>
        <v>9.99</v>
      </c>
    </row>
    <row r="1851" spans="3:14" x14ac:dyDescent="0.25">
      <c r="C1851" t="str">
        <f>IF(COUNTBLANK(E1851:K1851) = 7,"",IF(AND(NOT(ISBLANK(E1851)),COUNTBLANK(E1851:K1851) = 6),"3 Delete",IF(ISBLANK(E1851),"2 Add",IF(SHA1Range(E1851:K1851) = "c826f9911c9425d025c033b384a9e9e0abd3a534","0 Original","1 Modify"))))</f>
        <v>0 Original</v>
      </c>
      <c r="D1851" s="5" t="s">
        <v>3932</v>
      </c>
      <c r="E1851" s="3">
        <v>3428</v>
      </c>
      <c r="F1851" t="s">
        <v>1524</v>
      </c>
      <c r="G1851" t="s">
        <v>552</v>
      </c>
      <c r="H1851" s="9">
        <v>6.99</v>
      </c>
      <c r="I1851" s="3">
        <v>1</v>
      </c>
      <c r="J1851" s="5" t="s">
        <v>68</v>
      </c>
      <c r="K1851" s="15">
        <v>41975.105358796296</v>
      </c>
      <c r="L1851" s="20">
        <f t="shared" si="84"/>
        <v>41975</v>
      </c>
      <c r="M1851" t="str">
        <f t="shared" si="85"/>
        <v>12-2014</v>
      </c>
      <c r="N1851">
        <f t="shared" si="86"/>
        <v>6.99</v>
      </c>
    </row>
    <row r="1852" spans="3:14" x14ac:dyDescent="0.25">
      <c r="C1852" t="str">
        <f>IF(COUNTBLANK(E1852:K1852) = 7,"",IF(AND(NOT(ISBLANK(E1852)),COUNTBLANK(E1852:K1852) = 6),"3 Delete",IF(ISBLANK(E1852),"2 Add",IF(SHA1Range(E1852:K1852) = "e8fe4436b99014e3a78024eb7b04b324b0d26183","0 Original","1 Modify"))))</f>
        <v>0 Original</v>
      </c>
      <c r="D1852" s="5" t="s">
        <v>3933</v>
      </c>
      <c r="E1852" s="3">
        <v>2794</v>
      </c>
      <c r="F1852" t="s">
        <v>1525</v>
      </c>
      <c r="G1852" t="s">
        <v>687</v>
      </c>
      <c r="H1852" s="9">
        <v>9.99</v>
      </c>
      <c r="I1852" s="3">
        <v>2</v>
      </c>
      <c r="J1852" s="5" t="s">
        <v>68</v>
      </c>
      <c r="K1852" s="15">
        <v>41975.862083333333</v>
      </c>
      <c r="L1852" s="20">
        <f t="shared" si="84"/>
        <v>41975</v>
      </c>
      <c r="M1852" t="str">
        <f t="shared" si="85"/>
        <v>12-2014</v>
      </c>
      <c r="N1852">
        <f t="shared" si="86"/>
        <v>19.98</v>
      </c>
    </row>
    <row r="1853" spans="3:14" x14ac:dyDescent="0.25">
      <c r="C1853" t="str">
        <f>IF(COUNTBLANK(E1853:K1853) = 7,"",IF(AND(NOT(ISBLANK(E1853)),COUNTBLANK(E1853:K1853) = 6),"3 Delete",IF(ISBLANK(E1853),"2 Add",IF(SHA1Range(E1853:K1853) = "769c02b45fc9012401e75d95cd82c21d5f04a269","0 Original","1 Modify"))))</f>
        <v>0 Original</v>
      </c>
      <c r="D1853" s="5" t="s">
        <v>3934</v>
      </c>
      <c r="E1853" s="3">
        <v>2795</v>
      </c>
      <c r="F1853" t="s">
        <v>1525</v>
      </c>
      <c r="G1853" t="s">
        <v>373</v>
      </c>
      <c r="H1853" s="9">
        <v>7.99</v>
      </c>
      <c r="I1853" s="3">
        <v>1</v>
      </c>
      <c r="J1853" s="5" t="s">
        <v>68</v>
      </c>
      <c r="K1853" s="15">
        <v>41975.862083333333</v>
      </c>
      <c r="L1853" s="20">
        <f t="shared" si="84"/>
        <v>41975</v>
      </c>
      <c r="M1853" t="str">
        <f t="shared" si="85"/>
        <v>12-2014</v>
      </c>
      <c r="N1853">
        <f t="shared" si="86"/>
        <v>7.99</v>
      </c>
    </row>
    <row r="1854" spans="3:14" x14ac:dyDescent="0.25">
      <c r="C1854" t="str">
        <f>IF(COUNTBLANK(E1854:K1854) = 7,"",IF(AND(NOT(ISBLANK(E1854)),COUNTBLANK(E1854:K1854) = 6),"3 Delete",IF(ISBLANK(E1854),"2 Add",IF(SHA1Range(E1854:K1854) = "1d46233276f7b8bd44dafddeaa787c414626905c","0 Original","1 Modify"))))</f>
        <v>0 Original</v>
      </c>
      <c r="D1854" s="5" t="s">
        <v>3935</v>
      </c>
      <c r="E1854" s="3">
        <v>2796</v>
      </c>
      <c r="F1854" t="s">
        <v>1525</v>
      </c>
      <c r="G1854" t="s">
        <v>400</v>
      </c>
      <c r="H1854" s="9">
        <v>4.99</v>
      </c>
      <c r="I1854" s="3">
        <v>1</v>
      </c>
      <c r="J1854" s="5" t="s">
        <v>68</v>
      </c>
      <c r="K1854" s="15">
        <v>41975.862083333333</v>
      </c>
      <c r="L1854" s="20">
        <f t="shared" si="84"/>
        <v>41975</v>
      </c>
      <c r="M1854" t="str">
        <f t="shared" si="85"/>
        <v>12-2014</v>
      </c>
      <c r="N1854">
        <f t="shared" si="86"/>
        <v>4.99</v>
      </c>
    </row>
    <row r="1855" spans="3:14" x14ac:dyDescent="0.25">
      <c r="C1855" t="str">
        <f>IF(COUNTBLANK(E1855:K1855) = 7,"",IF(AND(NOT(ISBLANK(E1855)),COUNTBLANK(E1855:K1855) = 6),"3 Delete",IF(ISBLANK(E1855),"2 Add",IF(SHA1Range(E1855:K1855) = "b413ca0e07e4bfc59582e4ae1f7918b4cd064713","0 Original","1 Modify"))))</f>
        <v>0 Original</v>
      </c>
      <c r="D1855" s="5" t="s">
        <v>3936</v>
      </c>
      <c r="E1855" s="3">
        <v>1645</v>
      </c>
      <c r="F1855" t="s">
        <v>1526</v>
      </c>
      <c r="G1855" t="s">
        <v>792</v>
      </c>
      <c r="H1855" s="9">
        <v>9.99</v>
      </c>
      <c r="I1855" s="3">
        <v>1</v>
      </c>
      <c r="J1855" s="5" t="s">
        <v>68</v>
      </c>
      <c r="K1855" s="15">
        <v>41975.991597222222</v>
      </c>
      <c r="L1855" s="20">
        <f t="shared" si="84"/>
        <v>41975</v>
      </c>
      <c r="M1855" t="str">
        <f t="shared" si="85"/>
        <v>12-2014</v>
      </c>
      <c r="N1855">
        <f t="shared" si="86"/>
        <v>9.99</v>
      </c>
    </row>
    <row r="1856" spans="3:14" x14ac:dyDescent="0.25">
      <c r="C1856" t="str">
        <f>IF(COUNTBLANK(E1856:K1856) = 7,"",IF(AND(NOT(ISBLANK(E1856)),COUNTBLANK(E1856:K1856) = 6),"3 Delete",IF(ISBLANK(E1856),"2 Add",IF(SHA1Range(E1856:K1856) = "8808814e77c34e2a8be200095258d6deea655780","0 Original","1 Modify"))))</f>
        <v>0 Original</v>
      </c>
      <c r="D1856" s="5" t="s">
        <v>3937</v>
      </c>
      <c r="E1856" s="3">
        <v>1646</v>
      </c>
      <c r="F1856" t="s">
        <v>1526</v>
      </c>
      <c r="G1856" t="s">
        <v>482</v>
      </c>
      <c r="H1856" s="9">
        <v>8.99</v>
      </c>
      <c r="I1856" s="3">
        <v>2</v>
      </c>
      <c r="J1856" s="5" t="s">
        <v>68</v>
      </c>
      <c r="K1856" s="15">
        <v>41975.991597222222</v>
      </c>
      <c r="L1856" s="20">
        <f t="shared" si="84"/>
        <v>41975</v>
      </c>
      <c r="M1856" t="str">
        <f t="shared" si="85"/>
        <v>12-2014</v>
      </c>
      <c r="N1856">
        <f t="shared" si="86"/>
        <v>17.98</v>
      </c>
    </row>
    <row r="1857" spans="3:14" x14ac:dyDescent="0.25">
      <c r="C1857" t="str">
        <f>IF(COUNTBLANK(E1857:K1857) = 7,"",IF(AND(NOT(ISBLANK(E1857)),COUNTBLANK(E1857:K1857) = 6),"3 Delete",IF(ISBLANK(E1857),"2 Add",IF(SHA1Range(E1857:K1857) = "5b988cbf031d266203b5e86c797e11559bda0976","0 Original","1 Modify"))))</f>
        <v>0 Original</v>
      </c>
      <c r="D1857" s="5" t="s">
        <v>3938</v>
      </c>
      <c r="E1857" s="3">
        <v>1647</v>
      </c>
      <c r="F1857" t="s">
        <v>1526</v>
      </c>
      <c r="G1857" t="s">
        <v>897</v>
      </c>
      <c r="H1857" s="9">
        <v>6.99</v>
      </c>
      <c r="I1857" s="3">
        <v>1</v>
      </c>
      <c r="J1857" s="5" t="s">
        <v>68</v>
      </c>
      <c r="K1857" s="15">
        <v>41975.991597222222</v>
      </c>
      <c r="L1857" s="20">
        <f t="shared" si="84"/>
        <v>41975</v>
      </c>
      <c r="M1857" t="str">
        <f t="shared" si="85"/>
        <v>12-2014</v>
      </c>
      <c r="N1857">
        <f t="shared" si="86"/>
        <v>6.99</v>
      </c>
    </row>
    <row r="1858" spans="3:14" x14ac:dyDescent="0.25">
      <c r="C1858" t="str">
        <f>IF(COUNTBLANK(E1858:K1858) = 7,"",IF(AND(NOT(ISBLANK(E1858)),COUNTBLANK(E1858:K1858) = 6),"3 Delete",IF(ISBLANK(E1858),"2 Add",IF(SHA1Range(E1858:K1858) = "e68d7dc69cd0e177619e69cea188cacaa2f1d2c8","0 Original","1 Modify"))))</f>
        <v>0 Original</v>
      </c>
      <c r="D1858" s="5" t="s">
        <v>3939</v>
      </c>
      <c r="E1858" s="3">
        <v>1648</v>
      </c>
      <c r="F1858" t="s">
        <v>1526</v>
      </c>
      <c r="G1858" t="s">
        <v>373</v>
      </c>
      <c r="H1858" s="9">
        <v>7.99</v>
      </c>
      <c r="I1858" s="3">
        <v>1</v>
      </c>
      <c r="J1858" s="5" t="s">
        <v>68</v>
      </c>
      <c r="K1858" s="15">
        <v>41975.991597222222</v>
      </c>
      <c r="L1858" s="20">
        <f t="shared" si="84"/>
        <v>41975</v>
      </c>
      <c r="M1858" t="str">
        <f t="shared" si="85"/>
        <v>12-2014</v>
      </c>
      <c r="N1858">
        <f t="shared" si="86"/>
        <v>7.99</v>
      </c>
    </row>
    <row r="1859" spans="3:14" x14ac:dyDescent="0.25">
      <c r="C1859" t="str">
        <f>IF(COUNTBLANK(E1859:K1859) = 7,"",IF(AND(NOT(ISBLANK(E1859)),COUNTBLANK(E1859:K1859) = 6),"3 Delete",IF(ISBLANK(E1859),"2 Add",IF(SHA1Range(E1859:K1859) = "006a31f4743d07772f569b8d2d8470fa38446974","0 Original","1 Modify"))))</f>
        <v>0 Original</v>
      </c>
      <c r="D1859" s="5" t="s">
        <v>3940</v>
      </c>
      <c r="E1859" s="3">
        <v>3465</v>
      </c>
      <c r="F1859" t="s">
        <v>1527</v>
      </c>
      <c r="G1859" t="s">
        <v>400</v>
      </c>
      <c r="H1859" s="9">
        <v>4.99</v>
      </c>
      <c r="I1859" s="3">
        <v>2</v>
      </c>
      <c r="J1859" s="5" t="s">
        <v>68</v>
      </c>
      <c r="K1859" s="15">
        <v>41976.385451388887</v>
      </c>
      <c r="L1859" s="20">
        <f t="shared" ref="L1859:L1922" si="87">DATEVALUE(LEFT(F1859,10))</f>
        <v>41976</v>
      </c>
      <c r="M1859" t="str">
        <f t="shared" ref="M1859:M1922" si="88">TEXT(L1859,"mm-yyyy")</f>
        <v>12-2014</v>
      </c>
      <c r="N1859">
        <f t="shared" ref="N1859:N1922" si="89">H1859*I1859</f>
        <v>9.98</v>
      </c>
    </row>
    <row r="1860" spans="3:14" x14ac:dyDescent="0.25">
      <c r="C1860" t="str">
        <f>IF(COUNTBLANK(E1860:K1860) = 7,"",IF(AND(NOT(ISBLANK(E1860)),COUNTBLANK(E1860:K1860) = 6),"3 Delete",IF(ISBLANK(E1860),"2 Add",IF(SHA1Range(E1860:K1860) = "da78b6fdbe86d1add6ca824d50b5d71330c52898","0 Original","1 Modify"))))</f>
        <v>0 Original</v>
      </c>
      <c r="D1860" s="5" t="s">
        <v>3941</v>
      </c>
      <c r="E1860" s="3">
        <v>3466</v>
      </c>
      <c r="F1860" t="s">
        <v>1527</v>
      </c>
      <c r="G1860" t="s">
        <v>707</v>
      </c>
      <c r="H1860" s="9">
        <v>7.99</v>
      </c>
      <c r="I1860" s="3">
        <v>1</v>
      </c>
      <c r="J1860" s="5" t="s">
        <v>68</v>
      </c>
      <c r="K1860" s="15">
        <v>41976.385451388887</v>
      </c>
      <c r="L1860" s="20">
        <f t="shared" si="87"/>
        <v>41976</v>
      </c>
      <c r="M1860" t="str">
        <f t="shared" si="88"/>
        <v>12-2014</v>
      </c>
      <c r="N1860">
        <f t="shared" si="89"/>
        <v>7.99</v>
      </c>
    </row>
    <row r="1861" spans="3:14" x14ac:dyDescent="0.25">
      <c r="C1861" t="str">
        <f>IF(COUNTBLANK(E1861:K1861) = 7,"",IF(AND(NOT(ISBLANK(E1861)),COUNTBLANK(E1861:K1861) = 6),"3 Delete",IF(ISBLANK(E1861),"2 Add",IF(SHA1Range(E1861:K1861) = "a499912e2039fe51aa85ebaf57d578a8019a7552","0 Original","1 Modify"))))</f>
        <v>0 Original</v>
      </c>
      <c r="D1861" s="5" t="s">
        <v>3942</v>
      </c>
      <c r="E1861" s="3">
        <v>3467</v>
      </c>
      <c r="F1861" t="s">
        <v>1527</v>
      </c>
      <c r="G1861" t="s">
        <v>642</v>
      </c>
      <c r="H1861" s="9">
        <v>9.99</v>
      </c>
      <c r="I1861" s="3">
        <v>2</v>
      </c>
      <c r="J1861" s="5" t="s">
        <v>68</v>
      </c>
      <c r="K1861" s="15">
        <v>41976.385451388887</v>
      </c>
      <c r="L1861" s="20">
        <f t="shared" si="87"/>
        <v>41976</v>
      </c>
      <c r="M1861" t="str">
        <f t="shared" si="88"/>
        <v>12-2014</v>
      </c>
      <c r="N1861">
        <f t="shared" si="89"/>
        <v>19.98</v>
      </c>
    </row>
    <row r="1862" spans="3:14" x14ac:dyDescent="0.25">
      <c r="C1862" t="str">
        <f>IF(COUNTBLANK(E1862:K1862) = 7,"",IF(AND(NOT(ISBLANK(E1862)),COUNTBLANK(E1862:K1862) = 6),"3 Delete",IF(ISBLANK(E1862),"2 Add",IF(SHA1Range(E1862:K1862) = "1465dc10a5c58c448ae55cd36b68bcaec7031c77","0 Original","1 Modify"))))</f>
        <v>0 Original</v>
      </c>
      <c r="D1862" s="5" t="s">
        <v>3943</v>
      </c>
      <c r="E1862" s="3">
        <v>3468</v>
      </c>
      <c r="F1862" t="s">
        <v>1527</v>
      </c>
      <c r="G1862" t="s">
        <v>687</v>
      </c>
      <c r="H1862" s="9">
        <v>9.99</v>
      </c>
      <c r="I1862" s="3">
        <v>1</v>
      </c>
      <c r="J1862" s="5" t="s">
        <v>68</v>
      </c>
      <c r="K1862" s="15">
        <v>41976.385451388887</v>
      </c>
      <c r="L1862" s="20">
        <f t="shared" si="87"/>
        <v>41976</v>
      </c>
      <c r="M1862" t="str">
        <f t="shared" si="88"/>
        <v>12-2014</v>
      </c>
      <c r="N1862">
        <f t="shared" si="89"/>
        <v>9.99</v>
      </c>
    </row>
    <row r="1863" spans="3:14" x14ac:dyDescent="0.25">
      <c r="C1863" t="str">
        <f>IF(COUNTBLANK(E1863:K1863) = 7,"",IF(AND(NOT(ISBLANK(E1863)),COUNTBLANK(E1863:K1863) = 6),"3 Delete",IF(ISBLANK(E1863),"2 Add",IF(SHA1Range(E1863:K1863) = "ab8e0ab895965fe9b7434bc7a1c4c60ff36caa7b","0 Original","1 Modify"))))</f>
        <v>0 Original</v>
      </c>
      <c r="D1863" s="5" t="s">
        <v>3944</v>
      </c>
      <c r="E1863" s="3">
        <v>3469</v>
      </c>
      <c r="F1863" t="s">
        <v>1527</v>
      </c>
      <c r="G1863" t="s">
        <v>552</v>
      </c>
      <c r="H1863" s="9">
        <v>6.99</v>
      </c>
      <c r="I1863" s="3">
        <v>1</v>
      </c>
      <c r="J1863" s="5" t="s">
        <v>68</v>
      </c>
      <c r="K1863" s="15">
        <v>41976.385451388887</v>
      </c>
      <c r="L1863" s="20">
        <f t="shared" si="87"/>
        <v>41976</v>
      </c>
      <c r="M1863" t="str">
        <f t="shared" si="88"/>
        <v>12-2014</v>
      </c>
      <c r="N1863">
        <f t="shared" si="89"/>
        <v>6.99</v>
      </c>
    </row>
    <row r="1864" spans="3:14" x14ac:dyDescent="0.25">
      <c r="C1864" t="str">
        <f>IF(COUNTBLANK(E1864:K1864) = 7,"",IF(AND(NOT(ISBLANK(E1864)),COUNTBLANK(E1864:K1864) = 6),"3 Delete",IF(ISBLANK(E1864),"2 Add",IF(SHA1Range(E1864:K1864) = "fd11eeab46286065d668cb2c06ca6863a4f071ba","0 Original","1 Modify"))))</f>
        <v>0 Original</v>
      </c>
      <c r="D1864" s="5" t="s">
        <v>3945</v>
      </c>
      <c r="E1864" s="3">
        <v>2330</v>
      </c>
      <c r="F1864" t="s">
        <v>1528</v>
      </c>
      <c r="G1864" t="s">
        <v>697</v>
      </c>
      <c r="H1864" s="9">
        <v>5.99</v>
      </c>
      <c r="I1864" s="3">
        <v>2</v>
      </c>
      <c r="J1864" s="5" t="s">
        <v>68</v>
      </c>
      <c r="K1864" s="15">
        <v>41976.412546296298</v>
      </c>
      <c r="L1864" s="20">
        <f t="shared" si="87"/>
        <v>41976</v>
      </c>
      <c r="M1864" t="str">
        <f t="shared" si="88"/>
        <v>12-2014</v>
      </c>
      <c r="N1864">
        <f t="shared" si="89"/>
        <v>11.98</v>
      </c>
    </row>
    <row r="1865" spans="3:14" x14ac:dyDescent="0.25">
      <c r="C1865" t="str">
        <f>IF(COUNTBLANK(E1865:K1865) = 7,"",IF(AND(NOT(ISBLANK(E1865)),COUNTBLANK(E1865:K1865) = 6),"3 Delete",IF(ISBLANK(E1865),"2 Add",IF(SHA1Range(E1865:K1865) = "5f2a8186cd3305d690693ee4a534fb5d4d595b3f","0 Original","1 Modify"))))</f>
        <v>0 Original</v>
      </c>
      <c r="D1865" s="5" t="s">
        <v>3946</v>
      </c>
      <c r="E1865" s="3">
        <v>2331</v>
      </c>
      <c r="F1865" t="s">
        <v>1528</v>
      </c>
      <c r="G1865" t="s">
        <v>820</v>
      </c>
      <c r="H1865" s="9">
        <v>9.99</v>
      </c>
      <c r="I1865" s="3">
        <v>1</v>
      </c>
      <c r="J1865" s="5" t="s">
        <v>68</v>
      </c>
      <c r="K1865" s="15">
        <v>41976.412546296298</v>
      </c>
      <c r="L1865" s="20">
        <f t="shared" si="87"/>
        <v>41976</v>
      </c>
      <c r="M1865" t="str">
        <f t="shared" si="88"/>
        <v>12-2014</v>
      </c>
      <c r="N1865">
        <f t="shared" si="89"/>
        <v>9.99</v>
      </c>
    </row>
    <row r="1866" spans="3:14" x14ac:dyDescent="0.25">
      <c r="C1866" t="str">
        <f>IF(COUNTBLANK(E1866:K1866) = 7,"",IF(AND(NOT(ISBLANK(E1866)),COUNTBLANK(E1866:K1866) = 6),"3 Delete",IF(ISBLANK(E1866),"2 Add",IF(SHA1Range(E1866:K1866) = "4f4502de14e38b38b3898adaf561f90696d041e3","0 Original","1 Modify"))))</f>
        <v>0 Original</v>
      </c>
      <c r="D1866" s="5" t="s">
        <v>3947</v>
      </c>
      <c r="E1866" s="3">
        <v>2332</v>
      </c>
      <c r="F1866" t="s">
        <v>1528</v>
      </c>
      <c r="G1866" t="s">
        <v>761</v>
      </c>
      <c r="H1866" s="9">
        <v>8.99</v>
      </c>
      <c r="I1866" s="3">
        <v>1</v>
      </c>
      <c r="J1866" s="5" t="s">
        <v>68</v>
      </c>
      <c r="K1866" s="15">
        <v>41976.412546296298</v>
      </c>
      <c r="L1866" s="20">
        <f t="shared" si="87"/>
        <v>41976</v>
      </c>
      <c r="M1866" t="str">
        <f t="shared" si="88"/>
        <v>12-2014</v>
      </c>
      <c r="N1866">
        <f t="shared" si="89"/>
        <v>8.99</v>
      </c>
    </row>
    <row r="1867" spans="3:14" x14ac:dyDescent="0.25">
      <c r="C1867" t="str">
        <f>IF(COUNTBLANK(E1867:K1867) = 7,"",IF(AND(NOT(ISBLANK(E1867)),COUNTBLANK(E1867:K1867) = 6),"3 Delete",IF(ISBLANK(E1867),"2 Add",IF(SHA1Range(E1867:K1867) = "e02230e71177ba42b0c4cd85243f2a837f5d54f8","0 Original","1 Modify"))))</f>
        <v>0 Original</v>
      </c>
      <c r="D1867" s="5" t="s">
        <v>3948</v>
      </c>
      <c r="E1867" s="3">
        <v>2333</v>
      </c>
      <c r="F1867" t="s">
        <v>1528</v>
      </c>
      <c r="G1867" t="s">
        <v>588</v>
      </c>
      <c r="H1867" s="9">
        <v>4.99</v>
      </c>
      <c r="I1867" s="3">
        <v>2</v>
      </c>
      <c r="J1867" s="5" t="s">
        <v>68</v>
      </c>
      <c r="K1867" s="15">
        <v>41976.412546296298</v>
      </c>
      <c r="L1867" s="20">
        <f t="shared" si="87"/>
        <v>41976</v>
      </c>
      <c r="M1867" t="str">
        <f t="shared" si="88"/>
        <v>12-2014</v>
      </c>
      <c r="N1867">
        <f t="shared" si="89"/>
        <v>9.98</v>
      </c>
    </row>
    <row r="1868" spans="3:14" x14ac:dyDescent="0.25">
      <c r="C1868" t="str">
        <f>IF(COUNTBLANK(E1868:K1868) = 7,"",IF(AND(NOT(ISBLANK(E1868)),COUNTBLANK(E1868:K1868) = 6),"3 Delete",IF(ISBLANK(E1868),"2 Add",IF(SHA1Range(E1868:K1868) = "7bc03eee6d1a9133a3caa046bc4f415748ccc7ad","0 Original","1 Modify"))))</f>
        <v>0 Original</v>
      </c>
      <c r="D1868" s="5" t="s">
        <v>3949</v>
      </c>
      <c r="E1868" s="3">
        <v>3523</v>
      </c>
      <c r="F1868" t="s">
        <v>1529</v>
      </c>
      <c r="G1868" t="s">
        <v>514</v>
      </c>
      <c r="H1868" s="9">
        <v>6.99</v>
      </c>
      <c r="I1868" s="3">
        <v>1</v>
      </c>
      <c r="J1868" s="5" t="s">
        <v>68</v>
      </c>
      <c r="K1868" s="15">
        <v>41977.7421412037</v>
      </c>
      <c r="L1868" s="20">
        <f t="shared" si="87"/>
        <v>41977</v>
      </c>
      <c r="M1868" t="str">
        <f t="shared" si="88"/>
        <v>12-2014</v>
      </c>
      <c r="N1868">
        <f t="shared" si="89"/>
        <v>6.99</v>
      </c>
    </row>
    <row r="1869" spans="3:14" x14ac:dyDescent="0.25">
      <c r="C1869" t="str">
        <f>IF(COUNTBLANK(E1869:K1869) = 7,"",IF(AND(NOT(ISBLANK(E1869)),COUNTBLANK(E1869:K1869) = 6),"3 Delete",IF(ISBLANK(E1869),"2 Add",IF(SHA1Range(E1869:K1869) = "d6351ec0db270840a9b7ad97c2c15b9066e12ad9","0 Original","1 Modify"))))</f>
        <v>0 Original</v>
      </c>
      <c r="D1869" s="5" t="s">
        <v>3950</v>
      </c>
      <c r="E1869" s="3">
        <v>3524</v>
      </c>
      <c r="F1869" t="s">
        <v>1529</v>
      </c>
      <c r="G1869" t="s">
        <v>687</v>
      </c>
      <c r="H1869" s="9">
        <v>9.99</v>
      </c>
      <c r="I1869" s="3">
        <v>1</v>
      </c>
      <c r="J1869" s="5" t="s">
        <v>68</v>
      </c>
      <c r="K1869" s="15">
        <v>41977.7421412037</v>
      </c>
      <c r="L1869" s="20">
        <f t="shared" si="87"/>
        <v>41977</v>
      </c>
      <c r="M1869" t="str">
        <f t="shared" si="88"/>
        <v>12-2014</v>
      </c>
      <c r="N1869">
        <f t="shared" si="89"/>
        <v>9.99</v>
      </c>
    </row>
    <row r="1870" spans="3:14" x14ac:dyDescent="0.25">
      <c r="C1870" t="str">
        <f>IF(COUNTBLANK(E1870:K1870) = 7,"",IF(AND(NOT(ISBLANK(E1870)),COUNTBLANK(E1870:K1870) = 6),"3 Delete",IF(ISBLANK(E1870),"2 Add",IF(SHA1Range(E1870:K1870) = "994e224b32771e90a9449da85769219817231699","0 Original","1 Modify"))))</f>
        <v>0 Original</v>
      </c>
      <c r="D1870" s="5" t="s">
        <v>3951</v>
      </c>
      <c r="E1870" s="3">
        <v>3525</v>
      </c>
      <c r="F1870" t="s">
        <v>1529</v>
      </c>
      <c r="G1870" t="s">
        <v>687</v>
      </c>
      <c r="H1870" s="9">
        <v>9.99</v>
      </c>
      <c r="I1870" s="3">
        <v>1</v>
      </c>
      <c r="J1870" s="5" t="s">
        <v>68</v>
      </c>
      <c r="K1870" s="15">
        <v>41977.7421412037</v>
      </c>
      <c r="L1870" s="20">
        <f t="shared" si="87"/>
        <v>41977</v>
      </c>
      <c r="M1870" t="str">
        <f t="shared" si="88"/>
        <v>12-2014</v>
      </c>
      <c r="N1870">
        <f t="shared" si="89"/>
        <v>9.99</v>
      </c>
    </row>
    <row r="1871" spans="3:14" x14ac:dyDescent="0.25">
      <c r="C1871" t="str">
        <f>IF(COUNTBLANK(E1871:K1871) = 7,"",IF(AND(NOT(ISBLANK(E1871)),COUNTBLANK(E1871:K1871) = 6),"3 Delete",IF(ISBLANK(E1871),"2 Add",IF(SHA1Range(E1871:K1871) = "60f7c26b2fac0af856ebdcae914cd81ebffa0e4a","0 Original","1 Modify"))))</f>
        <v>0 Original</v>
      </c>
      <c r="D1871" s="5" t="s">
        <v>3952</v>
      </c>
      <c r="E1871" s="3">
        <v>3526</v>
      </c>
      <c r="F1871" t="s">
        <v>1529</v>
      </c>
      <c r="G1871" t="s">
        <v>514</v>
      </c>
      <c r="H1871" s="9">
        <v>6.99</v>
      </c>
      <c r="I1871" s="3">
        <v>1</v>
      </c>
      <c r="J1871" s="5" t="s">
        <v>68</v>
      </c>
      <c r="K1871" s="15">
        <v>41977.7421412037</v>
      </c>
      <c r="L1871" s="20">
        <f t="shared" si="87"/>
        <v>41977</v>
      </c>
      <c r="M1871" t="str">
        <f t="shared" si="88"/>
        <v>12-2014</v>
      </c>
      <c r="N1871">
        <f t="shared" si="89"/>
        <v>6.99</v>
      </c>
    </row>
    <row r="1872" spans="3:14" x14ac:dyDescent="0.25">
      <c r="C1872" t="str">
        <f>IF(COUNTBLANK(E1872:K1872) = 7,"",IF(AND(NOT(ISBLANK(E1872)),COUNTBLANK(E1872:K1872) = 6),"3 Delete",IF(ISBLANK(E1872),"2 Add",IF(SHA1Range(E1872:K1872) = "bd37716a2645dcf8d7558aa44aadb314ed236ddb","0 Original","1 Modify"))))</f>
        <v>0 Original</v>
      </c>
      <c r="D1872" s="5" t="s">
        <v>3953</v>
      </c>
      <c r="E1872" s="3">
        <v>2429</v>
      </c>
      <c r="F1872" t="s">
        <v>1530</v>
      </c>
      <c r="G1872" t="s">
        <v>642</v>
      </c>
      <c r="H1872" s="9">
        <v>9.99</v>
      </c>
      <c r="I1872" s="3">
        <v>1</v>
      </c>
      <c r="J1872" s="5" t="s">
        <v>68</v>
      </c>
      <c r="K1872" s="15">
        <v>41977.881319444445</v>
      </c>
      <c r="L1872" s="20">
        <f t="shared" si="87"/>
        <v>41977</v>
      </c>
      <c r="M1872" t="str">
        <f t="shared" si="88"/>
        <v>12-2014</v>
      </c>
      <c r="N1872">
        <f t="shared" si="89"/>
        <v>9.99</v>
      </c>
    </row>
    <row r="1873" spans="3:14" x14ac:dyDescent="0.25">
      <c r="C1873" t="str">
        <f>IF(COUNTBLANK(E1873:K1873) = 7,"",IF(AND(NOT(ISBLANK(E1873)),COUNTBLANK(E1873:K1873) = 6),"3 Delete",IF(ISBLANK(E1873),"2 Add",IF(SHA1Range(E1873:K1873) = "006a5a955bfe537f0e7442cc0ed49e267ccab9eb","0 Original","1 Modify"))))</f>
        <v>0 Original</v>
      </c>
      <c r="D1873" s="5" t="s">
        <v>3954</v>
      </c>
      <c r="E1873" s="3">
        <v>2430</v>
      </c>
      <c r="F1873" t="s">
        <v>1530</v>
      </c>
      <c r="G1873" t="s">
        <v>579</v>
      </c>
      <c r="H1873" s="9">
        <v>9.99</v>
      </c>
      <c r="I1873" s="3">
        <v>1</v>
      </c>
      <c r="J1873" s="5" t="s">
        <v>68</v>
      </c>
      <c r="K1873" s="15">
        <v>41977.881319444445</v>
      </c>
      <c r="L1873" s="20">
        <f t="shared" si="87"/>
        <v>41977</v>
      </c>
      <c r="M1873" t="str">
        <f t="shared" si="88"/>
        <v>12-2014</v>
      </c>
      <c r="N1873">
        <f t="shared" si="89"/>
        <v>9.99</v>
      </c>
    </row>
    <row r="1874" spans="3:14" x14ac:dyDescent="0.25">
      <c r="C1874" t="str">
        <f>IF(COUNTBLANK(E1874:K1874) = 7,"",IF(AND(NOT(ISBLANK(E1874)),COUNTBLANK(E1874:K1874) = 6),"3 Delete",IF(ISBLANK(E1874),"2 Add",IF(SHA1Range(E1874:K1874) = "ebfc45546cb6f3f999ad3281ed583e30880448a0","0 Original","1 Modify"))))</f>
        <v>0 Original</v>
      </c>
      <c r="D1874" s="5" t="s">
        <v>3955</v>
      </c>
      <c r="E1874" s="3">
        <v>2431</v>
      </c>
      <c r="F1874" t="s">
        <v>1530</v>
      </c>
      <c r="G1874" t="s">
        <v>948</v>
      </c>
      <c r="H1874" s="9">
        <v>4.99</v>
      </c>
      <c r="I1874" s="3">
        <v>1</v>
      </c>
      <c r="J1874" s="5" t="s">
        <v>68</v>
      </c>
      <c r="K1874" s="15">
        <v>41977.881319444445</v>
      </c>
      <c r="L1874" s="20">
        <f t="shared" si="87"/>
        <v>41977</v>
      </c>
      <c r="M1874" t="str">
        <f t="shared" si="88"/>
        <v>12-2014</v>
      </c>
      <c r="N1874">
        <f t="shared" si="89"/>
        <v>4.99</v>
      </c>
    </row>
    <row r="1875" spans="3:14" x14ac:dyDescent="0.25">
      <c r="C1875" t="str">
        <f>IF(COUNTBLANK(E1875:K1875) = 7,"",IF(AND(NOT(ISBLANK(E1875)),COUNTBLANK(E1875:K1875) = 6),"3 Delete",IF(ISBLANK(E1875),"2 Add",IF(SHA1Range(E1875:K1875) = "abd263db07a7f4eb9fed6136a65c3c75b75bef0f","0 Original","1 Modify"))))</f>
        <v>0 Original</v>
      </c>
      <c r="D1875" s="5" t="s">
        <v>4350</v>
      </c>
      <c r="E1875" s="3">
        <v>772</v>
      </c>
      <c r="F1875" t="s">
        <v>1531</v>
      </c>
      <c r="G1875" t="s">
        <v>697</v>
      </c>
      <c r="H1875" s="9">
        <v>5.99</v>
      </c>
      <c r="I1875" s="3">
        <v>1</v>
      </c>
      <c r="J1875" s="5" t="s">
        <v>68</v>
      </c>
      <c r="K1875" s="15">
        <v>41978.887638888889</v>
      </c>
      <c r="L1875" s="20">
        <f t="shared" si="87"/>
        <v>41978</v>
      </c>
      <c r="M1875" t="str">
        <f t="shared" si="88"/>
        <v>12-2014</v>
      </c>
      <c r="N1875">
        <f t="shared" si="89"/>
        <v>5.99</v>
      </c>
    </row>
    <row r="1876" spans="3:14" x14ac:dyDescent="0.25">
      <c r="C1876" t="str">
        <f>IF(COUNTBLANK(E1876:K1876) = 7,"",IF(AND(NOT(ISBLANK(E1876)),COUNTBLANK(E1876:K1876) = 6),"3 Delete",IF(ISBLANK(E1876),"2 Add",IF(SHA1Range(E1876:K1876) = "7c3416834e6c83db96ec71766936c48997c025aa","0 Original","1 Modify"))))</f>
        <v>0 Original</v>
      </c>
      <c r="D1876" s="5" t="s">
        <v>4351</v>
      </c>
      <c r="E1876" s="3">
        <v>773</v>
      </c>
      <c r="F1876" t="s">
        <v>1531</v>
      </c>
      <c r="G1876" t="s">
        <v>697</v>
      </c>
      <c r="H1876" s="9">
        <v>5.99</v>
      </c>
      <c r="I1876" s="3">
        <v>1</v>
      </c>
      <c r="J1876" s="5" t="s">
        <v>68</v>
      </c>
      <c r="K1876" s="15">
        <v>41978.887638888889</v>
      </c>
      <c r="L1876" s="20">
        <f t="shared" si="87"/>
        <v>41978</v>
      </c>
      <c r="M1876" t="str">
        <f t="shared" si="88"/>
        <v>12-2014</v>
      </c>
      <c r="N1876">
        <f t="shared" si="89"/>
        <v>5.99</v>
      </c>
    </row>
    <row r="1877" spans="3:14" x14ac:dyDescent="0.25">
      <c r="C1877" t="str">
        <f>IF(COUNTBLANK(E1877:K1877) = 7,"",IF(AND(NOT(ISBLANK(E1877)),COUNTBLANK(E1877:K1877) = 6),"3 Delete",IF(ISBLANK(E1877),"2 Add",IF(SHA1Range(E1877:K1877) = "6394379ef7525213ec6962cff72da62c603d5bb7","0 Original","1 Modify"))))</f>
        <v>0 Original</v>
      </c>
      <c r="D1877" s="5" t="s">
        <v>4352</v>
      </c>
      <c r="E1877" s="3">
        <v>774</v>
      </c>
      <c r="F1877" t="s">
        <v>1531</v>
      </c>
      <c r="G1877" t="s">
        <v>570</v>
      </c>
      <c r="H1877" s="9">
        <v>6.99</v>
      </c>
      <c r="I1877" s="3">
        <v>1</v>
      </c>
      <c r="J1877" s="5" t="s">
        <v>68</v>
      </c>
      <c r="K1877" s="15">
        <v>41978.887638888889</v>
      </c>
      <c r="L1877" s="20">
        <f t="shared" si="87"/>
        <v>41978</v>
      </c>
      <c r="M1877" t="str">
        <f t="shared" si="88"/>
        <v>12-2014</v>
      </c>
      <c r="N1877">
        <f t="shared" si="89"/>
        <v>6.99</v>
      </c>
    </row>
    <row r="1878" spans="3:14" x14ac:dyDescent="0.25">
      <c r="C1878" t="str">
        <f>IF(COUNTBLANK(E1878:K1878) = 7,"",IF(AND(NOT(ISBLANK(E1878)),COUNTBLANK(E1878:K1878) = 6),"3 Delete",IF(ISBLANK(E1878),"2 Add",IF(SHA1Range(E1878:K1878) = "49cd9f3658b1b6b8566f73b53acb9c5c29f39d13","0 Original","1 Modify"))))</f>
        <v>0 Original</v>
      </c>
      <c r="D1878" s="5" t="s">
        <v>3956</v>
      </c>
      <c r="E1878" s="3">
        <v>3057</v>
      </c>
      <c r="F1878" t="s">
        <v>1532</v>
      </c>
      <c r="G1878" t="s">
        <v>373</v>
      </c>
      <c r="H1878" s="9">
        <v>7.99</v>
      </c>
      <c r="I1878" s="3">
        <v>2</v>
      </c>
      <c r="J1878" s="5" t="s">
        <v>68</v>
      </c>
      <c r="K1878" s="15">
        <v>41979.300092592595</v>
      </c>
      <c r="L1878" s="20">
        <f t="shared" si="87"/>
        <v>41979</v>
      </c>
      <c r="M1878" t="str">
        <f t="shared" si="88"/>
        <v>12-2014</v>
      </c>
      <c r="N1878">
        <f t="shared" si="89"/>
        <v>15.98</v>
      </c>
    </row>
    <row r="1879" spans="3:14" x14ac:dyDescent="0.25">
      <c r="C1879" t="str">
        <f>IF(COUNTBLANK(E1879:K1879) = 7,"",IF(AND(NOT(ISBLANK(E1879)),COUNTBLANK(E1879:K1879) = 6),"3 Delete",IF(ISBLANK(E1879),"2 Add",IF(SHA1Range(E1879:K1879) = "d5c46e90a32a2f3f3d2390ea82466ae622b1f16b","0 Original","1 Modify"))))</f>
        <v>0 Original</v>
      </c>
      <c r="D1879" s="5" t="s">
        <v>3957</v>
      </c>
      <c r="E1879" s="3">
        <v>3058</v>
      </c>
      <c r="F1879" t="s">
        <v>1532</v>
      </c>
      <c r="G1879" t="s">
        <v>514</v>
      </c>
      <c r="H1879" s="9">
        <v>6.99</v>
      </c>
      <c r="I1879" s="3">
        <v>1</v>
      </c>
      <c r="J1879" s="5" t="s">
        <v>68</v>
      </c>
      <c r="K1879" s="15">
        <v>41979.300092592595</v>
      </c>
      <c r="L1879" s="20">
        <f t="shared" si="87"/>
        <v>41979</v>
      </c>
      <c r="M1879" t="str">
        <f t="shared" si="88"/>
        <v>12-2014</v>
      </c>
      <c r="N1879">
        <f t="shared" si="89"/>
        <v>6.99</v>
      </c>
    </row>
    <row r="1880" spans="3:14" x14ac:dyDescent="0.25">
      <c r="C1880" t="str">
        <f>IF(COUNTBLANK(E1880:K1880) = 7,"",IF(AND(NOT(ISBLANK(E1880)),COUNTBLANK(E1880:K1880) = 6),"3 Delete",IF(ISBLANK(E1880),"2 Add",IF(SHA1Range(E1880:K1880) = "e5e875fefbff90a9ff58e754a083b4fb56583534","0 Original","1 Modify"))))</f>
        <v>0 Original</v>
      </c>
      <c r="D1880" s="5" t="s">
        <v>3958</v>
      </c>
      <c r="E1880" s="3">
        <v>3693</v>
      </c>
      <c r="F1880" t="s">
        <v>1533</v>
      </c>
      <c r="G1880" t="s">
        <v>948</v>
      </c>
      <c r="H1880" s="9">
        <v>4.99</v>
      </c>
      <c r="I1880" s="3">
        <v>1</v>
      </c>
      <c r="J1880" s="5" t="s">
        <v>68</v>
      </c>
      <c r="K1880" s="15">
        <v>41980.435219907406</v>
      </c>
      <c r="L1880" s="20">
        <f t="shared" si="87"/>
        <v>41980</v>
      </c>
      <c r="M1880" t="str">
        <f t="shared" si="88"/>
        <v>12-2014</v>
      </c>
      <c r="N1880">
        <f t="shared" si="89"/>
        <v>4.99</v>
      </c>
    </row>
    <row r="1881" spans="3:14" x14ac:dyDescent="0.25">
      <c r="C1881" t="str">
        <f>IF(COUNTBLANK(E1881:K1881) = 7,"",IF(AND(NOT(ISBLANK(E1881)),COUNTBLANK(E1881:K1881) = 6),"3 Delete",IF(ISBLANK(E1881),"2 Add",IF(SHA1Range(E1881:K1881) = "5f6ea2bdef9b94de50a95416fbbdf07d6e7b3e6e","0 Original","1 Modify"))))</f>
        <v>0 Original</v>
      </c>
      <c r="D1881" s="5" t="s">
        <v>3959</v>
      </c>
      <c r="E1881" s="3">
        <v>3694</v>
      </c>
      <c r="F1881" t="s">
        <v>1533</v>
      </c>
      <c r="G1881" t="s">
        <v>400</v>
      </c>
      <c r="H1881" s="9">
        <v>4.99</v>
      </c>
      <c r="I1881" s="3">
        <v>1</v>
      </c>
      <c r="J1881" s="5" t="s">
        <v>68</v>
      </c>
      <c r="K1881" s="15">
        <v>41980.435219907406</v>
      </c>
      <c r="L1881" s="20">
        <f t="shared" si="87"/>
        <v>41980</v>
      </c>
      <c r="M1881" t="str">
        <f t="shared" si="88"/>
        <v>12-2014</v>
      </c>
      <c r="N1881">
        <f t="shared" si="89"/>
        <v>4.99</v>
      </c>
    </row>
    <row r="1882" spans="3:14" x14ac:dyDescent="0.25">
      <c r="C1882" t="str">
        <f>IF(COUNTBLANK(E1882:K1882) = 7,"",IF(AND(NOT(ISBLANK(E1882)),COUNTBLANK(E1882:K1882) = 6),"3 Delete",IF(ISBLANK(E1882),"2 Add",IF(SHA1Range(E1882:K1882) = "166f81963d64c248c5ecd8dfd6df614eaa0c2036","0 Original","1 Modify"))))</f>
        <v>0 Original</v>
      </c>
      <c r="D1882" s="5" t="s">
        <v>3960</v>
      </c>
      <c r="E1882" s="3">
        <v>1381</v>
      </c>
      <c r="F1882" t="s">
        <v>1534</v>
      </c>
      <c r="G1882" t="s">
        <v>697</v>
      </c>
      <c r="H1882" s="9">
        <v>5.99</v>
      </c>
      <c r="I1882" s="3">
        <v>1</v>
      </c>
      <c r="J1882" s="5" t="s">
        <v>68</v>
      </c>
      <c r="K1882" s="15">
        <v>41980.733831018515</v>
      </c>
      <c r="L1882" s="20">
        <f t="shared" si="87"/>
        <v>41980</v>
      </c>
      <c r="M1882" t="str">
        <f t="shared" si="88"/>
        <v>12-2014</v>
      </c>
      <c r="N1882">
        <f t="shared" si="89"/>
        <v>5.99</v>
      </c>
    </row>
    <row r="1883" spans="3:14" x14ac:dyDescent="0.25">
      <c r="C1883" t="str">
        <f>IF(COUNTBLANK(E1883:K1883) = 7,"",IF(AND(NOT(ISBLANK(E1883)),COUNTBLANK(E1883:K1883) = 6),"3 Delete",IF(ISBLANK(E1883),"2 Add",IF(SHA1Range(E1883:K1883) = "0df5d4c38af28c07382a3be31ddb48b06bb6d094","0 Original","1 Modify"))))</f>
        <v>0 Original</v>
      </c>
      <c r="D1883" s="5" t="s">
        <v>3961</v>
      </c>
      <c r="E1883" s="3">
        <v>1382</v>
      </c>
      <c r="F1883" t="s">
        <v>1534</v>
      </c>
      <c r="G1883" t="s">
        <v>560</v>
      </c>
      <c r="H1883" s="9">
        <v>8.99</v>
      </c>
      <c r="I1883" s="3">
        <v>1</v>
      </c>
      <c r="J1883" s="5" t="s">
        <v>68</v>
      </c>
      <c r="K1883" s="15">
        <v>41980.733831018515</v>
      </c>
      <c r="L1883" s="20">
        <f t="shared" si="87"/>
        <v>41980</v>
      </c>
      <c r="M1883" t="str">
        <f t="shared" si="88"/>
        <v>12-2014</v>
      </c>
      <c r="N1883">
        <f t="shared" si="89"/>
        <v>8.99</v>
      </c>
    </row>
    <row r="1884" spans="3:14" x14ac:dyDescent="0.25">
      <c r="C1884" t="str">
        <f>IF(COUNTBLANK(E1884:K1884) = 7,"",IF(AND(NOT(ISBLANK(E1884)),COUNTBLANK(E1884:K1884) = 6),"3 Delete",IF(ISBLANK(E1884),"2 Add",IF(SHA1Range(E1884:K1884) = "ffb73d01b31a58ea0986544ba2a98880d8aa2d8f","0 Original","1 Modify"))))</f>
        <v>0 Original</v>
      </c>
      <c r="D1884" s="5" t="s">
        <v>3962</v>
      </c>
      <c r="E1884" s="3">
        <v>1383</v>
      </c>
      <c r="F1884" t="s">
        <v>1534</v>
      </c>
      <c r="G1884" t="s">
        <v>570</v>
      </c>
      <c r="H1884" s="9">
        <v>6.99</v>
      </c>
      <c r="I1884" s="3">
        <v>2</v>
      </c>
      <c r="J1884" s="5" t="s">
        <v>68</v>
      </c>
      <c r="K1884" s="15">
        <v>41980.733831018515</v>
      </c>
      <c r="L1884" s="20">
        <f t="shared" si="87"/>
        <v>41980</v>
      </c>
      <c r="M1884" t="str">
        <f t="shared" si="88"/>
        <v>12-2014</v>
      </c>
      <c r="N1884">
        <f t="shared" si="89"/>
        <v>13.98</v>
      </c>
    </row>
    <row r="1885" spans="3:14" x14ac:dyDescent="0.25">
      <c r="C1885" t="str">
        <f>IF(COUNTBLANK(E1885:K1885) = 7,"",IF(AND(NOT(ISBLANK(E1885)),COUNTBLANK(E1885:K1885) = 6),"3 Delete",IF(ISBLANK(E1885),"2 Add",IF(SHA1Range(E1885:K1885) = "047b95d2e6879da028619297237930a9b4544c2a","0 Original","1 Modify"))))</f>
        <v>0 Original</v>
      </c>
      <c r="D1885" s="5" t="s">
        <v>3963</v>
      </c>
      <c r="E1885" s="3">
        <v>1384</v>
      </c>
      <c r="F1885" t="s">
        <v>1534</v>
      </c>
      <c r="G1885" t="s">
        <v>704</v>
      </c>
      <c r="H1885" s="9">
        <v>4.99</v>
      </c>
      <c r="I1885" s="3">
        <v>1</v>
      </c>
      <c r="J1885" s="5" t="s">
        <v>68</v>
      </c>
      <c r="K1885" s="15">
        <v>41980.733831018515</v>
      </c>
      <c r="L1885" s="20">
        <f t="shared" si="87"/>
        <v>41980</v>
      </c>
      <c r="M1885" t="str">
        <f t="shared" si="88"/>
        <v>12-2014</v>
      </c>
      <c r="N1885">
        <f t="shared" si="89"/>
        <v>4.99</v>
      </c>
    </row>
    <row r="1886" spans="3:14" x14ac:dyDescent="0.25">
      <c r="C1886" t="str">
        <f>IF(COUNTBLANK(E1886:K1886) = 7,"",IF(AND(NOT(ISBLANK(E1886)),COUNTBLANK(E1886:K1886) = 6),"3 Delete",IF(ISBLANK(E1886),"2 Add",IF(SHA1Range(E1886:K1886) = "00cb835d7d1696875590f531e37099e22a78d7bc","0 Original","1 Modify"))))</f>
        <v>0 Original</v>
      </c>
      <c r="D1886" s="5" t="s">
        <v>3964</v>
      </c>
      <c r="E1886" s="3">
        <v>1385</v>
      </c>
      <c r="F1886" t="s">
        <v>1534</v>
      </c>
      <c r="G1886" t="s">
        <v>739</v>
      </c>
      <c r="H1886" s="9">
        <v>8.99</v>
      </c>
      <c r="I1886" s="3">
        <v>2</v>
      </c>
      <c r="J1886" s="5" t="s">
        <v>68</v>
      </c>
      <c r="K1886" s="15">
        <v>41980.733831018515</v>
      </c>
      <c r="L1886" s="20">
        <f t="shared" si="87"/>
        <v>41980</v>
      </c>
      <c r="M1886" t="str">
        <f t="shared" si="88"/>
        <v>12-2014</v>
      </c>
      <c r="N1886">
        <f t="shared" si="89"/>
        <v>17.98</v>
      </c>
    </row>
    <row r="1887" spans="3:14" x14ac:dyDescent="0.25">
      <c r="C1887" t="str">
        <f>IF(COUNTBLANK(E1887:K1887) = 7,"",IF(AND(NOT(ISBLANK(E1887)),COUNTBLANK(E1887:K1887) = 6),"3 Delete",IF(ISBLANK(E1887),"2 Add",IF(SHA1Range(E1887:K1887) = "1734fa1a717480c953e240f553dbc10fbdfed4bb","0 Original","1 Modify"))))</f>
        <v>0 Original</v>
      </c>
      <c r="D1887" s="5" t="s">
        <v>3965</v>
      </c>
      <c r="E1887" s="3">
        <v>3676</v>
      </c>
      <c r="F1887" t="s">
        <v>1535</v>
      </c>
      <c r="G1887" t="s">
        <v>579</v>
      </c>
      <c r="H1887" s="9">
        <v>9.99</v>
      </c>
      <c r="I1887" s="3">
        <v>1</v>
      </c>
      <c r="J1887" s="5" t="s">
        <v>68</v>
      </c>
      <c r="K1887" s="15">
        <v>41982.107997685183</v>
      </c>
      <c r="L1887" s="20">
        <f t="shared" si="87"/>
        <v>41982</v>
      </c>
      <c r="M1887" t="str">
        <f t="shared" si="88"/>
        <v>12-2014</v>
      </c>
      <c r="N1887">
        <f t="shared" si="89"/>
        <v>9.99</v>
      </c>
    </row>
    <row r="1888" spans="3:14" x14ac:dyDescent="0.25">
      <c r="C1888" t="str">
        <f>IF(COUNTBLANK(E1888:K1888) = 7,"",IF(AND(NOT(ISBLANK(E1888)),COUNTBLANK(E1888:K1888) = 6),"3 Delete",IF(ISBLANK(E1888),"2 Add",IF(SHA1Range(E1888:K1888) = "f10fd7263ff784f60ca5f48ea25d1027bd6b487f","0 Original","1 Modify"))))</f>
        <v>0 Original</v>
      </c>
      <c r="D1888" s="5" t="s">
        <v>3966</v>
      </c>
      <c r="E1888" s="3">
        <v>3677</v>
      </c>
      <c r="F1888" t="s">
        <v>1535</v>
      </c>
      <c r="G1888" t="s">
        <v>749</v>
      </c>
      <c r="H1888" s="9">
        <v>5.99</v>
      </c>
      <c r="I1888" s="3">
        <v>1</v>
      </c>
      <c r="J1888" s="5" t="s">
        <v>68</v>
      </c>
      <c r="K1888" s="15">
        <v>41982.107997685183</v>
      </c>
      <c r="L1888" s="20">
        <f t="shared" si="87"/>
        <v>41982</v>
      </c>
      <c r="M1888" t="str">
        <f t="shared" si="88"/>
        <v>12-2014</v>
      </c>
      <c r="N1888">
        <f t="shared" si="89"/>
        <v>5.99</v>
      </c>
    </row>
    <row r="1889" spans="3:14" x14ac:dyDescent="0.25">
      <c r="C1889" t="str">
        <f>IF(COUNTBLANK(E1889:K1889) = 7,"",IF(AND(NOT(ISBLANK(E1889)),COUNTBLANK(E1889:K1889) = 6),"3 Delete",IF(ISBLANK(E1889),"2 Add",IF(SHA1Range(E1889:K1889) = "03b31124986a231129d41f908c3c389df91bc726","0 Original","1 Modify"))))</f>
        <v>0 Original</v>
      </c>
      <c r="D1889" s="5" t="s">
        <v>3967</v>
      </c>
      <c r="E1889" s="3">
        <v>3678</v>
      </c>
      <c r="F1889" t="s">
        <v>1535</v>
      </c>
      <c r="G1889" t="s">
        <v>687</v>
      </c>
      <c r="H1889" s="9">
        <v>9.99</v>
      </c>
      <c r="I1889" s="3">
        <v>1</v>
      </c>
      <c r="J1889" s="5" t="s">
        <v>68</v>
      </c>
      <c r="K1889" s="15">
        <v>41982.107997685183</v>
      </c>
      <c r="L1889" s="20">
        <f t="shared" si="87"/>
        <v>41982</v>
      </c>
      <c r="M1889" t="str">
        <f t="shared" si="88"/>
        <v>12-2014</v>
      </c>
      <c r="N1889">
        <f t="shared" si="89"/>
        <v>9.99</v>
      </c>
    </row>
    <row r="1890" spans="3:14" x14ac:dyDescent="0.25">
      <c r="C1890" t="str">
        <f>IF(COUNTBLANK(E1890:K1890) = 7,"",IF(AND(NOT(ISBLANK(E1890)),COUNTBLANK(E1890:K1890) = 6),"3 Delete",IF(ISBLANK(E1890),"2 Add",IF(SHA1Range(E1890:K1890) = "507196872fbb736752fe754fb8517575e2df84e7","0 Original","1 Modify"))))</f>
        <v>0 Original</v>
      </c>
      <c r="D1890" s="5" t="s">
        <v>3968</v>
      </c>
      <c r="E1890" s="3">
        <v>3679</v>
      </c>
      <c r="F1890" t="s">
        <v>1535</v>
      </c>
      <c r="G1890" t="s">
        <v>373</v>
      </c>
      <c r="H1890" s="9">
        <v>7.99</v>
      </c>
      <c r="I1890" s="3">
        <v>1</v>
      </c>
      <c r="J1890" s="5" t="s">
        <v>68</v>
      </c>
      <c r="K1890" s="15">
        <v>41982.107997685183</v>
      </c>
      <c r="L1890" s="20">
        <f t="shared" si="87"/>
        <v>41982</v>
      </c>
      <c r="M1890" t="str">
        <f t="shared" si="88"/>
        <v>12-2014</v>
      </c>
      <c r="N1890">
        <f t="shared" si="89"/>
        <v>7.99</v>
      </c>
    </row>
    <row r="1891" spans="3:14" x14ac:dyDescent="0.25">
      <c r="C1891" t="str">
        <f>IF(COUNTBLANK(E1891:K1891) = 7,"",IF(AND(NOT(ISBLANK(E1891)),COUNTBLANK(E1891:K1891) = 6),"3 Delete",IF(ISBLANK(E1891),"2 Add",IF(SHA1Range(E1891:K1891) = "fd503460c965a26295e4c0108b10299f9f459fff","0 Original","1 Modify"))))</f>
        <v>0 Original</v>
      </c>
      <c r="D1891" s="5" t="s">
        <v>4353</v>
      </c>
      <c r="E1891" s="3">
        <v>319</v>
      </c>
      <c r="F1891" t="s">
        <v>1536</v>
      </c>
      <c r="G1891" t="s">
        <v>617</v>
      </c>
      <c r="H1891" s="9">
        <v>9.99</v>
      </c>
      <c r="I1891" s="3">
        <v>1</v>
      </c>
      <c r="J1891" s="5" t="s">
        <v>68</v>
      </c>
      <c r="K1891" s="15">
        <v>41983.532777777778</v>
      </c>
      <c r="L1891" s="20">
        <f t="shared" si="87"/>
        <v>41983</v>
      </c>
      <c r="M1891" t="str">
        <f t="shared" si="88"/>
        <v>12-2014</v>
      </c>
      <c r="N1891">
        <f t="shared" si="89"/>
        <v>9.99</v>
      </c>
    </row>
    <row r="1892" spans="3:14" x14ac:dyDescent="0.25">
      <c r="C1892" t="str">
        <f>IF(COUNTBLANK(E1892:K1892) = 7,"",IF(AND(NOT(ISBLANK(E1892)),COUNTBLANK(E1892:K1892) = 6),"3 Delete",IF(ISBLANK(E1892),"2 Add",IF(SHA1Range(E1892:K1892) = "dd017f39af498c0586954f68e516b98c3817bfa0","0 Original","1 Modify"))))</f>
        <v>0 Original</v>
      </c>
      <c r="D1892" s="5" t="s">
        <v>3969</v>
      </c>
      <c r="E1892" s="3">
        <v>3237</v>
      </c>
      <c r="F1892" t="s">
        <v>1537</v>
      </c>
      <c r="G1892" t="s">
        <v>400</v>
      </c>
      <c r="H1892" s="9">
        <v>4.99</v>
      </c>
      <c r="I1892" s="3">
        <v>2</v>
      </c>
      <c r="J1892" s="5" t="s">
        <v>68</v>
      </c>
      <c r="K1892" s="15">
        <v>41983.984236111108</v>
      </c>
      <c r="L1892" s="20">
        <f t="shared" si="87"/>
        <v>41983</v>
      </c>
      <c r="M1892" t="str">
        <f t="shared" si="88"/>
        <v>12-2014</v>
      </c>
      <c r="N1892">
        <f t="shared" si="89"/>
        <v>9.98</v>
      </c>
    </row>
    <row r="1893" spans="3:14" x14ac:dyDescent="0.25">
      <c r="C1893" t="str">
        <f>IF(COUNTBLANK(E1893:K1893) = 7,"",IF(AND(NOT(ISBLANK(E1893)),COUNTBLANK(E1893:K1893) = 6),"3 Delete",IF(ISBLANK(E1893),"2 Add",IF(SHA1Range(E1893:K1893) = "782a3f734a33394cbadd6f07d02a6cbc00071891","0 Original","1 Modify"))))</f>
        <v>0 Original</v>
      </c>
      <c r="D1893" s="5" t="s">
        <v>3970</v>
      </c>
      <c r="E1893" s="3">
        <v>3238</v>
      </c>
      <c r="F1893" t="s">
        <v>1537</v>
      </c>
      <c r="G1893" t="s">
        <v>948</v>
      </c>
      <c r="H1893" s="9">
        <v>4.99</v>
      </c>
      <c r="I1893" s="3">
        <v>1</v>
      </c>
      <c r="J1893" s="5" t="s">
        <v>68</v>
      </c>
      <c r="K1893" s="15">
        <v>41983.984236111108</v>
      </c>
      <c r="L1893" s="20">
        <f t="shared" si="87"/>
        <v>41983</v>
      </c>
      <c r="M1893" t="str">
        <f t="shared" si="88"/>
        <v>12-2014</v>
      </c>
      <c r="N1893">
        <f t="shared" si="89"/>
        <v>4.99</v>
      </c>
    </row>
    <row r="1894" spans="3:14" x14ac:dyDescent="0.25">
      <c r="C1894" t="str">
        <f>IF(COUNTBLANK(E1894:K1894) = 7,"",IF(AND(NOT(ISBLANK(E1894)),COUNTBLANK(E1894:K1894) = 6),"3 Delete",IF(ISBLANK(E1894),"2 Add",IF(SHA1Range(E1894:K1894) = "e94f2fefa9fcf02ef0f0b4aad70befc730c24039","0 Original","1 Modify"))))</f>
        <v>0 Original</v>
      </c>
      <c r="D1894" s="5" t="s">
        <v>3971</v>
      </c>
      <c r="E1894" s="3">
        <v>3239</v>
      </c>
      <c r="F1894" t="s">
        <v>1537</v>
      </c>
      <c r="G1894" t="s">
        <v>400</v>
      </c>
      <c r="H1894" s="9">
        <v>4.99</v>
      </c>
      <c r="I1894" s="3">
        <v>1</v>
      </c>
      <c r="J1894" s="5" t="s">
        <v>68</v>
      </c>
      <c r="K1894" s="15">
        <v>41983.984236111108</v>
      </c>
      <c r="L1894" s="20">
        <f t="shared" si="87"/>
        <v>41983</v>
      </c>
      <c r="M1894" t="str">
        <f t="shared" si="88"/>
        <v>12-2014</v>
      </c>
      <c r="N1894">
        <f t="shared" si="89"/>
        <v>4.99</v>
      </c>
    </row>
    <row r="1895" spans="3:14" x14ac:dyDescent="0.25">
      <c r="C1895" t="str">
        <f>IF(COUNTBLANK(E1895:K1895) = 7,"",IF(AND(NOT(ISBLANK(E1895)),COUNTBLANK(E1895:K1895) = 6),"3 Delete",IF(ISBLANK(E1895),"2 Add",IF(SHA1Range(E1895:K1895) = "5c40b228ee925ff38d898832aac073ac21795d60","0 Original","1 Modify"))))</f>
        <v>0 Original</v>
      </c>
      <c r="D1895" s="5" t="s">
        <v>3972</v>
      </c>
      <c r="E1895" s="3">
        <v>3822</v>
      </c>
      <c r="F1895" t="s">
        <v>1538</v>
      </c>
      <c r="G1895" t="s">
        <v>514</v>
      </c>
      <c r="H1895" s="9">
        <v>6.99</v>
      </c>
      <c r="I1895" s="3">
        <v>1</v>
      </c>
      <c r="J1895" s="5" t="s">
        <v>68</v>
      </c>
      <c r="K1895" s="15">
        <v>41985.518333333333</v>
      </c>
      <c r="L1895" s="20">
        <f t="shared" si="87"/>
        <v>41985</v>
      </c>
      <c r="M1895" t="str">
        <f t="shared" si="88"/>
        <v>12-2014</v>
      </c>
      <c r="N1895">
        <f t="shared" si="89"/>
        <v>6.99</v>
      </c>
    </row>
    <row r="1896" spans="3:14" x14ac:dyDescent="0.25">
      <c r="C1896" t="str">
        <f>IF(COUNTBLANK(E1896:K1896) = 7,"",IF(AND(NOT(ISBLANK(E1896)),COUNTBLANK(E1896:K1896) = 6),"3 Delete",IF(ISBLANK(E1896),"2 Add",IF(SHA1Range(E1896:K1896) = "8267fcc2cdd94b61beb4de4cbbe521b3cac331aa","0 Original","1 Modify"))))</f>
        <v>0 Original</v>
      </c>
      <c r="D1896" s="5" t="s">
        <v>3973</v>
      </c>
      <c r="E1896" s="3">
        <v>3823</v>
      </c>
      <c r="F1896" t="s">
        <v>1538</v>
      </c>
      <c r="G1896" t="s">
        <v>400</v>
      </c>
      <c r="H1896" s="9">
        <v>4.99</v>
      </c>
      <c r="I1896" s="3">
        <v>2</v>
      </c>
      <c r="J1896" s="5" t="s">
        <v>68</v>
      </c>
      <c r="K1896" s="15">
        <v>41985.518333333333</v>
      </c>
      <c r="L1896" s="20">
        <f t="shared" si="87"/>
        <v>41985</v>
      </c>
      <c r="M1896" t="str">
        <f t="shared" si="88"/>
        <v>12-2014</v>
      </c>
      <c r="N1896">
        <f t="shared" si="89"/>
        <v>9.98</v>
      </c>
    </row>
    <row r="1897" spans="3:14" x14ac:dyDescent="0.25">
      <c r="C1897" t="str">
        <f>IF(COUNTBLANK(E1897:K1897) = 7,"",IF(AND(NOT(ISBLANK(E1897)),COUNTBLANK(E1897:K1897) = 6),"3 Delete",IF(ISBLANK(E1897),"2 Add",IF(SHA1Range(E1897:K1897) = "5dd7fd2915d63da6732b63bc3c220abc6e567520","0 Original","1 Modify"))))</f>
        <v>0 Original</v>
      </c>
      <c r="D1897" s="5" t="s">
        <v>3974</v>
      </c>
      <c r="E1897" s="3">
        <v>1785</v>
      </c>
      <c r="F1897" t="s">
        <v>1539</v>
      </c>
      <c r="G1897" t="s">
        <v>560</v>
      </c>
      <c r="H1897" s="9">
        <v>8.99</v>
      </c>
      <c r="I1897" s="3">
        <v>2</v>
      </c>
      <c r="J1897" s="5" t="s">
        <v>68</v>
      </c>
      <c r="K1897" s="15">
        <v>41986.441631944443</v>
      </c>
      <c r="L1897" s="20">
        <f t="shared" si="87"/>
        <v>41986</v>
      </c>
      <c r="M1897" t="str">
        <f t="shared" si="88"/>
        <v>12-2014</v>
      </c>
      <c r="N1897">
        <f t="shared" si="89"/>
        <v>17.98</v>
      </c>
    </row>
    <row r="1898" spans="3:14" x14ac:dyDescent="0.25">
      <c r="C1898" t="str">
        <f>IF(COUNTBLANK(E1898:K1898) = 7,"",IF(AND(NOT(ISBLANK(E1898)),COUNTBLANK(E1898:K1898) = 6),"3 Delete",IF(ISBLANK(E1898),"2 Add",IF(SHA1Range(E1898:K1898) = "2748f2c53e2294894cc6c766fa5f968eeb276f41","0 Original","1 Modify"))))</f>
        <v>0 Original</v>
      </c>
      <c r="D1898" s="5" t="s">
        <v>3975</v>
      </c>
      <c r="E1898" s="3">
        <v>1786</v>
      </c>
      <c r="F1898" t="s">
        <v>1539</v>
      </c>
      <c r="G1898" t="s">
        <v>912</v>
      </c>
      <c r="H1898" s="9">
        <v>6.99</v>
      </c>
      <c r="I1898" s="3">
        <v>1</v>
      </c>
      <c r="J1898" s="5" t="s">
        <v>68</v>
      </c>
      <c r="K1898" s="15">
        <v>41986.441631944443</v>
      </c>
      <c r="L1898" s="20">
        <f t="shared" si="87"/>
        <v>41986</v>
      </c>
      <c r="M1898" t="str">
        <f t="shared" si="88"/>
        <v>12-2014</v>
      </c>
      <c r="N1898">
        <f t="shared" si="89"/>
        <v>6.99</v>
      </c>
    </row>
    <row r="1899" spans="3:14" x14ac:dyDescent="0.25">
      <c r="C1899" t="str">
        <f>IF(COUNTBLANK(E1899:K1899) = 7,"",IF(AND(NOT(ISBLANK(E1899)),COUNTBLANK(E1899:K1899) = 6),"3 Delete",IF(ISBLANK(E1899),"2 Add",IF(SHA1Range(E1899:K1899) = "0b65236f60385c22af46689e1e3aceafd7625f77","0 Original","1 Modify"))))</f>
        <v>0 Original</v>
      </c>
      <c r="D1899" s="5" t="s">
        <v>3976</v>
      </c>
      <c r="E1899" s="3">
        <v>1787</v>
      </c>
      <c r="F1899" t="s">
        <v>1539</v>
      </c>
      <c r="G1899" t="s">
        <v>514</v>
      </c>
      <c r="H1899" s="9">
        <v>6.99</v>
      </c>
      <c r="I1899" s="3">
        <v>2</v>
      </c>
      <c r="J1899" s="5" t="s">
        <v>68</v>
      </c>
      <c r="K1899" s="15">
        <v>41986.441631944443</v>
      </c>
      <c r="L1899" s="20">
        <f t="shared" si="87"/>
        <v>41986</v>
      </c>
      <c r="M1899" t="str">
        <f t="shared" si="88"/>
        <v>12-2014</v>
      </c>
      <c r="N1899">
        <f t="shared" si="89"/>
        <v>13.98</v>
      </c>
    </row>
    <row r="1900" spans="3:14" x14ac:dyDescent="0.25">
      <c r="C1900" t="str">
        <f>IF(COUNTBLANK(E1900:K1900) = 7,"",IF(AND(NOT(ISBLANK(E1900)),COUNTBLANK(E1900:K1900) = 6),"3 Delete",IF(ISBLANK(E1900),"2 Add",IF(SHA1Range(E1900:K1900) = "9909be8ed3f713218ab6d8f59925d71d5dc460ec","0 Original","1 Modify"))))</f>
        <v>0 Original</v>
      </c>
      <c r="D1900" s="5" t="s">
        <v>3977</v>
      </c>
      <c r="E1900" s="3">
        <v>1788</v>
      </c>
      <c r="F1900" t="s">
        <v>1539</v>
      </c>
      <c r="G1900" t="s">
        <v>687</v>
      </c>
      <c r="H1900" s="9">
        <v>9.99</v>
      </c>
      <c r="I1900" s="3">
        <v>2</v>
      </c>
      <c r="J1900" s="5" t="s">
        <v>68</v>
      </c>
      <c r="K1900" s="15">
        <v>41986.441631944443</v>
      </c>
      <c r="L1900" s="20">
        <f t="shared" si="87"/>
        <v>41986</v>
      </c>
      <c r="M1900" t="str">
        <f t="shared" si="88"/>
        <v>12-2014</v>
      </c>
      <c r="N1900">
        <f t="shared" si="89"/>
        <v>19.98</v>
      </c>
    </row>
    <row r="1901" spans="3:14" x14ac:dyDescent="0.25">
      <c r="C1901" t="str">
        <f>IF(COUNTBLANK(E1901:K1901) = 7,"",IF(AND(NOT(ISBLANK(E1901)),COUNTBLANK(E1901:K1901) = 6),"3 Delete",IF(ISBLANK(E1901),"2 Add",IF(SHA1Range(E1901:K1901) = "c94bf6025d74c7abf87bda9dea1fc98a3fceb352","0 Original","1 Modify"))))</f>
        <v>0 Original</v>
      </c>
      <c r="D1901" s="5" t="s">
        <v>3978</v>
      </c>
      <c r="E1901" s="3">
        <v>1789</v>
      </c>
      <c r="F1901" t="s">
        <v>1539</v>
      </c>
      <c r="G1901" t="s">
        <v>610</v>
      </c>
      <c r="H1901" s="9">
        <v>9.99</v>
      </c>
      <c r="I1901" s="3">
        <v>2</v>
      </c>
      <c r="J1901" s="5" t="s">
        <v>68</v>
      </c>
      <c r="K1901" s="15">
        <v>41986.441631944443</v>
      </c>
      <c r="L1901" s="20">
        <f t="shared" si="87"/>
        <v>41986</v>
      </c>
      <c r="M1901" t="str">
        <f t="shared" si="88"/>
        <v>12-2014</v>
      </c>
      <c r="N1901">
        <f t="shared" si="89"/>
        <v>19.98</v>
      </c>
    </row>
    <row r="1902" spans="3:14" x14ac:dyDescent="0.25">
      <c r="C1902" t="str">
        <f>IF(COUNTBLANK(E1902:K1902) = 7,"",IF(AND(NOT(ISBLANK(E1902)),COUNTBLANK(E1902:K1902) = 6),"3 Delete",IF(ISBLANK(E1902),"2 Add",IF(SHA1Range(E1902:K1902) = "3ed2dfe5a66d4040c2869b11a2857162dbaf6189","0 Original","1 Modify"))))</f>
        <v>0 Original</v>
      </c>
      <c r="D1902" s="5" t="s">
        <v>3979</v>
      </c>
      <c r="E1902" s="3">
        <v>1922</v>
      </c>
      <c r="F1902" t="s">
        <v>1540</v>
      </c>
      <c r="G1902" t="s">
        <v>596</v>
      </c>
      <c r="H1902" s="9">
        <v>7.99</v>
      </c>
      <c r="I1902" s="3">
        <v>2</v>
      </c>
      <c r="J1902" s="5" t="s">
        <v>68</v>
      </c>
      <c r="K1902" s="15">
        <v>41987.047129629631</v>
      </c>
      <c r="L1902" s="20">
        <f t="shared" si="87"/>
        <v>41987</v>
      </c>
      <c r="M1902" t="str">
        <f t="shared" si="88"/>
        <v>12-2014</v>
      </c>
      <c r="N1902">
        <f t="shared" si="89"/>
        <v>15.98</v>
      </c>
    </row>
    <row r="1903" spans="3:14" x14ac:dyDescent="0.25">
      <c r="C1903" t="str">
        <f>IF(COUNTBLANK(E1903:K1903) = 7,"",IF(AND(NOT(ISBLANK(E1903)),COUNTBLANK(E1903:K1903) = 6),"3 Delete",IF(ISBLANK(E1903),"2 Add",IF(SHA1Range(E1903:K1903) = "b142f07835a6ded82db07413dbcbe8ea14ea1fa1","0 Original","1 Modify"))))</f>
        <v>0 Original</v>
      </c>
      <c r="D1903" s="5" t="s">
        <v>3980</v>
      </c>
      <c r="E1903" s="3">
        <v>1458</v>
      </c>
      <c r="F1903" t="s">
        <v>1541</v>
      </c>
      <c r="G1903" t="s">
        <v>563</v>
      </c>
      <c r="H1903" s="9">
        <v>6.99</v>
      </c>
      <c r="I1903" s="3">
        <v>1</v>
      </c>
      <c r="J1903" s="5" t="s">
        <v>68</v>
      </c>
      <c r="K1903" s="15">
        <v>41987.071851851855</v>
      </c>
      <c r="L1903" s="20">
        <f t="shared" si="87"/>
        <v>41987</v>
      </c>
      <c r="M1903" t="str">
        <f t="shared" si="88"/>
        <v>12-2014</v>
      </c>
      <c r="N1903">
        <f t="shared" si="89"/>
        <v>6.99</v>
      </c>
    </row>
    <row r="1904" spans="3:14" x14ac:dyDescent="0.25">
      <c r="C1904" t="str">
        <f>IF(COUNTBLANK(E1904:K1904) = 7,"",IF(AND(NOT(ISBLANK(E1904)),COUNTBLANK(E1904:K1904) = 6),"3 Delete",IF(ISBLANK(E1904),"2 Add",IF(SHA1Range(E1904:K1904) = "ee01fd8ed4b33fdd763f8aecbd76da2c9ed797d8","0 Original","1 Modify"))))</f>
        <v>0 Original</v>
      </c>
      <c r="D1904" s="5" t="s">
        <v>3981</v>
      </c>
      <c r="E1904" s="3">
        <v>1459</v>
      </c>
      <c r="F1904" t="s">
        <v>1541</v>
      </c>
      <c r="G1904" t="s">
        <v>792</v>
      </c>
      <c r="H1904" s="9">
        <v>9.99</v>
      </c>
      <c r="I1904" s="3">
        <v>1</v>
      </c>
      <c r="J1904" s="5" t="s">
        <v>68</v>
      </c>
      <c r="K1904" s="15">
        <v>41987.071851851855</v>
      </c>
      <c r="L1904" s="20">
        <f t="shared" si="87"/>
        <v>41987</v>
      </c>
      <c r="M1904" t="str">
        <f t="shared" si="88"/>
        <v>12-2014</v>
      </c>
      <c r="N1904">
        <f t="shared" si="89"/>
        <v>9.99</v>
      </c>
    </row>
    <row r="1905" spans="3:14" x14ac:dyDescent="0.25">
      <c r="C1905" t="str">
        <f>IF(COUNTBLANK(E1905:K1905) = 7,"",IF(AND(NOT(ISBLANK(E1905)),COUNTBLANK(E1905:K1905) = 6),"3 Delete",IF(ISBLANK(E1905),"2 Add",IF(SHA1Range(E1905:K1905) = "91c41ca4e486a2cdff9cca8c37200b7f2a704f46","0 Original","1 Modify"))))</f>
        <v>0 Original</v>
      </c>
      <c r="D1905" s="5" t="s">
        <v>3982</v>
      </c>
      <c r="E1905" s="3">
        <v>2231</v>
      </c>
      <c r="F1905" t="s">
        <v>1542</v>
      </c>
      <c r="G1905" t="s">
        <v>820</v>
      </c>
      <c r="H1905" s="9">
        <v>9.99</v>
      </c>
      <c r="I1905" s="3">
        <v>1</v>
      </c>
      <c r="J1905" s="5" t="s">
        <v>68</v>
      </c>
      <c r="K1905" s="15">
        <v>41988.574074074073</v>
      </c>
      <c r="L1905" s="20">
        <f t="shared" si="87"/>
        <v>41988</v>
      </c>
      <c r="M1905" t="str">
        <f t="shared" si="88"/>
        <v>12-2014</v>
      </c>
      <c r="N1905">
        <f t="shared" si="89"/>
        <v>9.99</v>
      </c>
    </row>
    <row r="1906" spans="3:14" x14ac:dyDescent="0.25">
      <c r="C1906" t="str">
        <f>IF(COUNTBLANK(E1906:K1906) = 7,"",IF(AND(NOT(ISBLANK(E1906)),COUNTBLANK(E1906:K1906) = 6),"3 Delete",IF(ISBLANK(E1906),"2 Add",IF(SHA1Range(E1906:K1906) = "321b9a342494018cd7ef71899e04318526fa897f","0 Original","1 Modify"))))</f>
        <v>0 Original</v>
      </c>
      <c r="D1906" s="5" t="s">
        <v>3983</v>
      </c>
      <c r="E1906" s="3">
        <v>2232</v>
      </c>
      <c r="F1906" t="s">
        <v>1542</v>
      </c>
      <c r="G1906" t="s">
        <v>684</v>
      </c>
      <c r="H1906" s="9">
        <v>8.99</v>
      </c>
      <c r="I1906" s="3">
        <v>1</v>
      </c>
      <c r="J1906" s="5" t="s">
        <v>68</v>
      </c>
      <c r="K1906" s="15">
        <v>41988.574074074073</v>
      </c>
      <c r="L1906" s="20">
        <f t="shared" si="87"/>
        <v>41988</v>
      </c>
      <c r="M1906" t="str">
        <f t="shared" si="88"/>
        <v>12-2014</v>
      </c>
      <c r="N1906">
        <f t="shared" si="89"/>
        <v>8.99</v>
      </c>
    </row>
    <row r="1907" spans="3:14" x14ac:dyDescent="0.25">
      <c r="C1907" t="str">
        <f>IF(COUNTBLANK(E1907:K1907) = 7,"",IF(AND(NOT(ISBLANK(E1907)),COUNTBLANK(E1907:K1907) = 6),"3 Delete",IF(ISBLANK(E1907),"2 Add",IF(SHA1Range(E1907:K1907) = "68960bdbe6b5f0d54ca146a60a095331b509ce12","0 Original","1 Modify"))))</f>
        <v>0 Original</v>
      </c>
      <c r="D1907" s="5" t="s">
        <v>3984</v>
      </c>
      <c r="E1907" s="3">
        <v>2233</v>
      </c>
      <c r="F1907" t="s">
        <v>1542</v>
      </c>
      <c r="G1907" t="s">
        <v>912</v>
      </c>
      <c r="H1907" s="9">
        <v>6.99</v>
      </c>
      <c r="I1907" s="3">
        <v>2</v>
      </c>
      <c r="J1907" s="5" t="s">
        <v>68</v>
      </c>
      <c r="K1907" s="15">
        <v>41988.574074074073</v>
      </c>
      <c r="L1907" s="20">
        <f t="shared" si="87"/>
        <v>41988</v>
      </c>
      <c r="M1907" t="str">
        <f t="shared" si="88"/>
        <v>12-2014</v>
      </c>
      <c r="N1907">
        <f t="shared" si="89"/>
        <v>13.98</v>
      </c>
    </row>
    <row r="1908" spans="3:14" x14ac:dyDescent="0.25">
      <c r="C1908" t="str">
        <f>IF(COUNTBLANK(E1908:K1908) = 7,"",IF(AND(NOT(ISBLANK(E1908)),COUNTBLANK(E1908:K1908) = 6),"3 Delete",IF(ISBLANK(E1908),"2 Add",IF(SHA1Range(E1908:K1908) = "76be615b258e12678b112bfa8a098290e7379f14","0 Original","1 Modify"))))</f>
        <v>0 Original</v>
      </c>
      <c r="D1908" s="5" t="s">
        <v>3985</v>
      </c>
      <c r="E1908" s="3">
        <v>2234</v>
      </c>
      <c r="F1908" t="s">
        <v>1542</v>
      </c>
      <c r="G1908" t="s">
        <v>596</v>
      </c>
      <c r="H1908" s="9">
        <v>7.99</v>
      </c>
      <c r="I1908" s="3">
        <v>2</v>
      </c>
      <c r="J1908" s="5" t="s">
        <v>68</v>
      </c>
      <c r="K1908" s="15">
        <v>41988.574074074073</v>
      </c>
      <c r="L1908" s="20">
        <f t="shared" si="87"/>
        <v>41988</v>
      </c>
      <c r="M1908" t="str">
        <f t="shared" si="88"/>
        <v>12-2014</v>
      </c>
      <c r="N1908">
        <f t="shared" si="89"/>
        <v>15.98</v>
      </c>
    </row>
    <row r="1909" spans="3:14" x14ac:dyDescent="0.25">
      <c r="C1909" t="str">
        <f>IF(COUNTBLANK(E1909:K1909) = 7,"",IF(AND(NOT(ISBLANK(E1909)),COUNTBLANK(E1909:K1909) = 6),"3 Delete",IF(ISBLANK(E1909),"2 Add",IF(SHA1Range(E1909:K1909) = "bf2056945b045c0d972902a94db923f6553fb49c","0 Original","1 Modify"))))</f>
        <v>0 Original</v>
      </c>
      <c r="D1909" s="5" t="s">
        <v>3986</v>
      </c>
      <c r="E1909" s="3">
        <v>2235</v>
      </c>
      <c r="F1909" t="s">
        <v>1542</v>
      </c>
      <c r="G1909" t="s">
        <v>845</v>
      </c>
      <c r="H1909" s="9">
        <v>7.99</v>
      </c>
      <c r="I1909" s="3">
        <v>1</v>
      </c>
      <c r="J1909" s="5" t="s">
        <v>68</v>
      </c>
      <c r="K1909" s="15">
        <v>41988.574074074073</v>
      </c>
      <c r="L1909" s="20">
        <f t="shared" si="87"/>
        <v>41988</v>
      </c>
      <c r="M1909" t="str">
        <f t="shared" si="88"/>
        <v>12-2014</v>
      </c>
      <c r="N1909">
        <f t="shared" si="89"/>
        <v>7.99</v>
      </c>
    </row>
    <row r="1910" spans="3:14" x14ac:dyDescent="0.25">
      <c r="C1910" t="str">
        <f>IF(COUNTBLANK(E1910:K1910) = 7,"",IF(AND(NOT(ISBLANK(E1910)),COUNTBLANK(E1910:K1910) = 6),"3 Delete",IF(ISBLANK(E1910),"2 Add",IF(SHA1Range(E1910:K1910) = "1f40b9efc38ba1b258ad102804fc3ec5358f4a37","0 Original","1 Modify"))))</f>
        <v>0 Original</v>
      </c>
      <c r="D1910" s="5" t="s">
        <v>3987</v>
      </c>
      <c r="E1910" s="3">
        <v>2236</v>
      </c>
      <c r="F1910" t="s">
        <v>1542</v>
      </c>
      <c r="G1910" t="s">
        <v>781</v>
      </c>
      <c r="H1910" s="9">
        <v>5.99</v>
      </c>
      <c r="I1910" s="3">
        <v>2</v>
      </c>
      <c r="J1910" s="5" t="s">
        <v>68</v>
      </c>
      <c r="K1910" s="15">
        <v>41988.574074074073</v>
      </c>
      <c r="L1910" s="20">
        <f t="shared" si="87"/>
        <v>41988</v>
      </c>
      <c r="M1910" t="str">
        <f t="shared" si="88"/>
        <v>12-2014</v>
      </c>
      <c r="N1910">
        <f t="shared" si="89"/>
        <v>11.98</v>
      </c>
    </row>
    <row r="1911" spans="3:14" x14ac:dyDescent="0.25">
      <c r="C1911" t="str">
        <f>IF(COUNTBLANK(E1911:K1911) = 7,"",IF(AND(NOT(ISBLANK(E1911)),COUNTBLANK(E1911:K1911) = 6),"3 Delete",IF(ISBLANK(E1911),"2 Add",IF(SHA1Range(E1911:K1911) = "e7f02c6cb7f2b3abef0725d62ec0a8df92d15a9e","0 Original","1 Modify"))))</f>
        <v>0 Original</v>
      </c>
      <c r="D1911" s="5" t="s">
        <v>3988</v>
      </c>
      <c r="E1911" s="3">
        <v>2237</v>
      </c>
      <c r="F1911" t="s">
        <v>1542</v>
      </c>
      <c r="G1911" t="s">
        <v>820</v>
      </c>
      <c r="H1911" s="9">
        <v>9.99</v>
      </c>
      <c r="I1911" s="3">
        <v>1</v>
      </c>
      <c r="J1911" s="5" t="s">
        <v>68</v>
      </c>
      <c r="K1911" s="15">
        <v>41988.574074074073</v>
      </c>
      <c r="L1911" s="20">
        <f t="shared" si="87"/>
        <v>41988</v>
      </c>
      <c r="M1911" t="str">
        <f t="shared" si="88"/>
        <v>12-2014</v>
      </c>
      <c r="N1911">
        <f t="shared" si="89"/>
        <v>9.99</v>
      </c>
    </row>
    <row r="1912" spans="3:14" x14ac:dyDescent="0.25">
      <c r="C1912" t="str">
        <f>IF(COUNTBLANK(E1912:K1912) = 7,"",IF(AND(NOT(ISBLANK(E1912)),COUNTBLANK(E1912:K1912) = 6),"3 Delete",IF(ISBLANK(E1912),"2 Add",IF(SHA1Range(E1912:K1912) = "2cd6b03c9bae27fc6d86ef81bb4c0df6b24e19dc","0 Original","1 Modify"))))</f>
        <v>0 Original</v>
      </c>
      <c r="D1912" s="5" t="s">
        <v>3989</v>
      </c>
      <c r="E1912" s="3">
        <v>3938</v>
      </c>
      <c r="F1912" t="s">
        <v>1543</v>
      </c>
      <c r="G1912" t="s">
        <v>579</v>
      </c>
      <c r="H1912" s="9">
        <v>9.99</v>
      </c>
      <c r="I1912" s="3">
        <v>2</v>
      </c>
      <c r="J1912" s="5" t="s">
        <v>68</v>
      </c>
      <c r="K1912" s="15">
        <v>41988.819131944445</v>
      </c>
      <c r="L1912" s="20">
        <f t="shared" si="87"/>
        <v>41988</v>
      </c>
      <c r="M1912" t="str">
        <f t="shared" si="88"/>
        <v>12-2014</v>
      </c>
      <c r="N1912">
        <f t="shared" si="89"/>
        <v>19.98</v>
      </c>
    </row>
    <row r="1913" spans="3:14" x14ac:dyDescent="0.25">
      <c r="C1913" t="str">
        <f>IF(COUNTBLANK(E1913:K1913) = 7,"",IF(AND(NOT(ISBLANK(E1913)),COUNTBLANK(E1913:K1913) = 6),"3 Delete",IF(ISBLANK(E1913),"2 Add",IF(SHA1Range(E1913:K1913) = "9df016575404b87da0873b8237abea0706d10e86","0 Original","1 Modify"))))</f>
        <v>0 Original</v>
      </c>
      <c r="D1913" s="5" t="s">
        <v>3990</v>
      </c>
      <c r="E1913" s="3">
        <v>3939</v>
      </c>
      <c r="F1913" t="s">
        <v>1543</v>
      </c>
      <c r="G1913" t="s">
        <v>948</v>
      </c>
      <c r="H1913" s="9">
        <v>4.99</v>
      </c>
      <c r="I1913" s="3">
        <v>2</v>
      </c>
      <c r="J1913" s="5" t="s">
        <v>68</v>
      </c>
      <c r="K1913" s="15">
        <v>41988.819131944445</v>
      </c>
      <c r="L1913" s="20">
        <f t="shared" si="87"/>
        <v>41988</v>
      </c>
      <c r="M1913" t="str">
        <f t="shared" si="88"/>
        <v>12-2014</v>
      </c>
      <c r="N1913">
        <f t="shared" si="89"/>
        <v>9.98</v>
      </c>
    </row>
    <row r="1914" spans="3:14" x14ac:dyDescent="0.25">
      <c r="C1914" t="str">
        <f>IF(COUNTBLANK(E1914:K1914) = 7,"",IF(AND(NOT(ISBLANK(E1914)),COUNTBLANK(E1914:K1914) = 6),"3 Delete",IF(ISBLANK(E1914),"2 Add",IF(SHA1Range(E1914:K1914) = "f6197d424ee50626b352540b5e2b0872e3af9d20","0 Original","1 Modify"))))</f>
        <v>0 Original</v>
      </c>
      <c r="D1914" s="5" t="s">
        <v>3991</v>
      </c>
      <c r="E1914" s="3">
        <v>1899</v>
      </c>
      <c r="F1914" t="s">
        <v>1544</v>
      </c>
      <c r="G1914" t="s">
        <v>596</v>
      </c>
      <c r="H1914" s="9">
        <v>7.99</v>
      </c>
      <c r="I1914" s="3">
        <v>1</v>
      </c>
      <c r="J1914" s="5" t="s">
        <v>68</v>
      </c>
      <c r="K1914" s="15">
        <v>41989.000509259262</v>
      </c>
      <c r="L1914" s="20">
        <f t="shared" si="87"/>
        <v>41989</v>
      </c>
      <c r="M1914" t="str">
        <f t="shared" si="88"/>
        <v>12-2014</v>
      </c>
      <c r="N1914">
        <f t="shared" si="89"/>
        <v>7.99</v>
      </c>
    </row>
    <row r="1915" spans="3:14" x14ac:dyDescent="0.25">
      <c r="C1915" t="str">
        <f>IF(COUNTBLANK(E1915:K1915) = 7,"",IF(AND(NOT(ISBLANK(E1915)),COUNTBLANK(E1915:K1915) = 6),"3 Delete",IF(ISBLANK(E1915),"2 Add",IF(SHA1Range(E1915:K1915) = "3e37eba23bbd696acdfdbdd0e8c6272462d4c639","0 Original","1 Modify"))))</f>
        <v>0 Original</v>
      </c>
      <c r="D1915" s="5" t="s">
        <v>3992</v>
      </c>
      <c r="E1915" s="3">
        <v>1900</v>
      </c>
      <c r="F1915" t="s">
        <v>1544</v>
      </c>
      <c r="G1915" t="s">
        <v>687</v>
      </c>
      <c r="H1915" s="9">
        <v>9.99</v>
      </c>
      <c r="I1915" s="3">
        <v>1</v>
      </c>
      <c r="J1915" s="5" t="s">
        <v>68</v>
      </c>
      <c r="K1915" s="15">
        <v>41989.000509259262</v>
      </c>
      <c r="L1915" s="20">
        <f t="shared" si="87"/>
        <v>41989</v>
      </c>
      <c r="M1915" t="str">
        <f t="shared" si="88"/>
        <v>12-2014</v>
      </c>
      <c r="N1915">
        <f t="shared" si="89"/>
        <v>9.99</v>
      </c>
    </row>
    <row r="1916" spans="3:14" x14ac:dyDescent="0.25">
      <c r="C1916" t="str">
        <f>IF(COUNTBLANK(E1916:K1916) = 7,"",IF(AND(NOT(ISBLANK(E1916)),COUNTBLANK(E1916:K1916) = 6),"3 Delete",IF(ISBLANK(E1916),"2 Add",IF(SHA1Range(E1916:K1916) = "1fd030f4421da83e4c05b61e71b82920fcdfe216","0 Original","1 Modify"))))</f>
        <v>0 Original</v>
      </c>
      <c r="D1916" s="5" t="s">
        <v>3993</v>
      </c>
      <c r="E1916" s="3">
        <v>1901</v>
      </c>
      <c r="F1916" t="s">
        <v>1544</v>
      </c>
      <c r="G1916" t="s">
        <v>697</v>
      </c>
      <c r="H1916" s="9">
        <v>5.99</v>
      </c>
      <c r="I1916" s="3">
        <v>1</v>
      </c>
      <c r="J1916" s="5" t="s">
        <v>68</v>
      </c>
      <c r="K1916" s="15">
        <v>41989.000509259262</v>
      </c>
      <c r="L1916" s="20">
        <f t="shared" si="87"/>
        <v>41989</v>
      </c>
      <c r="M1916" t="str">
        <f t="shared" si="88"/>
        <v>12-2014</v>
      </c>
      <c r="N1916">
        <f t="shared" si="89"/>
        <v>5.99</v>
      </c>
    </row>
    <row r="1917" spans="3:14" x14ac:dyDescent="0.25">
      <c r="C1917" t="str">
        <f>IF(COUNTBLANK(E1917:K1917) = 7,"",IF(AND(NOT(ISBLANK(E1917)),COUNTBLANK(E1917:K1917) = 6),"3 Delete",IF(ISBLANK(E1917),"2 Add",IF(SHA1Range(E1917:K1917) = "0c1382b942c31bd3c8bd0d4040d4e44afbdea718","0 Original","1 Modify"))))</f>
        <v>0 Original</v>
      </c>
      <c r="D1917" s="5" t="s">
        <v>3994</v>
      </c>
      <c r="E1917" s="3">
        <v>1902</v>
      </c>
      <c r="F1917" t="s">
        <v>1544</v>
      </c>
      <c r="G1917" t="s">
        <v>396</v>
      </c>
      <c r="H1917" s="9">
        <v>8.99</v>
      </c>
      <c r="I1917" s="3">
        <v>1</v>
      </c>
      <c r="J1917" s="5" t="s">
        <v>68</v>
      </c>
      <c r="K1917" s="15">
        <v>41989.000509259262</v>
      </c>
      <c r="L1917" s="20">
        <f t="shared" si="87"/>
        <v>41989</v>
      </c>
      <c r="M1917" t="str">
        <f t="shared" si="88"/>
        <v>12-2014</v>
      </c>
      <c r="N1917">
        <f t="shared" si="89"/>
        <v>8.99</v>
      </c>
    </row>
    <row r="1918" spans="3:14" x14ac:dyDescent="0.25">
      <c r="C1918" t="str">
        <f>IF(COUNTBLANK(E1918:K1918) = 7,"",IF(AND(NOT(ISBLANK(E1918)),COUNTBLANK(E1918:K1918) = 6),"3 Delete",IF(ISBLANK(E1918),"2 Add",IF(SHA1Range(E1918:K1918) = "73639fb2f1c16e2d28cf225d40b077d72c559e40","0 Original","1 Modify"))))</f>
        <v>0 Original</v>
      </c>
      <c r="D1918" s="5" t="s">
        <v>3995</v>
      </c>
      <c r="E1918" s="3">
        <v>3148</v>
      </c>
      <c r="F1918" t="s">
        <v>1545</v>
      </c>
      <c r="G1918" t="s">
        <v>707</v>
      </c>
      <c r="H1918" s="9">
        <v>7.99</v>
      </c>
      <c r="I1918" s="3">
        <v>2</v>
      </c>
      <c r="J1918" s="5" t="s">
        <v>68</v>
      </c>
      <c r="K1918" s="15">
        <v>41989.258333333331</v>
      </c>
      <c r="L1918" s="20">
        <f t="shared" si="87"/>
        <v>41989</v>
      </c>
      <c r="M1918" t="str">
        <f t="shared" si="88"/>
        <v>12-2014</v>
      </c>
      <c r="N1918">
        <f t="shared" si="89"/>
        <v>15.98</v>
      </c>
    </row>
    <row r="1919" spans="3:14" x14ac:dyDescent="0.25">
      <c r="C1919" t="str">
        <f>IF(COUNTBLANK(E1919:K1919) = 7,"",IF(AND(NOT(ISBLANK(E1919)),COUNTBLANK(E1919:K1919) = 6),"3 Delete",IF(ISBLANK(E1919),"2 Add",IF(SHA1Range(E1919:K1919) = "23975b56fc2bdb2c08082441ff816848792241ca","0 Original","1 Modify"))))</f>
        <v>0 Original</v>
      </c>
      <c r="D1919" s="5" t="s">
        <v>3996</v>
      </c>
      <c r="E1919" s="3">
        <v>3149</v>
      </c>
      <c r="F1919" t="s">
        <v>1545</v>
      </c>
      <c r="G1919" t="s">
        <v>948</v>
      </c>
      <c r="H1919" s="9">
        <v>4.99</v>
      </c>
      <c r="I1919" s="3">
        <v>2</v>
      </c>
      <c r="J1919" s="5" t="s">
        <v>68</v>
      </c>
      <c r="K1919" s="15">
        <v>41989.258333333331</v>
      </c>
      <c r="L1919" s="20">
        <f t="shared" si="87"/>
        <v>41989</v>
      </c>
      <c r="M1919" t="str">
        <f t="shared" si="88"/>
        <v>12-2014</v>
      </c>
      <c r="N1919">
        <f t="shared" si="89"/>
        <v>9.98</v>
      </c>
    </row>
    <row r="1920" spans="3:14" x14ac:dyDescent="0.25">
      <c r="C1920" t="str">
        <f>IF(COUNTBLANK(E1920:K1920) = 7,"",IF(AND(NOT(ISBLANK(E1920)),COUNTBLANK(E1920:K1920) = 6),"3 Delete",IF(ISBLANK(E1920),"2 Add",IF(SHA1Range(E1920:K1920) = "9dcf13b00e97a15333275a46c5c4e8888ab5f10b","0 Original","1 Modify"))))</f>
        <v>0 Original</v>
      </c>
      <c r="D1920" s="5" t="s">
        <v>3997</v>
      </c>
      <c r="E1920" s="3">
        <v>3150</v>
      </c>
      <c r="F1920" t="s">
        <v>1545</v>
      </c>
      <c r="G1920" t="s">
        <v>514</v>
      </c>
      <c r="H1920" s="9">
        <v>6.99</v>
      </c>
      <c r="I1920" s="3">
        <v>1</v>
      </c>
      <c r="J1920" s="5" t="s">
        <v>68</v>
      </c>
      <c r="K1920" s="15">
        <v>41989.258333333331</v>
      </c>
      <c r="L1920" s="20">
        <f t="shared" si="87"/>
        <v>41989</v>
      </c>
      <c r="M1920" t="str">
        <f t="shared" si="88"/>
        <v>12-2014</v>
      </c>
      <c r="N1920">
        <f t="shared" si="89"/>
        <v>6.99</v>
      </c>
    </row>
    <row r="1921" spans="3:14" x14ac:dyDescent="0.25">
      <c r="C1921" t="str">
        <f>IF(COUNTBLANK(E1921:K1921) = 7,"",IF(AND(NOT(ISBLANK(E1921)),COUNTBLANK(E1921:K1921) = 6),"3 Delete",IF(ISBLANK(E1921),"2 Add",IF(SHA1Range(E1921:K1921) = "d747cb0f80dd34934d96f748d3775c142be398d5","0 Original","1 Modify"))))</f>
        <v>0 Original</v>
      </c>
      <c r="D1921" s="5" t="s">
        <v>3998</v>
      </c>
      <c r="E1921" s="3">
        <v>1079</v>
      </c>
      <c r="F1921" t="s">
        <v>1546</v>
      </c>
      <c r="G1921" t="s">
        <v>771</v>
      </c>
      <c r="H1921" s="9">
        <v>9.99</v>
      </c>
      <c r="I1921" s="3">
        <v>2</v>
      </c>
      <c r="J1921" s="5" t="s">
        <v>68</v>
      </c>
      <c r="K1921" s="15">
        <v>41989.56453703704</v>
      </c>
      <c r="L1921" s="20">
        <f t="shared" si="87"/>
        <v>41989</v>
      </c>
      <c r="M1921" t="str">
        <f t="shared" si="88"/>
        <v>12-2014</v>
      </c>
      <c r="N1921">
        <f t="shared" si="89"/>
        <v>19.98</v>
      </c>
    </row>
    <row r="1922" spans="3:14" x14ac:dyDescent="0.25">
      <c r="C1922" t="str">
        <f>IF(COUNTBLANK(E1922:K1922) = 7,"",IF(AND(NOT(ISBLANK(E1922)),COUNTBLANK(E1922:K1922) = 6),"3 Delete",IF(ISBLANK(E1922),"2 Add",IF(SHA1Range(E1922:K1922) = "55b84b01bf641fa66a24394bc6b01d8818c0d025","0 Original","1 Modify"))))</f>
        <v>0 Original</v>
      </c>
      <c r="D1922" s="5" t="s">
        <v>3999</v>
      </c>
      <c r="E1922" s="3">
        <v>1080</v>
      </c>
      <c r="F1922" t="s">
        <v>1546</v>
      </c>
      <c r="G1922" t="s">
        <v>781</v>
      </c>
      <c r="H1922" s="9">
        <v>5.99</v>
      </c>
      <c r="I1922" s="3">
        <v>1</v>
      </c>
      <c r="J1922" s="5" t="s">
        <v>68</v>
      </c>
      <c r="K1922" s="15">
        <v>41989.56453703704</v>
      </c>
      <c r="L1922" s="20">
        <f t="shared" si="87"/>
        <v>41989</v>
      </c>
      <c r="M1922" t="str">
        <f t="shared" si="88"/>
        <v>12-2014</v>
      </c>
      <c r="N1922">
        <f t="shared" si="89"/>
        <v>5.99</v>
      </c>
    </row>
    <row r="1923" spans="3:14" x14ac:dyDescent="0.25">
      <c r="C1923" t="str">
        <f>IF(COUNTBLANK(E1923:K1923) = 7,"",IF(AND(NOT(ISBLANK(E1923)),COUNTBLANK(E1923:K1923) = 6),"3 Delete",IF(ISBLANK(E1923),"2 Add",IF(SHA1Range(E1923:K1923) = "cbf2b6496181f59fc174d7e41dc6928dd9e0e51a","0 Original","1 Modify"))))</f>
        <v>0 Original</v>
      </c>
      <c r="D1923" s="5" t="s">
        <v>4000</v>
      </c>
      <c r="E1923" s="3">
        <v>1081</v>
      </c>
      <c r="F1923" t="s">
        <v>1546</v>
      </c>
      <c r="G1923" t="s">
        <v>687</v>
      </c>
      <c r="H1923" s="9">
        <v>9.99</v>
      </c>
      <c r="I1923" s="3">
        <v>1</v>
      </c>
      <c r="J1923" s="5" t="s">
        <v>68</v>
      </c>
      <c r="K1923" s="15">
        <v>41989.56453703704</v>
      </c>
      <c r="L1923" s="20">
        <f t="shared" ref="L1923:L1986" si="90">DATEVALUE(LEFT(F1923,10))</f>
        <v>41989</v>
      </c>
      <c r="M1923" t="str">
        <f t="shared" ref="M1923:M1986" si="91">TEXT(L1923,"mm-yyyy")</f>
        <v>12-2014</v>
      </c>
      <c r="N1923">
        <f t="shared" ref="N1923:N1986" si="92">H1923*I1923</f>
        <v>9.99</v>
      </c>
    </row>
    <row r="1924" spans="3:14" x14ac:dyDescent="0.25">
      <c r="C1924" t="str">
        <f>IF(COUNTBLANK(E1924:K1924) = 7,"",IF(AND(NOT(ISBLANK(E1924)),COUNTBLANK(E1924:K1924) = 6),"3 Delete",IF(ISBLANK(E1924),"2 Add",IF(SHA1Range(E1924:K1924) = "5ff34bc1e76ac484f303e26df147a8a575a5689c","0 Original","1 Modify"))))</f>
        <v>0 Original</v>
      </c>
      <c r="D1924" s="5" t="s">
        <v>4001</v>
      </c>
      <c r="E1924" s="3">
        <v>1082</v>
      </c>
      <c r="F1924" t="s">
        <v>1546</v>
      </c>
      <c r="G1924" t="s">
        <v>697</v>
      </c>
      <c r="H1924" s="9">
        <v>5.99</v>
      </c>
      <c r="I1924" s="3">
        <v>1</v>
      </c>
      <c r="J1924" s="5" t="s">
        <v>68</v>
      </c>
      <c r="K1924" s="15">
        <v>41989.56453703704</v>
      </c>
      <c r="L1924" s="20">
        <f t="shared" si="90"/>
        <v>41989</v>
      </c>
      <c r="M1924" t="str">
        <f t="shared" si="91"/>
        <v>12-2014</v>
      </c>
      <c r="N1924">
        <f t="shared" si="92"/>
        <v>5.99</v>
      </c>
    </row>
    <row r="1925" spans="3:14" x14ac:dyDescent="0.25">
      <c r="C1925" t="str">
        <f>IF(COUNTBLANK(E1925:K1925) = 7,"",IF(AND(NOT(ISBLANK(E1925)),COUNTBLANK(E1925:K1925) = 6),"3 Delete",IF(ISBLANK(E1925),"2 Add",IF(SHA1Range(E1925:K1925) = "85021dd321fd9935bee9ffc71da91b28469c74db","0 Original","1 Modify"))))</f>
        <v>0 Original</v>
      </c>
      <c r="D1925" s="5" t="s">
        <v>4002</v>
      </c>
      <c r="E1925" s="3">
        <v>1083</v>
      </c>
      <c r="F1925" t="s">
        <v>1546</v>
      </c>
      <c r="G1925" t="s">
        <v>912</v>
      </c>
      <c r="H1925" s="9">
        <v>6.99</v>
      </c>
      <c r="I1925" s="3">
        <v>1</v>
      </c>
      <c r="J1925" s="5" t="s">
        <v>68</v>
      </c>
      <c r="K1925" s="15">
        <v>41989.56453703704</v>
      </c>
      <c r="L1925" s="20">
        <f t="shared" si="90"/>
        <v>41989</v>
      </c>
      <c r="M1925" t="str">
        <f t="shared" si="91"/>
        <v>12-2014</v>
      </c>
      <c r="N1925">
        <f t="shared" si="92"/>
        <v>6.99</v>
      </c>
    </row>
    <row r="1926" spans="3:14" x14ac:dyDescent="0.25">
      <c r="C1926" t="str">
        <f>IF(COUNTBLANK(E1926:K1926) = 7,"",IF(AND(NOT(ISBLANK(E1926)),COUNTBLANK(E1926:K1926) = 6),"3 Delete",IF(ISBLANK(E1926),"2 Add",IF(SHA1Range(E1926:K1926) = "5da2abb90f1517c75590664de814ada652b0da24","0 Original","1 Modify"))))</f>
        <v>0 Original</v>
      </c>
      <c r="D1926" s="5" t="s">
        <v>4003</v>
      </c>
      <c r="E1926" s="3">
        <v>1084</v>
      </c>
      <c r="F1926" t="s">
        <v>1546</v>
      </c>
      <c r="G1926" t="s">
        <v>482</v>
      </c>
      <c r="H1926" s="9">
        <v>8.99</v>
      </c>
      <c r="I1926" s="3">
        <v>2</v>
      </c>
      <c r="J1926" s="5" t="s">
        <v>68</v>
      </c>
      <c r="K1926" s="15">
        <v>41989.56453703704</v>
      </c>
      <c r="L1926" s="20">
        <f t="shared" si="90"/>
        <v>41989</v>
      </c>
      <c r="M1926" t="str">
        <f t="shared" si="91"/>
        <v>12-2014</v>
      </c>
      <c r="N1926">
        <f t="shared" si="92"/>
        <v>17.98</v>
      </c>
    </row>
    <row r="1927" spans="3:14" x14ac:dyDescent="0.25">
      <c r="C1927" t="str">
        <f>IF(COUNTBLANK(E1927:K1927) = 7,"",IF(AND(NOT(ISBLANK(E1927)),COUNTBLANK(E1927:K1927) = 6),"3 Delete",IF(ISBLANK(E1927),"2 Add",IF(SHA1Range(E1927:K1927) = "04e55a24fe5323518e3d2727429ee3df9c045e1c","0 Original","1 Modify"))))</f>
        <v>0 Original</v>
      </c>
      <c r="D1927" s="5" t="s">
        <v>4004</v>
      </c>
      <c r="E1927" s="3">
        <v>3446</v>
      </c>
      <c r="F1927" t="s">
        <v>1547</v>
      </c>
      <c r="G1927" t="s">
        <v>579</v>
      </c>
      <c r="H1927" s="9">
        <v>9.99</v>
      </c>
      <c r="I1927" s="3">
        <v>2</v>
      </c>
      <c r="J1927" s="5" t="s">
        <v>68</v>
      </c>
      <c r="K1927" s="15">
        <v>41989.594027777777</v>
      </c>
      <c r="L1927" s="20">
        <f t="shared" si="90"/>
        <v>41989</v>
      </c>
      <c r="M1927" t="str">
        <f t="shared" si="91"/>
        <v>12-2014</v>
      </c>
      <c r="N1927">
        <f t="shared" si="92"/>
        <v>19.98</v>
      </c>
    </row>
    <row r="1928" spans="3:14" x14ac:dyDescent="0.25">
      <c r="C1928" t="str">
        <f>IF(COUNTBLANK(E1928:K1928) = 7,"",IF(AND(NOT(ISBLANK(E1928)),COUNTBLANK(E1928:K1928) = 6),"3 Delete",IF(ISBLANK(E1928),"2 Add",IF(SHA1Range(E1928:K1928) = "9fbdffb1467d58f20be13e45c77e2f2255f32ae2","0 Original","1 Modify"))))</f>
        <v>0 Original</v>
      </c>
      <c r="D1928" s="5" t="s">
        <v>4005</v>
      </c>
      <c r="E1928" s="3">
        <v>3447</v>
      </c>
      <c r="F1928" t="s">
        <v>1547</v>
      </c>
      <c r="G1928" t="s">
        <v>642</v>
      </c>
      <c r="H1928" s="9">
        <v>9.99</v>
      </c>
      <c r="I1928" s="3">
        <v>1</v>
      </c>
      <c r="J1928" s="5" t="s">
        <v>68</v>
      </c>
      <c r="K1928" s="15">
        <v>41989.594027777777</v>
      </c>
      <c r="L1928" s="20">
        <f t="shared" si="90"/>
        <v>41989</v>
      </c>
      <c r="M1928" t="str">
        <f t="shared" si="91"/>
        <v>12-2014</v>
      </c>
      <c r="N1928">
        <f t="shared" si="92"/>
        <v>9.99</v>
      </c>
    </row>
    <row r="1929" spans="3:14" x14ac:dyDescent="0.25">
      <c r="C1929" t="str">
        <f>IF(COUNTBLANK(E1929:K1929) = 7,"",IF(AND(NOT(ISBLANK(E1929)),COUNTBLANK(E1929:K1929) = 6),"3 Delete",IF(ISBLANK(E1929),"2 Add",IF(SHA1Range(E1929:K1929) = "a32af8607c88c30434e5ad123af30aac5d03f2ba","0 Original","1 Modify"))))</f>
        <v>0 Original</v>
      </c>
      <c r="D1929" s="5" t="s">
        <v>4006</v>
      </c>
      <c r="E1929" s="3">
        <v>3448</v>
      </c>
      <c r="F1929" t="s">
        <v>1547</v>
      </c>
      <c r="G1929" t="s">
        <v>948</v>
      </c>
      <c r="H1929" s="9">
        <v>4.99</v>
      </c>
      <c r="I1929" s="3">
        <v>2</v>
      </c>
      <c r="J1929" s="5" t="s">
        <v>68</v>
      </c>
      <c r="K1929" s="15">
        <v>41989.594027777777</v>
      </c>
      <c r="L1929" s="20">
        <f t="shared" si="90"/>
        <v>41989</v>
      </c>
      <c r="M1929" t="str">
        <f t="shared" si="91"/>
        <v>12-2014</v>
      </c>
      <c r="N1929">
        <f t="shared" si="92"/>
        <v>9.98</v>
      </c>
    </row>
    <row r="1930" spans="3:14" x14ac:dyDescent="0.25">
      <c r="C1930" t="str">
        <f>IF(COUNTBLANK(E1930:K1930) = 7,"",IF(AND(NOT(ISBLANK(E1930)),COUNTBLANK(E1930:K1930) = 6),"3 Delete",IF(ISBLANK(E1930),"2 Add",IF(SHA1Range(E1930:K1930) = "9c2b6b4fc87ca8677614750ba774aaece621976e","0 Original","1 Modify"))))</f>
        <v>0 Original</v>
      </c>
      <c r="D1930" s="5" t="s">
        <v>4007</v>
      </c>
      <c r="E1930" s="3">
        <v>3449</v>
      </c>
      <c r="F1930" t="s">
        <v>1547</v>
      </c>
      <c r="G1930" t="s">
        <v>400</v>
      </c>
      <c r="H1930" s="9">
        <v>4.99</v>
      </c>
      <c r="I1930" s="3">
        <v>1</v>
      </c>
      <c r="J1930" s="5" t="s">
        <v>68</v>
      </c>
      <c r="K1930" s="15">
        <v>41989.594027777777</v>
      </c>
      <c r="L1930" s="20">
        <f t="shared" si="90"/>
        <v>41989</v>
      </c>
      <c r="M1930" t="str">
        <f t="shared" si="91"/>
        <v>12-2014</v>
      </c>
      <c r="N1930">
        <f t="shared" si="92"/>
        <v>4.99</v>
      </c>
    </row>
    <row r="1931" spans="3:14" x14ac:dyDescent="0.25">
      <c r="C1931" t="str">
        <f>IF(COUNTBLANK(E1931:K1931) = 7,"",IF(AND(NOT(ISBLANK(E1931)),COUNTBLANK(E1931:K1931) = 6),"3 Delete",IF(ISBLANK(E1931),"2 Add",IF(SHA1Range(E1931:K1931) = "9a17be337f78e8b6f6a71ed1e4520a2ca46808c6","0 Original","1 Modify"))))</f>
        <v>0 Original</v>
      </c>
      <c r="D1931" s="5" t="s">
        <v>4008</v>
      </c>
      <c r="E1931" s="3">
        <v>2050</v>
      </c>
      <c r="F1931" t="s">
        <v>1548</v>
      </c>
      <c r="G1931" t="s">
        <v>704</v>
      </c>
      <c r="H1931" s="9">
        <v>4.99</v>
      </c>
      <c r="I1931" s="3">
        <v>2</v>
      </c>
      <c r="J1931" s="5" t="s">
        <v>68</v>
      </c>
      <c r="K1931" s="15">
        <v>41989.702916666669</v>
      </c>
      <c r="L1931" s="20">
        <f t="shared" si="90"/>
        <v>41989</v>
      </c>
      <c r="M1931" t="str">
        <f t="shared" si="91"/>
        <v>12-2014</v>
      </c>
      <c r="N1931">
        <f t="shared" si="92"/>
        <v>9.98</v>
      </c>
    </row>
    <row r="1932" spans="3:14" x14ac:dyDescent="0.25">
      <c r="C1932" t="str">
        <f>IF(COUNTBLANK(E1932:K1932) = 7,"",IF(AND(NOT(ISBLANK(E1932)),COUNTBLANK(E1932:K1932) = 6),"3 Delete",IF(ISBLANK(E1932),"2 Add",IF(SHA1Range(E1932:K1932) = "99918bcdef320bad60acb09eab8d727729e222aa","0 Original","1 Modify"))))</f>
        <v>0 Original</v>
      </c>
      <c r="D1932" s="5" t="s">
        <v>4009</v>
      </c>
      <c r="E1932" s="3">
        <v>2051</v>
      </c>
      <c r="F1932" t="s">
        <v>1548</v>
      </c>
      <c r="G1932" t="s">
        <v>732</v>
      </c>
      <c r="H1932" s="9">
        <v>9.99</v>
      </c>
      <c r="I1932" s="3">
        <v>2</v>
      </c>
      <c r="J1932" s="5" t="s">
        <v>68</v>
      </c>
      <c r="K1932" s="15">
        <v>41989.702916666669</v>
      </c>
      <c r="L1932" s="20">
        <f t="shared" si="90"/>
        <v>41989</v>
      </c>
      <c r="M1932" t="str">
        <f t="shared" si="91"/>
        <v>12-2014</v>
      </c>
      <c r="N1932">
        <f t="shared" si="92"/>
        <v>19.98</v>
      </c>
    </row>
    <row r="1933" spans="3:14" x14ac:dyDescent="0.25">
      <c r="C1933" t="str">
        <f>IF(COUNTBLANK(E1933:K1933) = 7,"",IF(AND(NOT(ISBLANK(E1933)),COUNTBLANK(E1933:K1933) = 6),"3 Delete",IF(ISBLANK(E1933),"2 Add",IF(SHA1Range(E1933:K1933) = "f178a079353cbc2af6028e940313f6765e8f4b7d","0 Original","1 Modify"))))</f>
        <v>0 Original</v>
      </c>
      <c r="D1933" s="5" t="s">
        <v>4010</v>
      </c>
      <c r="E1933" s="3">
        <v>2322</v>
      </c>
      <c r="F1933" t="s">
        <v>1549</v>
      </c>
      <c r="G1933" t="s">
        <v>482</v>
      </c>
      <c r="H1933" s="9">
        <v>8.99</v>
      </c>
      <c r="I1933" s="3">
        <v>1</v>
      </c>
      <c r="J1933" s="5" t="s">
        <v>68</v>
      </c>
      <c r="K1933" s="15">
        <v>41989.842962962961</v>
      </c>
      <c r="L1933" s="20">
        <f t="shared" si="90"/>
        <v>41989</v>
      </c>
      <c r="M1933" t="str">
        <f t="shared" si="91"/>
        <v>12-2014</v>
      </c>
      <c r="N1933">
        <f t="shared" si="92"/>
        <v>8.99</v>
      </c>
    </row>
    <row r="1934" spans="3:14" x14ac:dyDescent="0.25">
      <c r="C1934" t="str">
        <f>IF(COUNTBLANK(E1934:K1934) = 7,"",IF(AND(NOT(ISBLANK(E1934)),COUNTBLANK(E1934:K1934) = 6),"3 Delete",IF(ISBLANK(E1934),"2 Add",IF(SHA1Range(E1934:K1934) = "2081c724b72ffc9b7b5173d444c8500de36c4841","0 Original","1 Modify"))))</f>
        <v>0 Original</v>
      </c>
      <c r="D1934" s="5" t="s">
        <v>4011</v>
      </c>
      <c r="E1934" s="3">
        <v>2323</v>
      </c>
      <c r="F1934" t="s">
        <v>1549</v>
      </c>
      <c r="G1934" t="s">
        <v>687</v>
      </c>
      <c r="H1934" s="9">
        <v>9.99</v>
      </c>
      <c r="I1934" s="3">
        <v>1</v>
      </c>
      <c r="J1934" s="5" t="s">
        <v>68</v>
      </c>
      <c r="K1934" s="15">
        <v>41989.842962962961</v>
      </c>
      <c r="L1934" s="20">
        <f t="shared" si="90"/>
        <v>41989</v>
      </c>
      <c r="M1934" t="str">
        <f t="shared" si="91"/>
        <v>12-2014</v>
      </c>
      <c r="N1934">
        <f t="shared" si="92"/>
        <v>9.99</v>
      </c>
    </row>
    <row r="1935" spans="3:14" x14ac:dyDescent="0.25">
      <c r="C1935" t="str">
        <f>IF(COUNTBLANK(E1935:K1935) = 7,"",IF(AND(NOT(ISBLANK(E1935)),COUNTBLANK(E1935:K1935) = 6),"3 Delete",IF(ISBLANK(E1935),"2 Add",IF(SHA1Range(E1935:K1935) = "68bc1351db84244139ae281ef546245271c8835e","0 Original","1 Modify"))))</f>
        <v>0 Original</v>
      </c>
      <c r="D1935" s="5" t="s">
        <v>4012</v>
      </c>
      <c r="E1935" s="3">
        <v>2324</v>
      </c>
      <c r="F1935" t="s">
        <v>1549</v>
      </c>
      <c r="G1935" t="s">
        <v>684</v>
      </c>
      <c r="H1935" s="9">
        <v>8.99</v>
      </c>
      <c r="I1935" s="3">
        <v>2</v>
      </c>
      <c r="J1935" s="5" t="s">
        <v>68</v>
      </c>
      <c r="K1935" s="15">
        <v>41989.842962962961</v>
      </c>
      <c r="L1935" s="20">
        <f t="shared" si="90"/>
        <v>41989</v>
      </c>
      <c r="M1935" t="str">
        <f t="shared" si="91"/>
        <v>12-2014</v>
      </c>
      <c r="N1935">
        <f t="shared" si="92"/>
        <v>17.98</v>
      </c>
    </row>
    <row r="1936" spans="3:14" x14ac:dyDescent="0.25">
      <c r="C1936" t="str">
        <f>IF(COUNTBLANK(E1936:K1936) = 7,"",IF(AND(NOT(ISBLANK(E1936)),COUNTBLANK(E1936:K1936) = 6),"3 Delete",IF(ISBLANK(E1936),"2 Add",IF(SHA1Range(E1936:K1936) = "8d5915dedbb0f84e6f867aead48eaeac8de86eac","0 Original","1 Modify"))))</f>
        <v>0 Original</v>
      </c>
      <c r="D1936" s="5" t="s">
        <v>4013</v>
      </c>
      <c r="E1936" s="3">
        <v>1876</v>
      </c>
      <c r="F1936" t="s">
        <v>1550</v>
      </c>
      <c r="G1936" t="s">
        <v>680</v>
      </c>
      <c r="H1936" s="9">
        <v>8.99</v>
      </c>
      <c r="I1936" s="3">
        <v>2</v>
      </c>
      <c r="J1936" s="5" t="s">
        <v>68</v>
      </c>
      <c r="K1936" s="15">
        <v>41990.863298611112</v>
      </c>
      <c r="L1936" s="20">
        <f t="shared" si="90"/>
        <v>41990</v>
      </c>
      <c r="M1936" t="str">
        <f t="shared" si="91"/>
        <v>12-2014</v>
      </c>
      <c r="N1936">
        <f t="shared" si="92"/>
        <v>17.98</v>
      </c>
    </row>
    <row r="1937" spans="3:14" x14ac:dyDescent="0.25">
      <c r="C1937" t="str">
        <f>IF(COUNTBLANK(E1937:K1937) = 7,"",IF(AND(NOT(ISBLANK(E1937)),COUNTBLANK(E1937:K1937) = 6),"3 Delete",IF(ISBLANK(E1937),"2 Add",IF(SHA1Range(E1937:K1937) = "610f4b64c6b34dfcd20106f558e24290d2c9982e","0 Original","1 Modify"))))</f>
        <v>0 Original</v>
      </c>
      <c r="D1937" s="5" t="s">
        <v>4014</v>
      </c>
      <c r="E1937" s="3">
        <v>1877</v>
      </c>
      <c r="F1937" t="s">
        <v>1550</v>
      </c>
      <c r="G1937" t="s">
        <v>507</v>
      </c>
      <c r="H1937" s="9">
        <v>6.99</v>
      </c>
      <c r="I1937" s="3">
        <v>1</v>
      </c>
      <c r="J1937" s="5" t="s">
        <v>68</v>
      </c>
      <c r="K1937" s="15">
        <v>41990.863298611112</v>
      </c>
      <c r="L1937" s="20">
        <f t="shared" si="90"/>
        <v>41990</v>
      </c>
      <c r="M1937" t="str">
        <f t="shared" si="91"/>
        <v>12-2014</v>
      </c>
      <c r="N1937">
        <f t="shared" si="92"/>
        <v>6.99</v>
      </c>
    </row>
    <row r="1938" spans="3:14" x14ac:dyDescent="0.25">
      <c r="C1938" t="str">
        <f>IF(COUNTBLANK(E1938:K1938) = 7,"",IF(AND(NOT(ISBLANK(E1938)),COUNTBLANK(E1938:K1938) = 6),"3 Delete",IF(ISBLANK(E1938),"2 Add",IF(SHA1Range(E1938:K1938) = "9fe44d61f9d088ee5acf75c24ddee497c022ef2c","0 Original","1 Modify"))))</f>
        <v>0 Original</v>
      </c>
      <c r="D1938" s="5" t="s">
        <v>4015</v>
      </c>
      <c r="E1938" s="3">
        <v>1878</v>
      </c>
      <c r="F1938" t="s">
        <v>1550</v>
      </c>
      <c r="G1938" t="s">
        <v>735</v>
      </c>
      <c r="H1938" s="9">
        <v>4.99</v>
      </c>
      <c r="I1938" s="3">
        <v>1</v>
      </c>
      <c r="J1938" s="5" t="s">
        <v>68</v>
      </c>
      <c r="K1938" s="15">
        <v>41990.863298611112</v>
      </c>
      <c r="L1938" s="20">
        <f t="shared" si="90"/>
        <v>41990</v>
      </c>
      <c r="M1938" t="str">
        <f t="shared" si="91"/>
        <v>12-2014</v>
      </c>
      <c r="N1938">
        <f t="shared" si="92"/>
        <v>4.99</v>
      </c>
    </row>
    <row r="1939" spans="3:14" x14ac:dyDescent="0.25">
      <c r="C1939" t="str">
        <f>IF(COUNTBLANK(E1939:K1939) = 7,"",IF(AND(NOT(ISBLANK(E1939)),COUNTBLANK(E1939:K1939) = 6),"3 Delete",IF(ISBLANK(E1939),"2 Add",IF(SHA1Range(E1939:K1939) = "15fb564ad00662076ab82ed043b79930a702df98","0 Original","1 Modify"))))</f>
        <v>0 Original</v>
      </c>
      <c r="D1939" s="5" t="s">
        <v>4016</v>
      </c>
      <c r="E1939" s="3">
        <v>1879</v>
      </c>
      <c r="F1939" t="s">
        <v>1550</v>
      </c>
      <c r="G1939" t="s">
        <v>820</v>
      </c>
      <c r="H1939" s="9">
        <v>9.99</v>
      </c>
      <c r="I1939" s="3">
        <v>2</v>
      </c>
      <c r="J1939" s="5" t="s">
        <v>68</v>
      </c>
      <c r="K1939" s="15">
        <v>41990.863298611112</v>
      </c>
      <c r="L1939" s="20">
        <f t="shared" si="90"/>
        <v>41990</v>
      </c>
      <c r="M1939" t="str">
        <f t="shared" si="91"/>
        <v>12-2014</v>
      </c>
      <c r="N1939">
        <f t="shared" si="92"/>
        <v>19.98</v>
      </c>
    </row>
    <row r="1940" spans="3:14" x14ac:dyDescent="0.25">
      <c r="C1940" t="str">
        <f>IF(COUNTBLANK(E1940:K1940) = 7,"",IF(AND(NOT(ISBLANK(E1940)),COUNTBLANK(E1940:K1940) = 6),"3 Delete",IF(ISBLANK(E1940),"2 Add",IF(SHA1Range(E1940:K1940) = "2c93553f34782d1ebc74c59e793864c6235b5c53","0 Original","1 Modify"))))</f>
        <v>0 Original</v>
      </c>
      <c r="D1940" s="5" t="s">
        <v>4017</v>
      </c>
      <c r="E1940" s="3">
        <v>1880</v>
      </c>
      <c r="F1940" t="s">
        <v>1550</v>
      </c>
      <c r="G1940" t="s">
        <v>955</v>
      </c>
      <c r="H1940" s="9">
        <v>8.99</v>
      </c>
      <c r="I1940" s="3">
        <v>1</v>
      </c>
      <c r="J1940" s="5" t="s">
        <v>68</v>
      </c>
      <c r="K1940" s="15">
        <v>41990.863298611112</v>
      </c>
      <c r="L1940" s="20">
        <f t="shared" si="90"/>
        <v>41990</v>
      </c>
      <c r="M1940" t="str">
        <f t="shared" si="91"/>
        <v>12-2014</v>
      </c>
      <c r="N1940">
        <f t="shared" si="92"/>
        <v>8.99</v>
      </c>
    </row>
    <row r="1941" spans="3:14" x14ac:dyDescent="0.25">
      <c r="C1941" t="str">
        <f>IF(COUNTBLANK(E1941:K1941) = 7,"",IF(AND(NOT(ISBLANK(E1941)),COUNTBLANK(E1941:K1941) = 6),"3 Delete",IF(ISBLANK(E1941),"2 Add",IF(SHA1Range(E1941:K1941) = "a422689b2810a22ea52a1b04739b3b13a6d76cc6","0 Original","1 Modify"))))</f>
        <v>0 Original</v>
      </c>
      <c r="D1941" s="5" t="s">
        <v>4018</v>
      </c>
      <c r="E1941" s="3">
        <v>1881</v>
      </c>
      <c r="F1941" t="s">
        <v>1550</v>
      </c>
      <c r="G1941" t="s">
        <v>389</v>
      </c>
      <c r="H1941" s="9">
        <v>4.99</v>
      </c>
      <c r="I1941" s="3">
        <v>2</v>
      </c>
      <c r="J1941" s="5" t="s">
        <v>68</v>
      </c>
      <c r="K1941" s="15">
        <v>41990.863298611112</v>
      </c>
      <c r="L1941" s="20">
        <f t="shared" si="90"/>
        <v>41990</v>
      </c>
      <c r="M1941" t="str">
        <f t="shared" si="91"/>
        <v>12-2014</v>
      </c>
      <c r="N1941">
        <f t="shared" si="92"/>
        <v>9.98</v>
      </c>
    </row>
    <row r="1942" spans="3:14" x14ac:dyDescent="0.25">
      <c r="C1942" t="str">
        <f>IF(COUNTBLANK(E1942:K1942) = 7,"",IF(AND(NOT(ISBLANK(E1942)),COUNTBLANK(E1942:K1942) = 6),"3 Delete",IF(ISBLANK(E1942),"2 Add",IF(SHA1Range(E1942:K1942) = "e00b5707c859498fae234de4a3ab9f701d69df20","0 Original","1 Modify"))))</f>
        <v>0 Original</v>
      </c>
      <c r="D1942" s="5" t="s">
        <v>4019</v>
      </c>
      <c r="E1942" s="3">
        <v>3384</v>
      </c>
      <c r="F1942" t="s">
        <v>1551</v>
      </c>
      <c r="G1942" t="s">
        <v>373</v>
      </c>
      <c r="H1942" s="9">
        <v>7.99</v>
      </c>
      <c r="I1942" s="3">
        <v>2</v>
      </c>
      <c r="J1942" s="5" t="s">
        <v>68</v>
      </c>
      <c r="K1942" s="15">
        <v>41991.06858796296</v>
      </c>
      <c r="L1942" s="20">
        <f t="shared" si="90"/>
        <v>41991</v>
      </c>
      <c r="M1942" t="str">
        <f t="shared" si="91"/>
        <v>12-2014</v>
      </c>
      <c r="N1942">
        <f t="shared" si="92"/>
        <v>15.98</v>
      </c>
    </row>
    <row r="1943" spans="3:14" x14ac:dyDescent="0.25">
      <c r="C1943" t="str">
        <f>IF(COUNTBLANK(E1943:K1943) = 7,"",IF(AND(NOT(ISBLANK(E1943)),COUNTBLANK(E1943:K1943) = 6),"3 Delete",IF(ISBLANK(E1943),"2 Add",IF(SHA1Range(E1943:K1943) = "df9ee1e52678f341fd5070204c9941940b2c031c","0 Original","1 Modify"))))</f>
        <v>0 Original</v>
      </c>
      <c r="D1943" s="5" t="s">
        <v>4020</v>
      </c>
      <c r="E1943" s="3">
        <v>3385</v>
      </c>
      <c r="F1943" t="s">
        <v>1551</v>
      </c>
      <c r="G1943" t="s">
        <v>400</v>
      </c>
      <c r="H1943" s="9">
        <v>4.99</v>
      </c>
      <c r="I1943" s="3">
        <v>1</v>
      </c>
      <c r="J1943" s="5" t="s">
        <v>68</v>
      </c>
      <c r="K1943" s="15">
        <v>41991.06858796296</v>
      </c>
      <c r="L1943" s="20">
        <f t="shared" si="90"/>
        <v>41991</v>
      </c>
      <c r="M1943" t="str">
        <f t="shared" si="91"/>
        <v>12-2014</v>
      </c>
      <c r="N1943">
        <f t="shared" si="92"/>
        <v>4.99</v>
      </c>
    </row>
    <row r="1944" spans="3:14" x14ac:dyDescent="0.25">
      <c r="C1944" t="str">
        <f>IF(COUNTBLANK(E1944:K1944) = 7,"",IF(AND(NOT(ISBLANK(E1944)),COUNTBLANK(E1944:K1944) = 6),"3 Delete",IF(ISBLANK(E1944),"2 Add",IF(SHA1Range(E1944:K1944) = "d4c70e063740333f8c57ba72d64d16494d5f908a","0 Original","1 Modify"))))</f>
        <v>0 Original</v>
      </c>
      <c r="D1944" s="5" t="s">
        <v>4354</v>
      </c>
      <c r="E1944" s="3">
        <v>467</v>
      </c>
      <c r="F1944" t="s">
        <v>1552</v>
      </c>
      <c r="G1944" t="s">
        <v>813</v>
      </c>
      <c r="H1944" s="9">
        <v>5.99</v>
      </c>
      <c r="I1944" s="3">
        <v>1</v>
      </c>
      <c r="J1944" s="5" t="s">
        <v>68</v>
      </c>
      <c r="K1944" s="15">
        <v>41991.133842592593</v>
      </c>
      <c r="L1944" s="20">
        <f t="shared" si="90"/>
        <v>41991</v>
      </c>
      <c r="M1944" t="str">
        <f t="shared" si="91"/>
        <v>12-2014</v>
      </c>
      <c r="N1944">
        <f t="shared" si="92"/>
        <v>5.99</v>
      </c>
    </row>
    <row r="1945" spans="3:14" x14ac:dyDescent="0.25">
      <c r="C1945" t="str">
        <f>IF(COUNTBLANK(E1945:K1945) = 7,"",IF(AND(NOT(ISBLANK(E1945)),COUNTBLANK(E1945:K1945) = 6),"3 Delete",IF(ISBLANK(E1945),"2 Add",IF(SHA1Range(E1945:K1945) = "0aabffcb63ce3b18e7756979032fa1b227362011","0 Original","1 Modify"))))</f>
        <v>0 Original</v>
      </c>
      <c r="D1945" s="5" t="s">
        <v>4355</v>
      </c>
      <c r="E1945" s="3">
        <v>468</v>
      </c>
      <c r="F1945" t="s">
        <v>1552</v>
      </c>
      <c r="G1945" t="s">
        <v>820</v>
      </c>
      <c r="H1945" s="9">
        <v>9.99</v>
      </c>
      <c r="I1945" s="3">
        <v>1</v>
      </c>
      <c r="J1945" s="5" t="s">
        <v>68</v>
      </c>
      <c r="K1945" s="15">
        <v>41991.133842592593</v>
      </c>
      <c r="L1945" s="20">
        <f t="shared" si="90"/>
        <v>41991</v>
      </c>
      <c r="M1945" t="str">
        <f t="shared" si="91"/>
        <v>12-2014</v>
      </c>
      <c r="N1945">
        <f t="shared" si="92"/>
        <v>9.99</v>
      </c>
    </row>
    <row r="1946" spans="3:14" x14ac:dyDescent="0.25">
      <c r="C1946" t="str">
        <f>IF(COUNTBLANK(E1946:K1946) = 7,"",IF(AND(NOT(ISBLANK(E1946)),COUNTBLANK(E1946:K1946) = 6),"3 Delete",IF(ISBLANK(E1946),"2 Add",IF(SHA1Range(E1946:K1946) = "0c4410784ce636aa110b70e2157b7db1bfe2ff40","0 Original","1 Modify"))))</f>
        <v>0 Original</v>
      </c>
      <c r="D1946" s="5" t="s">
        <v>4356</v>
      </c>
      <c r="E1946" s="3">
        <v>469</v>
      </c>
      <c r="F1946" t="s">
        <v>1552</v>
      </c>
      <c r="G1946" t="s">
        <v>719</v>
      </c>
      <c r="H1946" s="9">
        <v>8.99</v>
      </c>
      <c r="I1946" s="3">
        <v>1</v>
      </c>
      <c r="J1946" s="5" t="s">
        <v>68</v>
      </c>
      <c r="K1946" s="15">
        <v>41991.133842592593</v>
      </c>
      <c r="L1946" s="20">
        <f t="shared" si="90"/>
        <v>41991</v>
      </c>
      <c r="M1946" t="str">
        <f t="shared" si="91"/>
        <v>12-2014</v>
      </c>
      <c r="N1946">
        <f t="shared" si="92"/>
        <v>8.99</v>
      </c>
    </row>
    <row r="1947" spans="3:14" x14ac:dyDescent="0.25">
      <c r="C1947" t="str">
        <f>IF(COUNTBLANK(E1947:K1947) = 7,"",IF(AND(NOT(ISBLANK(E1947)),COUNTBLANK(E1947:K1947) = 6),"3 Delete",IF(ISBLANK(E1947),"2 Add",IF(SHA1Range(E1947:K1947) = "6546850b018c49e83c1eaf888172465f80c5f0de","0 Original","1 Modify"))))</f>
        <v>0 Original</v>
      </c>
      <c r="D1947" s="5" t="s">
        <v>4357</v>
      </c>
      <c r="E1947" s="3">
        <v>470</v>
      </c>
      <c r="F1947" t="s">
        <v>1552</v>
      </c>
      <c r="G1947" t="s">
        <v>906</v>
      </c>
      <c r="H1947" s="9">
        <v>8.99</v>
      </c>
      <c r="I1947" s="3">
        <v>1</v>
      </c>
      <c r="J1947" s="5" t="s">
        <v>68</v>
      </c>
      <c r="K1947" s="15">
        <v>41991.133842592593</v>
      </c>
      <c r="L1947" s="20">
        <f t="shared" si="90"/>
        <v>41991</v>
      </c>
      <c r="M1947" t="str">
        <f t="shared" si="91"/>
        <v>12-2014</v>
      </c>
      <c r="N1947">
        <f t="shared" si="92"/>
        <v>8.99</v>
      </c>
    </row>
    <row r="1948" spans="3:14" x14ac:dyDescent="0.25">
      <c r="C1948" t="str">
        <f>IF(COUNTBLANK(E1948:K1948) = 7,"",IF(AND(NOT(ISBLANK(E1948)),COUNTBLANK(E1948:K1948) = 6),"3 Delete",IF(ISBLANK(E1948),"2 Add",IF(SHA1Range(E1948:K1948) = "0bd33034f8cde5a21e836308de9933a61e0f8ebd","0 Original","1 Modify"))))</f>
        <v>0 Original</v>
      </c>
      <c r="D1948" s="5" t="s">
        <v>4021</v>
      </c>
      <c r="E1948" s="3">
        <v>2073</v>
      </c>
      <c r="F1948" t="s">
        <v>1553</v>
      </c>
      <c r="G1948" t="s">
        <v>687</v>
      </c>
      <c r="H1948" s="9">
        <v>9.99</v>
      </c>
      <c r="I1948" s="3">
        <v>2</v>
      </c>
      <c r="J1948" s="5" t="s">
        <v>68</v>
      </c>
      <c r="K1948" s="15">
        <v>41991.645590277774</v>
      </c>
      <c r="L1948" s="20">
        <f t="shared" si="90"/>
        <v>41991</v>
      </c>
      <c r="M1948" t="str">
        <f t="shared" si="91"/>
        <v>12-2014</v>
      </c>
      <c r="N1948">
        <f t="shared" si="92"/>
        <v>19.98</v>
      </c>
    </row>
    <row r="1949" spans="3:14" x14ac:dyDescent="0.25">
      <c r="C1949" t="str">
        <f>IF(COUNTBLANK(E1949:K1949) = 7,"",IF(AND(NOT(ISBLANK(E1949)),COUNTBLANK(E1949:K1949) = 6),"3 Delete",IF(ISBLANK(E1949),"2 Add",IF(SHA1Range(E1949:K1949) = "294be18a45caeb159e813998f26fd20a01784040","0 Original","1 Modify"))))</f>
        <v>0 Original</v>
      </c>
      <c r="D1949" s="5" t="s">
        <v>4022</v>
      </c>
      <c r="E1949" s="3">
        <v>2074</v>
      </c>
      <c r="F1949" t="s">
        <v>1553</v>
      </c>
      <c r="G1949" t="s">
        <v>588</v>
      </c>
      <c r="H1949" s="9">
        <v>4.99</v>
      </c>
      <c r="I1949" s="3">
        <v>1</v>
      </c>
      <c r="J1949" s="5" t="s">
        <v>68</v>
      </c>
      <c r="K1949" s="15">
        <v>41991.645590277774</v>
      </c>
      <c r="L1949" s="20">
        <f t="shared" si="90"/>
        <v>41991</v>
      </c>
      <c r="M1949" t="str">
        <f t="shared" si="91"/>
        <v>12-2014</v>
      </c>
      <c r="N1949">
        <f t="shared" si="92"/>
        <v>4.99</v>
      </c>
    </row>
    <row r="1950" spans="3:14" x14ac:dyDescent="0.25">
      <c r="C1950" t="str">
        <f>IF(COUNTBLANK(E1950:K1950) = 7,"",IF(AND(NOT(ISBLANK(E1950)),COUNTBLANK(E1950:K1950) = 6),"3 Delete",IF(ISBLANK(E1950),"2 Add",IF(SHA1Range(E1950:K1950) = "4cd6a8222e02c9958d887606d25790f5475752a5","0 Original","1 Modify"))))</f>
        <v>0 Original</v>
      </c>
      <c r="D1950" s="5" t="s">
        <v>4023</v>
      </c>
      <c r="E1950" s="3">
        <v>2075</v>
      </c>
      <c r="F1950" t="s">
        <v>1553</v>
      </c>
      <c r="G1950" t="s">
        <v>528</v>
      </c>
      <c r="H1950" s="9">
        <v>5.99</v>
      </c>
      <c r="I1950" s="3">
        <v>2</v>
      </c>
      <c r="J1950" s="5" t="s">
        <v>68</v>
      </c>
      <c r="K1950" s="15">
        <v>41991.645590277774</v>
      </c>
      <c r="L1950" s="20">
        <f t="shared" si="90"/>
        <v>41991</v>
      </c>
      <c r="M1950" t="str">
        <f t="shared" si="91"/>
        <v>12-2014</v>
      </c>
      <c r="N1950">
        <f t="shared" si="92"/>
        <v>11.98</v>
      </c>
    </row>
    <row r="1951" spans="3:14" x14ac:dyDescent="0.25">
      <c r="C1951" t="str">
        <f>IF(COUNTBLANK(E1951:K1951) = 7,"",IF(AND(NOT(ISBLANK(E1951)),COUNTBLANK(E1951:K1951) = 6),"3 Delete",IF(ISBLANK(E1951),"2 Add",IF(SHA1Range(E1951:K1951) = "a42293ec68e55634310ed418ab570c837a2f56a6","0 Original","1 Modify"))))</f>
        <v>0 Original</v>
      </c>
      <c r="D1951" s="5" t="s">
        <v>4024</v>
      </c>
      <c r="E1951" s="3">
        <v>2076</v>
      </c>
      <c r="F1951" t="s">
        <v>1553</v>
      </c>
      <c r="G1951" t="s">
        <v>897</v>
      </c>
      <c r="H1951" s="9">
        <v>6.99</v>
      </c>
      <c r="I1951" s="3">
        <v>1</v>
      </c>
      <c r="J1951" s="5" t="s">
        <v>68</v>
      </c>
      <c r="K1951" s="15">
        <v>41991.645590277774</v>
      </c>
      <c r="L1951" s="20">
        <f t="shared" si="90"/>
        <v>41991</v>
      </c>
      <c r="M1951" t="str">
        <f t="shared" si="91"/>
        <v>12-2014</v>
      </c>
      <c r="N1951">
        <f t="shared" si="92"/>
        <v>6.99</v>
      </c>
    </row>
    <row r="1952" spans="3:14" x14ac:dyDescent="0.25">
      <c r="C1952" t="str">
        <f>IF(COUNTBLANK(E1952:K1952) = 7,"",IF(AND(NOT(ISBLANK(E1952)),COUNTBLANK(E1952:K1952) = 6),"3 Delete",IF(ISBLANK(E1952),"2 Add",IF(SHA1Range(E1952:K1952) = "7caee41e6e3e59d6f95afb80b63b4ba59949eb96","0 Original","1 Modify"))))</f>
        <v>0 Original</v>
      </c>
      <c r="D1952" s="5" t="s">
        <v>4025</v>
      </c>
      <c r="E1952" s="3">
        <v>2077</v>
      </c>
      <c r="F1952" t="s">
        <v>1553</v>
      </c>
      <c r="G1952" t="s">
        <v>897</v>
      </c>
      <c r="H1952" s="9">
        <v>6.99</v>
      </c>
      <c r="I1952" s="3">
        <v>2</v>
      </c>
      <c r="J1952" s="5" t="s">
        <v>68</v>
      </c>
      <c r="K1952" s="15">
        <v>41991.645590277774</v>
      </c>
      <c r="L1952" s="20">
        <f t="shared" si="90"/>
        <v>41991</v>
      </c>
      <c r="M1952" t="str">
        <f t="shared" si="91"/>
        <v>12-2014</v>
      </c>
      <c r="N1952">
        <f t="shared" si="92"/>
        <v>13.98</v>
      </c>
    </row>
    <row r="1953" spans="3:14" x14ac:dyDescent="0.25">
      <c r="C1953" t="str">
        <f>IF(COUNTBLANK(E1953:K1953) = 7,"",IF(AND(NOT(ISBLANK(E1953)),COUNTBLANK(E1953:K1953) = 6),"3 Delete",IF(ISBLANK(E1953),"2 Add",IF(SHA1Range(E1953:K1953) = "d4241f64a6853b441f9bde6f8e0c467e0c694c28","0 Original","1 Modify"))))</f>
        <v>0 Original</v>
      </c>
      <c r="D1953" s="5" t="s">
        <v>4358</v>
      </c>
      <c r="E1953" s="3">
        <v>335</v>
      </c>
      <c r="F1953" t="s">
        <v>1554</v>
      </c>
      <c r="G1953" t="s">
        <v>903</v>
      </c>
      <c r="H1953" s="9">
        <v>8.99</v>
      </c>
      <c r="I1953" s="3">
        <v>1</v>
      </c>
      <c r="J1953" s="5" t="s">
        <v>68</v>
      </c>
      <c r="K1953" s="15">
        <v>41992.577604166669</v>
      </c>
      <c r="L1953" s="20">
        <f t="shared" si="90"/>
        <v>41992</v>
      </c>
      <c r="M1953" t="str">
        <f t="shared" si="91"/>
        <v>12-2014</v>
      </c>
      <c r="N1953">
        <f t="shared" si="92"/>
        <v>8.99</v>
      </c>
    </row>
    <row r="1954" spans="3:14" x14ac:dyDescent="0.25">
      <c r="C1954" t="str">
        <f>IF(COUNTBLANK(E1954:K1954) = 7,"",IF(AND(NOT(ISBLANK(E1954)),COUNTBLANK(E1954:K1954) = 6),"3 Delete",IF(ISBLANK(E1954),"2 Add",IF(SHA1Range(E1954:K1954) = "20a9f28d3df6b1034fdf3634c4f423800cb6b80e","0 Original","1 Modify"))))</f>
        <v>0 Original</v>
      </c>
      <c r="D1954" s="5" t="s">
        <v>4359</v>
      </c>
      <c r="E1954" s="3">
        <v>51</v>
      </c>
      <c r="F1954" t="s">
        <v>1555</v>
      </c>
      <c r="G1954" t="s">
        <v>861</v>
      </c>
      <c r="H1954" s="9">
        <v>8.99</v>
      </c>
      <c r="I1954" s="3">
        <v>2</v>
      </c>
      <c r="J1954" s="5" t="s">
        <v>68</v>
      </c>
      <c r="K1954" s="15">
        <v>41992.606990740744</v>
      </c>
      <c r="L1954" s="20">
        <f t="shared" si="90"/>
        <v>41992</v>
      </c>
      <c r="M1954" t="str">
        <f t="shared" si="91"/>
        <v>12-2014</v>
      </c>
      <c r="N1954">
        <f t="shared" si="92"/>
        <v>17.98</v>
      </c>
    </row>
    <row r="1955" spans="3:14" x14ac:dyDescent="0.25">
      <c r="C1955" t="str">
        <f>IF(COUNTBLANK(E1955:K1955) = 7,"",IF(AND(NOT(ISBLANK(E1955)),COUNTBLANK(E1955:K1955) = 6),"3 Delete",IF(ISBLANK(E1955),"2 Add",IF(SHA1Range(E1955:K1955) = "1f45acc13f5fbbe53d2ea9f90579e24a9a879043","0 Original","1 Modify"))))</f>
        <v>0 Original</v>
      </c>
      <c r="D1955" s="5" t="s">
        <v>4360</v>
      </c>
      <c r="E1955" s="3">
        <v>52</v>
      </c>
      <c r="F1955" t="s">
        <v>1555</v>
      </c>
      <c r="G1955" t="s">
        <v>774</v>
      </c>
      <c r="H1955" s="9">
        <v>5.99</v>
      </c>
      <c r="I1955" s="3">
        <v>1</v>
      </c>
      <c r="J1955" s="5" t="s">
        <v>68</v>
      </c>
      <c r="K1955" s="15">
        <v>41992.606990740744</v>
      </c>
      <c r="L1955" s="20">
        <f t="shared" si="90"/>
        <v>41992</v>
      </c>
      <c r="M1955" t="str">
        <f t="shared" si="91"/>
        <v>12-2014</v>
      </c>
      <c r="N1955">
        <f t="shared" si="92"/>
        <v>5.99</v>
      </c>
    </row>
    <row r="1956" spans="3:14" x14ac:dyDescent="0.25">
      <c r="C1956" t="str">
        <f>IF(COUNTBLANK(E1956:K1956) = 7,"",IF(AND(NOT(ISBLANK(E1956)),COUNTBLANK(E1956:K1956) = 6),"3 Delete",IF(ISBLANK(E1956),"2 Add",IF(SHA1Range(E1956:K1956) = "f5ebb6d989be53fbcbe97ba865d1ce972fc98c8f","0 Original","1 Modify"))))</f>
        <v>0 Original</v>
      </c>
      <c r="D1956" s="5" t="s">
        <v>4361</v>
      </c>
      <c r="E1956" s="3">
        <v>53</v>
      </c>
      <c r="F1956" t="s">
        <v>1555</v>
      </c>
      <c r="G1956" t="s">
        <v>457</v>
      </c>
      <c r="H1956" s="9">
        <v>4.99</v>
      </c>
      <c r="I1956" s="3">
        <v>1</v>
      </c>
      <c r="J1956" s="5" t="s">
        <v>68</v>
      </c>
      <c r="K1956" s="15">
        <v>41992.606990740744</v>
      </c>
      <c r="L1956" s="20">
        <f t="shared" si="90"/>
        <v>41992</v>
      </c>
      <c r="M1956" t="str">
        <f t="shared" si="91"/>
        <v>12-2014</v>
      </c>
      <c r="N1956">
        <f t="shared" si="92"/>
        <v>4.99</v>
      </c>
    </row>
    <row r="1957" spans="3:14" x14ac:dyDescent="0.25">
      <c r="C1957" t="str">
        <f>IF(COUNTBLANK(E1957:K1957) = 7,"",IF(AND(NOT(ISBLANK(E1957)),COUNTBLANK(E1957:K1957) = 6),"3 Delete",IF(ISBLANK(E1957),"2 Add",IF(SHA1Range(E1957:K1957) = "d6b85890599b4ae2c32496bc6c24a78bdfbaceab","0 Original","1 Modify"))))</f>
        <v>0 Original</v>
      </c>
      <c r="D1957" s="5" t="s">
        <v>4362</v>
      </c>
      <c r="E1957" s="3">
        <v>54</v>
      </c>
      <c r="F1957" t="s">
        <v>1555</v>
      </c>
      <c r="G1957" t="s">
        <v>872</v>
      </c>
      <c r="H1957" s="9">
        <v>8.99</v>
      </c>
      <c r="I1957" s="3">
        <v>1</v>
      </c>
      <c r="J1957" s="5" t="s">
        <v>68</v>
      </c>
      <c r="K1957" s="15">
        <v>41992.606990740744</v>
      </c>
      <c r="L1957" s="20">
        <f t="shared" si="90"/>
        <v>41992</v>
      </c>
      <c r="M1957" t="str">
        <f t="shared" si="91"/>
        <v>12-2014</v>
      </c>
      <c r="N1957">
        <f t="shared" si="92"/>
        <v>8.99</v>
      </c>
    </row>
    <row r="1958" spans="3:14" x14ac:dyDescent="0.25">
      <c r="C1958" t="str">
        <f>IF(COUNTBLANK(E1958:K1958) = 7,"",IF(AND(NOT(ISBLANK(E1958)),COUNTBLANK(E1958:K1958) = 6),"3 Delete",IF(ISBLANK(E1958),"2 Add",IF(SHA1Range(E1958:K1958) = "53b592044be667b0287cab7c7c0d6a98d76224fa","0 Original","1 Modify"))))</f>
        <v>0 Original</v>
      </c>
      <c r="D1958" s="5" t="s">
        <v>4363</v>
      </c>
      <c r="E1958" s="3">
        <v>55</v>
      </c>
      <c r="F1958" t="s">
        <v>1555</v>
      </c>
      <c r="G1958" t="s">
        <v>845</v>
      </c>
      <c r="H1958" s="9">
        <v>7.99</v>
      </c>
      <c r="I1958" s="3">
        <v>1</v>
      </c>
      <c r="J1958" s="5" t="s">
        <v>68</v>
      </c>
      <c r="K1958" s="15">
        <v>41992.606990740744</v>
      </c>
      <c r="L1958" s="20">
        <f t="shared" si="90"/>
        <v>41992</v>
      </c>
      <c r="M1958" t="str">
        <f t="shared" si="91"/>
        <v>12-2014</v>
      </c>
      <c r="N1958">
        <f t="shared" si="92"/>
        <v>7.99</v>
      </c>
    </row>
    <row r="1959" spans="3:14" x14ac:dyDescent="0.25">
      <c r="C1959" t="str">
        <f>IF(COUNTBLANK(E1959:K1959) = 7,"",IF(AND(NOT(ISBLANK(E1959)),COUNTBLANK(E1959:K1959) = 6),"3 Delete",IF(ISBLANK(E1959),"2 Add",IF(SHA1Range(E1959:K1959) = "0e428bd5c737a4b179c9fc0e41fb4314f10175cb","0 Original","1 Modify"))))</f>
        <v>0 Original</v>
      </c>
      <c r="D1959" s="5" t="s">
        <v>4364</v>
      </c>
      <c r="E1959" s="3">
        <v>56</v>
      </c>
      <c r="F1959" t="s">
        <v>1555</v>
      </c>
      <c r="G1959" t="s">
        <v>396</v>
      </c>
      <c r="H1959" s="9">
        <v>8.99</v>
      </c>
      <c r="I1959" s="3">
        <v>1</v>
      </c>
      <c r="J1959" s="5" t="s">
        <v>68</v>
      </c>
      <c r="K1959" s="15">
        <v>41992.606990740744</v>
      </c>
      <c r="L1959" s="20">
        <f t="shared" si="90"/>
        <v>41992</v>
      </c>
      <c r="M1959" t="str">
        <f t="shared" si="91"/>
        <v>12-2014</v>
      </c>
      <c r="N1959">
        <f t="shared" si="92"/>
        <v>8.99</v>
      </c>
    </row>
    <row r="1960" spans="3:14" x14ac:dyDescent="0.25">
      <c r="C1960" t="str">
        <f>IF(COUNTBLANK(E1960:K1960) = 7,"",IF(AND(NOT(ISBLANK(E1960)),COUNTBLANK(E1960:K1960) = 6),"3 Delete",IF(ISBLANK(E1960),"2 Add",IF(SHA1Range(E1960:K1960) = "70071a2e78a5df9ccefa30c54e5fc7f21b28a6e5","0 Original","1 Modify"))))</f>
        <v>0 Original</v>
      </c>
      <c r="D1960" s="5" t="s">
        <v>4026</v>
      </c>
      <c r="E1960" s="3">
        <v>2801</v>
      </c>
      <c r="F1960" t="s">
        <v>1556</v>
      </c>
      <c r="G1960" t="s">
        <v>707</v>
      </c>
      <c r="H1960" s="9">
        <v>7.99</v>
      </c>
      <c r="I1960" s="3">
        <v>1</v>
      </c>
      <c r="J1960" s="5" t="s">
        <v>68</v>
      </c>
      <c r="K1960" s="15">
        <v>41992.864791666667</v>
      </c>
      <c r="L1960" s="20">
        <f t="shared" si="90"/>
        <v>41992</v>
      </c>
      <c r="M1960" t="str">
        <f t="shared" si="91"/>
        <v>12-2014</v>
      </c>
      <c r="N1960">
        <f t="shared" si="92"/>
        <v>7.99</v>
      </c>
    </row>
    <row r="1961" spans="3:14" x14ac:dyDescent="0.25">
      <c r="C1961" t="str">
        <f>IF(COUNTBLANK(E1961:K1961) = 7,"",IF(AND(NOT(ISBLANK(E1961)),COUNTBLANK(E1961:K1961) = 6),"3 Delete",IF(ISBLANK(E1961),"2 Add",IF(SHA1Range(E1961:K1961) = "4909ac3ece4060044f22d5e5086a9173cc0a2d52","0 Original","1 Modify"))))</f>
        <v>0 Original</v>
      </c>
      <c r="D1961" s="5" t="s">
        <v>4027</v>
      </c>
      <c r="E1961" s="3">
        <v>2802</v>
      </c>
      <c r="F1961" t="s">
        <v>1556</v>
      </c>
      <c r="G1961" t="s">
        <v>642</v>
      </c>
      <c r="H1961" s="9">
        <v>9.99</v>
      </c>
      <c r="I1961" s="3">
        <v>1</v>
      </c>
      <c r="J1961" s="5" t="s">
        <v>68</v>
      </c>
      <c r="K1961" s="15">
        <v>41992.864791666667</v>
      </c>
      <c r="L1961" s="20">
        <f t="shared" si="90"/>
        <v>41992</v>
      </c>
      <c r="M1961" t="str">
        <f t="shared" si="91"/>
        <v>12-2014</v>
      </c>
      <c r="N1961">
        <f t="shared" si="92"/>
        <v>9.99</v>
      </c>
    </row>
    <row r="1962" spans="3:14" x14ac:dyDescent="0.25">
      <c r="C1962" t="str">
        <f>IF(COUNTBLANK(E1962:K1962) = 7,"",IF(AND(NOT(ISBLANK(E1962)),COUNTBLANK(E1962:K1962) = 6),"3 Delete",IF(ISBLANK(E1962),"2 Add",IF(SHA1Range(E1962:K1962) = "5f9b50e4086660d4d4d7985c56991b576884d4a5","0 Original","1 Modify"))))</f>
        <v>0 Original</v>
      </c>
      <c r="D1962" s="5" t="s">
        <v>4028</v>
      </c>
      <c r="E1962" s="3">
        <v>3591</v>
      </c>
      <c r="F1962" t="s">
        <v>1557</v>
      </c>
      <c r="G1962" t="s">
        <v>642</v>
      </c>
      <c r="H1962" s="9">
        <v>9.99</v>
      </c>
      <c r="I1962" s="3">
        <v>1</v>
      </c>
      <c r="J1962" s="5" t="s">
        <v>68</v>
      </c>
      <c r="K1962" s="15">
        <v>41993.042199074072</v>
      </c>
      <c r="L1962" s="20">
        <f t="shared" si="90"/>
        <v>41993</v>
      </c>
      <c r="M1962" t="str">
        <f t="shared" si="91"/>
        <v>12-2014</v>
      </c>
      <c r="N1962">
        <f t="shared" si="92"/>
        <v>9.99</v>
      </c>
    </row>
    <row r="1963" spans="3:14" x14ac:dyDescent="0.25">
      <c r="C1963" t="str">
        <f>IF(COUNTBLANK(E1963:K1963) = 7,"",IF(AND(NOT(ISBLANK(E1963)),COUNTBLANK(E1963:K1963) = 6),"3 Delete",IF(ISBLANK(E1963),"2 Add",IF(SHA1Range(E1963:K1963) = "ab32b77a3b6e36a250ab06b9b7266d9883f139c4","0 Original","1 Modify"))))</f>
        <v>0 Original</v>
      </c>
      <c r="D1963" s="5" t="s">
        <v>4029</v>
      </c>
      <c r="E1963" s="3">
        <v>3592</v>
      </c>
      <c r="F1963" t="s">
        <v>1557</v>
      </c>
      <c r="G1963" t="s">
        <v>749</v>
      </c>
      <c r="H1963" s="9">
        <v>5.99</v>
      </c>
      <c r="I1963" s="3">
        <v>1</v>
      </c>
      <c r="J1963" s="5" t="s">
        <v>68</v>
      </c>
      <c r="K1963" s="15">
        <v>41993.042199074072</v>
      </c>
      <c r="L1963" s="20">
        <f t="shared" si="90"/>
        <v>41993</v>
      </c>
      <c r="M1963" t="str">
        <f t="shared" si="91"/>
        <v>12-2014</v>
      </c>
      <c r="N1963">
        <f t="shared" si="92"/>
        <v>5.99</v>
      </c>
    </row>
    <row r="1964" spans="3:14" x14ac:dyDescent="0.25">
      <c r="C1964" t="str">
        <f>IF(COUNTBLANK(E1964:K1964) = 7,"",IF(AND(NOT(ISBLANK(E1964)),COUNTBLANK(E1964:K1964) = 6),"3 Delete",IF(ISBLANK(E1964),"2 Add",IF(SHA1Range(E1964:K1964) = "88a730d097cd00cbaee1f5c8a46cca4a4071fe06","0 Original","1 Modify"))))</f>
        <v>0 Original</v>
      </c>
      <c r="D1964" s="5" t="s">
        <v>4030</v>
      </c>
      <c r="E1964" s="3">
        <v>2561</v>
      </c>
      <c r="F1964" t="s">
        <v>1558</v>
      </c>
      <c r="G1964" t="s">
        <v>642</v>
      </c>
      <c r="H1964" s="9">
        <v>9.99</v>
      </c>
      <c r="I1964" s="3">
        <v>2</v>
      </c>
      <c r="J1964" s="5" t="s">
        <v>68</v>
      </c>
      <c r="K1964" s="15">
        <v>41993.277337962965</v>
      </c>
      <c r="L1964" s="20">
        <f t="shared" si="90"/>
        <v>41993</v>
      </c>
      <c r="M1964" t="str">
        <f t="shared" si="91"/>
        <v>12-2014</v>
      </c>
      <c r="N1964">
        <f t="shared" si="92"/>
        <v>19.98</v>
      </c>
    </row>
    <row r="1965" spans="3:14" x14ac:dyDescent="0.25">
      <c r="C1965" t="str">
        <f>IF(COUNTBLANK(E1965:K1965) = 7,"",IF(AND(NOT(ISBLANK(E1965)),COUNTBLANK(E1965:K1965) = 6),"3 Delete",IF(ISBLANK(E1965),"2 Add",IF(SHA1Range(E1965:K1965) = "6686067535690a44ed6fe2ef9ff0025bba02cbe8","0 Original","1 Modify"))))</f>
        <v>0 Original</v>
      </c>
      <c r="D1965" s="5" t="s">
        <v>4031</v>
      </c>
      <c r="E1965" s="3">
        <v>2562</v>
      </c>
      <c r="F1965" t="s">
        <v>1558</v>
      </c>
      <c r="G1965" t="s">
        <v>687</v>
      </c>
      <c r="H1965" s="9">
        <v>9.99</v>
      </c>
      <c r="I1965" s="3">
        <v>2</v>
      </c>
      <c r="J1965" s="5" t="s">
        <v>68</v>
      </c>
      <c r="K1965" s="15">
        <v>41993.277337962965</v>
      </c>
      <c r="L1965" s="20">
        <f t="shared" si="90"/>
        <v>41993</v>
      </c>
      <c r="M1965" t="str">
        <f t="shared" si="91"/>
        <v>12-2014</v>
      </c>
      <c r="N1965">
        <f t="shared" si="92"/>
        <v>19.98</v>
      </c>
    </row>
    <row r="1966" spans="3:14" x14ac:dyDescent="0.25">
      <c r="C1966" t="str">
        <f>IF(COUNTBLANK(E1966:K1966) = 7,"",IF(AND(NOT(ISBLANK(E1966)),COUNTBLANK(E1966:K1966) = 6),"3 Delete",IF(ISBLANK(E1966),"2 Add",IF(SHA1Range(E1966:K1966) = "62691917b790b49df5956c2b9a4703c7747865c8","0 Original","1 Modify"))))</f>
        <v>0 Original</v>
      </c>
      <c r="D1966" s="5" t="s">
        <v>4032</v>
      </c>
      <c r="E1966" s="3">
        <v>2563</v>
      </c>
      <c r="F1966" t="s">
        <v>1558</v>
      </c>
      <c r="G1966" t="s">
        <v>514</v>
      </c>
      <c r="H1966" s="9">
        <v>6.99</v>
      </c>
      <c r="I1966" s="3">
        <v>1</v>
      </c>
      <c r="J1966" s="5" t="s">
        <v>68</v>
      </c>
      <c r="K1966" s="15">
        <v>41993.277337962965</v>
      </c>
      <c r="L1966" s="20">
        <f t="shared" si="90"/>
        <v>41993</v>
      </c>
      <c r="M1966" t="str">
        <f t="shared" si="91"/>
        <v>12-2014</v>
      </c>
      <c r="N1966">
        <f t="shared" si="92"/>
        <v>6.99</v>
      </c>
    </row>
    <row r="1967" spans="3:14" x14ac:dyDescent="0.25">
      <c r="C1967" t="str">
        <f>IF(COUNTBLANK(E1967:K1967) = 7,"",IF(AND(NOT(ISBLANK(E1967)),COUNTBLANK(E1967:K1967) = 6),"3 Delete",IF(ISBLANK(E1967),"2 Add",IF(SHA1Range(E1967:K1967) = "5ea2888620f7319fb4cb4b9268e204df75594155","0 Original","1 Modify"))))</f>
        <v>0 Original</v>
      </c>
      <c r="D1967" s="5" t="s">
        <v>4033</v>
      </c>
      <c r="E1967" s="3">
        <v>2564</v>
      </c>
      <c r="F1967" t="s">
        <v>1558</v>
      </c>
      <c r="G1967" t="s">
        <v>373</v>
      </c>
      <c r="H1967" s="9">
        <v>7.99</v>
      </c>
      <c r="I1967" s="3">
        <v>2</v>
      </c>
      <c r="J1967" s="5" t="s">
        <v>68</v>
      </c>
      <c r="K1967" s="15">
        <v>41993.277337962965</v>
      </c>
      <c r="L1967" s="20">
        <f t="shared" si="90"/>
        <v>41993</v>
      </c>
      <c r="M1967" t="str">
        <f t="shared" si="91"/>
        <v>12-2014</v>
      </c>
      <c r="N1967">
        <f t="shared" si="92"/>
        <v>15.98</v>
      </c>
    </row>
    <row r="1968" spans="3:14" x14ac:dyDescent="0.25">
      <c r="C1968" t="str">
        <f>IF(COUNTBLANK(E1968:K1968) = 7,"",IF(AND(NOT(ISBLANK(E1968)),COUNTBLANK(E1968:K1968) = 6),"3 Delete",IF(ISBLANK(E1968),"2 Add",IF(SHA1Range(E1968:K1968) = "feb6da142587782078c4b0d036bbacd5716d5d49","0 Original","1 Modify"))))</f>
        <v>0 Original</v>
      </c>
      <c r="D1968" s="5" t="s">
        <v>4034</v>
      </c>
      <c r="E1968" s="3">
        <v>2853</v>
      </c>
      <c r="F1968" t="s">
        <v>1559</v>
      </c>
      <c r="G1968" t="s">
        <v>552</v>
      </c>
      <c r="H1968" s="9">
        <v>6.99</v>
      </c>
      <c r="I1968" s="3">
        <v>1</v>
      </c>
      <c r="J1968" s="5" t="s">
        <v>68</v>
      </c>
      <c r="K1968" s="15">
        <v>41993.383587962962</v>
      </c>
      <c r="L1968" s="20">
        <f t="shared" si="90"/>
        <v>41993</v>
      </c>
      <c r="M1968" t="str">
        <f t="shared" si="91"/>
        <v>12-2014</v>
      </c>
      <c r="N1968">
        <f t="shared" si="92"/>
        <v>6.99</v>
      </c>
    </row>
    <row r="1969" spans="3:14" x14ac:dyDescent="0.25">
      <c r="C1969" t="str">
        <f>IF(COUNTBLANK(E1969:K1969) = 7,"",IF(AND(NOT(ISBLANK(E1969)),COUNTBLANK(E1969:K1969) = 6),"3 Delete",IF(ISBLANK(E1969),"2 Add",IF(SHA1Range(E1969:K1969) = "8ab718365fe2cc644fd87e7b6bd7f0b1539aa893","0 Original","1 Modify"))))</f>
        <v>0 Original</v>
      </c>
      <c r="D1969" s="5" t="s">
        <v>4035</v>
      </c>
      <c r="E1969" s="3">
        <v>3240</v>
      </c>
      <c r="F1969" t="s">
        <v>1560</v>
      </c>
      <c r="G1969" t="s">
        <v>579</v>
      </c>
      <c r="H1969" s="9">
        <v>9.99</v>
      </c>
      <c r="I1969" s="3">
        <v>1</v>
      </c>
      <c r="J1969" s="5" t="s">
        <v>68</v>
      </c>
      <c r="K1969" s="15">
        <v>41994.203090277777</v>
      </c>
      <c r="L1969" s="20">
        <f t="shared" si="90"/>
        <v>41994</v>
      </c>
      <c r="M1969" t="str">
        <f t="shared" si="91"/>
        <v>12-2014</v>
      </c>
      <c r="N1969">
        <f t="shared" si="92"/>
        <v>9.99</v>
      </c>
    </row>
    <row r="1970" spans="3:14" x14ac:dyDescent="0.25">
      <c r="C1970" t="str">
        <f>IF(COUNTBLANK(E1970:K1970) = 7,"",IF(AND(NOT(ISBLANK(E1970)),COUNTBLANK(E1970:K1970) = 6),"3 Delete",IF(ISBLANK(E1970),"2 Add",IF(SHA1Range(E1970:K1970) = "dce8f99e4fb17ec4de3564993f8bc71f19293151","0 Original","1 Modify"))))</f>
        <v>0 Original</v>
      </c>
      <c r="D1970" s="5" t="s">
        <v>4036</v>
      </c>
      <c r="E1970" s="3">
        <v>3241</v>
      </c>
      <c r="F1970" t="s">
        <v>1560</v>
      </c>
      <c r="G1970" t="s">
        <v>400</v>
      </c>
      <c r="H1970" s="9">
        <v>4.99</v>
      </c>
      <c r="I1970" s="3">
        <v>1</v>
      </c>
      <c r="J1970" s="5" t="s">
        <v>68</v>
      </c>
      <c r="K1970" s="15">
        <v>41994.203090277777</v>
      </c>
      <c r="L1970" s="20">
        <f t="shared" si="90"/>
        <v>41994</v>
      </c>
      <c r="M1970" t="str">
        <f t="shared" si="91"/>
        <v>12-2014</v>
      </c>
      <c r="N1970">
        <f t="shared" si="92"/>
        <v>4.99</v>
      </c>
    </row>
    <row r="1971" spans="3:14" x14ac:dyDescent="0.25">
      <c r="C1971" t="str">
        <f>IF(COUNTBLANK(E1971:K1971) = 7,"",IF(AND(NOT(ISBLANK(E1971)),COUNTBLANK(E1971:K1971) = 6),"3 Delete",IF(ISBLANK(E1971),"2 Add",IF(SHA1Range(E1971:K1971) = "1d1a7799b4d8bc40196ac5e526ad3f9318731f44","0 Original","1 Modify"))))</f>
        <v>0 Original</v>
      </c>
      <c r="D1971" s="5" t="s">
        <v>4037</v>
      </c>
      <c r="E1971" s="3">
        <v>3242</v>
      </c>
      <c r="F1971" t="s">
        <v>1560</v>
      </c>
      <c r="G1971" t="s">
        <v>687</v>
      </c>
      <c r="H1971" s="9">
        <v>9.99</v>
      </c>
      <c r="I1971" s="3">
        <v>1</v>
      </c>
      <c r="J1971" s="5" t="s">
        <v>68</v>
      </c>
      <c r="K1971" s="15">
        <v>41994.203090277777</v>
      </c>
      <c r="L1971" s="20">
        <f t="shared" si="90"/>
        <v>41994</v>
      </c>
      <c r="M1971" t="str">
        <f t="shared" si="91"/>
        <v>12-2014</v>
      </c>
      <c r="N1971">
        <f t="shared" si="92"/>
        <v>9.99</v>
      </c>
    </row>
    <row r="1972" spans="3:14" x14ac:dyDescent="0.25">
      <c r="C1972" t="str">
        <f>IF(COUNTBLANK(E1972:K1972) = 7,"",IF(AND(NOT(ISBLANK(E1972)),COUNTBLANK(E1972:K1972) = 6),"3 Delete",IF(ISBLANK(E1972),"2 Add",IF(SHA1Range(E1972:K1972) = "532ee07e2f15b5254f3e020ef9d83e11b1a60bf5","0 Original","1 Modify"))))</f>
        <v>0 Original</v>
      </c>
      <c r="D1972" s="5" t="s">
        <v>4038</v>
      </c>
      <c r="E1972" s="3">
        <v>3243</v>
      </c>
      <c r="F1972" t="s">
        <v>1560</v>
      </c>
      <c r="G1972" t="s">
        <v>948</v>
      </c>
      <c r="H1972" s="9">
        <v>4.99</v>
      </c>
      <c r="I1972" s="3">
        <v>2</v>
      </c>
      <c r="J1972" s="5" t="s">
        <v>68</v>
      </c>
      <c r="K1972" s="15">
        <v>41994.203090277777</v>
      </c>
      <c r="L1972" s="20">
        <f t="shared" si="90"/>
        <v>41994</v>
      </c>
      <c r="M1972" t="str">
        <f t="shared" si="91"/>
        <v>12-2014</v>
      </c>
      <c r="N1972">
        <f t="shared" si="92"/>
        <v>9.98</v>
      </c>
    </row>
    <row r="1973" spans="3:14" x14ac:dyDescent="0.25">
      <c r="C1973" t="str">
        <f>IF(COUNTBLANK(E1973:K1973) = 7,"",IF(AND(NOT(ISBLANK(E1973)),COUNTBLANK(E1973:K1973) = 6),"3 Delete",IF(ISBLANK(E1973),"2 Add",IF(SHA1Range(E1973:K1973) = "de7590bc4cd30e42a3a92b0a82bc136d4b577499","0 Original","1 Modify"))))</f>
        <v>0 Original</v>
      </c>
      <c r="D1973" s="5" t="s">
        <v>4039</v>
      </c>
      <c r="E1973" s="3">
        <v>3244</v>
      </c>
      <c r="F1973" t="s">
        <v>1560</v>
      </c>
      <c r="G1973" t="s">
        <v>400</v>
      </c>
      <c r="H1973" s="9">
        <v>4.99</v>
      </c>
      <c r="I1973" s="3">
        <v>1</v>
      </c>
      <c r="J1973" s="5" t="s">
        <v>68</v>
      </c>
      <c r="K1973" s="15">
        <v>41994.203090277777</v>
      </c>
      <c r="L1973" s="20">
        <f t="shared" si="90"/>
        <v>41994</v>
      </c>
      <c r="M1973" t="str">
        <f t="shared" si="91"/>
        <v>12-2014</v>
      </c>
      <c r="N1973">
        <f t="shared" si="92"/>
        <v>4.99</v>
      </c>
    </row>
    <row r="1974" spans="3:14" x14ac:dyDescent="0.25">
      <c r="C1974" t="str">
        <f>IF(COUNTBLANK(E1974:K1974) = 7,"",IF(AND(NOT(ISBLANK(E1974)),COUNTBLANK(E1974:K1974) = 6),"3 Delete",IF(ISBLANK(E1974),"2 Add",IF(SHA1Range(E1974:K1974) = "c939585641080cee7bc740585bef5346bb5ee33c","0 Original","1 Modify"))))</f>
        <v>0 Original</v>
      </c>
      <c r="D1974" s="5" t="s">
        <v>4040</v>
      </c>
      <c r="E1974" s="3">
        <v>1062</v>
      </c>
      <c r="F1974" t="s">
        <v>1561</v>
      </c>
      <c r="G1974" t="s">
        <v>926</v>
      </c>
      <c r="H1974" s="9">
        <v>9.99</v>
      </c>
      <c r="I1974" s="3">
        <v>1</v>
      </c>
      <c r="J1974" s="5" t="s">
        <v>68</v>
      </c>
      <c r="K1974" s="15">
        <v>41994.268206018518</v>
      </c>
      <c r="L1974" s="20">
        <f t="shared" si="90"/>
        <v>41994</v>
      </c>
      <c r="M1974" t="str">
        <f t="shared" si="91"/>
        <v>12-2014</v>
      </c>
      <c r="N1974">
        <f t="shared" si="92"/>
        <v>9.99</v>
      </c>
    </row>
    <row r="1975" spans="3:14" x14ac:dyDescent="0.25">
      <c r="C1975" t="str">
        <f>IF(COUNTBLANK(E1975:K1975) = 7,"",IF(AND(NOT(ISBLANK(E1975)),COUNTBLANK(E1975:K1975) = 6),"3 Delete",IF(ISBLANK(E1975),"2 Add",IF(SHA1Range(E1975:K1975) = "1877bb23960dff02784ad3c8ad099893f6570fdf","0 Original","1 Modify"))))</f>
        <v>0 Original</v>
      </c>
      <c r="D1975" s="5" t="s">
        <v>4041</v>
      </c>
      <c r="E1975" s="3">
        <v>1063</v>
      </c>
      <c r="F1975" t="s">
        <v>1561</v>
      </c>
      <c r="G1975" t="s">
        <v>820</v>
      </c>
      <c r="H1975" s="9">
        <v>9.99</v>
      </c>
      <c r="I1975" s="3">
        <v>1</v>
      </c>
      <c r="J1975" s="5" t="s">
        <v>68</v>
      </c>
      <c r="K1975" s="15">
        <v>41994.268206018518</v>
      </c>
      <c r="L1975" s="20">
        <f t="shared" si="90"/>
        <v>41994</v>
      </c>
      <c r="M1975" t="str">
        <f t="shared" si="91"/>
        <v>12-2014</v>
      </c>
      <c r="N1975">
        <f t="shared" si="92"/>
        <v>9.99</v>
      </c>
    </row>
    <row r="1976" spans="3:14" x14ac:dyDescent="0.25">
      <c r="C1976" t="str">
        <f>IF(COUNTBLANK(E1976:K1976) = 7,"",IF(AND(NOT(ISBLANK(E1976)),COUNTBLANK(E1976:K1976) = 6),"3 Delete",IF(ISBLANK(E1976),"2 Add",IF(SHA1Range(E1976:K1976) = "ff407743f5426affdb819b971e3efdb7416fc0b6","0 Original","1 Modify"))))</f>
        <v>0 Original</v>
      </c>
      <c r="D1976" s="5" t="s">
        <v>4042</v>
      </c>
      <c r="E1976" s="3">
        <v>3136</v>
      </c>
      <c r="F1976" t="s">
        <v>1562</v>
      </c>
      <c r="G1976" t="s">
        <v>948</v>
      </c>
      <c r="H1976" s="9">
        <v>4.99</v>
      </c>
      <c r="I1976" s="3">
        <v>1</v>
      </c>
      <c r="J1976" s="5" t="s">
        <v>68</v>
      </c>
      <c r="K1976" s="15">
        <v>41994.445810185185</v>
      </c>
      <c r="L1976" s="20">
        <f t="shared" si="90"/>
        <v>41994</v>
      </c>
      <c r="M1976" t="str">
        <f t="shared" si="91"/>
        <v>12-2014</v>
      </c>
      <c r="N1976">
        <f t="shared" si="92"/>
        <v>4.99</v>
      </c>
    </row>
    <row r="1977" spans="3:14" x14ac:dyDescent="0.25">
      <c r="C1977" t="str">
        <f>IF(COUNTBLANK(E1977:K1977) = 7,"",IF(AND(NOT(ISBLANK(E1977)),COUNTBLANK(E1977:K1977) = 6),"3 Delete",IF(ISBLANK(E1977),"2 Add",IF(SHA1Range(E1977:K1977) = "9dc2b7fe4ae5f5a221404bc98e05d50804996bce","0 Original","1 Modify"))))</f>
        <v>0 Original</v>
      </c>
      <c r="D1977" s="5" t="s">
        <v>4043</v>
      </c>
      <c r="E1977" s="3">
        <v>3137</v>
      </c>
      <c r="F1977" t="s">
        <v>1562</v>
      </c>
      <c r="G1977" t="s">
        <v>948</v>
      </c>
      <c r="H1977" s="9">
        <v>4.99</v>
      </c>
      <c r="I1977" s="3">
        <v>1</v>
      </c>
      <c r="J1977" s="5" t="s">
        <v>68</v>
      </c>
      <c r="K1977" s="15">
        <v>41994.445810185185</v>
      </c>
      <c r="L1977" s="20">
        <f t="shared" si="90"/>
        <v>41994</v>
      </c>
      <c r="M1977" t="str">
        <f t="shared" si="91"/>
        <v>12-2014</v>
      </c>
      <c r="N1977">
        <f t="shared" si="92"/>
        <v>4.99</v>
      </c>
    </row>
    <row r="1978" spans="3:14" x14ac:dyDescent="0.25">
      <c r="C1978" t="str">
        <f>IF(COUNTBLANK(E1978:K1978) = 7,"",IF(AND(NOT(ISBLANK(E1978)),COUNTBLANK(E1978:K1978) = 6),"3 Delete",IF(ISBLANK(E1978),"2 Add",IF(SHA1Range(E1978:K1978) = "2040f8784698fb1165c5fb6907e7fc39d0033547","0 Original","1 Modify"))))</f>
        <v>0 Original</v>
      </c>
      <c r="D1978" s="5" t="s">
        <v>4044</v>
      </c>
      <c r="E1978" s="3">
        <v>2350</v>
      </c>
      <c r="F1978" t="s">
        <v>1563</v>
      </c>
      <c r="G1978" t="s">
        <v>761</v>
      </c>
      <c r="H1978" s="9">
        <v>8.99</v>
      </c>
      <c r="I1978" s="3">
        <v>2</v>
      </c>
      <c r="J1978" s="5" t="s">
        <v>68</v>
      </c>
      <c r="K1978" s="15">
        <v>41995.125219907408</v>
      </c>
      <c r="L1978" s="20">
        <f t="shared" si="90"/>
        <v>41995</v>
      </c>
      <c r="M1978" t="str">
        <f t="shared" si="91"/>
        <v>12-2014</v>
      </c>
      <c r="N1978">
        <f t="shared" si="92"/>
        <v>17.98</v>
      </c>
    </row>
    <row r="1979" spans="3:14" x14ac:dyDescent="0.25">
      <c r="C1979" t="str">
        <f>IF(COUNTBLANK(E1979:K1979) = 7,"",IF(AND(NOT(ISBLANK(E1979)),COUNTBLANK(E1979:K1979) = 6),"3 Delete",IF(ISBLANK(E1979),"2 Add",IF(SHA1Range(E1979:K1979) = "2bcf297d79b28fffc9d94e770f62083d6cbfc719","0 Original","1 Modify"))))</f>
        <v>0 Original</v>
      </c>
      <c r="D1979" s="5" t="s">
        <v>4045</v>
      </c>
      <c r="E1979" s="3">
        <v>2351</v>
      </c>
      <c r="F1979" t="s">
        <v>1563</v>
      </c>
      <c r="G1979" t="s">
        <v>771</v>
      </c>
      <c r="H1979" s="9">
        <v>9.99</v>
      </c>
      <c r="I1979" s="3">
        <v>2</v>
      </c>
      <c r="J1979" s="5" t="s">
        <v>68</v>
      </c>
      <c r="K1979" s="15">
        <v>41995.125219907408</v>
      </c>
      <c r="L1979" s="20">
        <f t="shared" si="90"/>
        <v>41995</v>
      </c>
      <c r="M1979" t="str">
        <f t="shared" si="91"/>
        <v>12-2014</v>
      </c>
      <c r="N1979">
        <f t="shared" si="92"/>
        <v>19.98</v>
      </c>
    </row>
    <row r="1980" spans="3:14" x14ac:dyDescent="0.25">
      <c r="C1980" t="str">
        <f>IF(COUNTBLANK(E1980:K1980) = 7,"",IF(AND(NOT(ISBLANK(E1980)),COUNTBLANK(E1980:K1980) = 6),"3 Delete",IF(ISBLANK(E1980),"2 Add",IF(SHA1Range(E1980:K1980) = "582a50d13dd6c1ff79cbd30c707584bcdac40de0","0 Original","1 Modify"))))</f>
        <v>0 Original</v>
      </c>
      <c r="D1980" s="5" t="s">
        <v>4046</v>
      </c>
      <c r="E1980" s="3">
        <v>1061</v>
      </c>
      <c r="F1980" t="s">
        <v>1564</v>
      </c>
      <c r="G1980" t="s">
        <v>704</v>
      </c>
      <c r="H1980" s="9">
        <v>4.99</v>
      </c>
      <c r="I1980" s="3">
        <v>1</v>
      </c>
      <c r="J1980" s="5" t="s">
        <v>68</v>
      </c>
      <c r="K1980" s="15">
        <v>41996.193391203706</v>
      </c>
      <c r="L1980" s="20">
        <f t="shared" si="90"/>
        <v>41996</v>
      </c>
      <c r="M1980" t="str">
        <f t="shared" si="91"/>
        <v>12-2014</v>
      </c>
      <c r="N1980">
        <f t="shared" si="92"/>
        <v>4.99</v>
      </c>
    </row>
    <row r="1981" spans="3:14" x14ac:dyDescent="0.25">
      <c r="C1981" t="str">
        <f>IF(COUNTBLANK(E1981:K1981) = 7,"",IF(AND(NOT(ISBLANK(E1981)),COUNTBLANK(E1981:K1981) = 6),"3 Delete",IF(ISBLANK(E1981),"2 Add",IF(SHA1Range(E1981:K1981) = "c91007eb0979dc77589d14beb37654b3c58ab435","0 Original","1 Modify"))))</f>
        <v>0 Original</v>
      </c>
      <c r="D1981" s="5" t="s">
        <v>4047</v>
      </c>
      <c r="E1981" s="3">
        <v>3255</v>
      </c>
      <c r="F1981" t="s">
        <v>1565</v>
      </c>
      <c r="G1981" t="s">
        <v>579</v>
      </c>
      <c r="H1981" s="9">
        <v>9.99</v>
      </c>
      <c r="I1981" s="3">
        <v>1</v>
      </c>
      <c r="J1981" s="5" t="s">
        <v>68</v>
      </c>
      <c r="K1981" s="15">
        <v>41996.391122685185</v>
      </c>
      <c r="L1981" s="20">
        <f t="shared" si="90"/>
        <v>41996</v>
      </c>
      <c r="M1981" t="str">
        <f t="shared" si="91"/>
        <v>12-2014</v>
      </c>
      <c r="N1981">
        <f t="shared" si="92"/>
        <v>9.99</v>
      </c>
    </row>
    <row r="1982" spans="3:14" x14ac:dyDescent="0.25">
      <c r="C1982" t="str">
        <f>IF(COUNTBLANK(E1982:K1982) = 7,"",IF(AND(NOT(ISBLANK(E1982)),COUNTBLANK(E1982:K1982) = 6),"3 Delete",IF(ISBLANK(E1982),"2 Add",IF(SHA1Range(E1982:K1982) = "e7ccacee2a2a35e8fb7b0858280204268efa6b79","0 Original","1 Modify"))))</f>
        <v>0 Original</v>
      </c>
      <c r="D1982" s="5" t="s">
        <v>4365</v>
      </c>
      <c r="E1982" s="3">
        <v>507</v>
      </c>
      <c r="F1982" t="s">
        <v>1566</v>
      </c>
      <c r="G1982" t="s">
        <v>445</v>
      </c>
      <c r="H1982" s="9">
        <v>7.99</v>
      </c>
      <c r="I1982" s="3">
        <v>1</v>
      </c>
      <c r="J1982" s="5" t="s">
        <v>68</v>
      </c>
      <c r="K1982" s="15">
        <v>41997.34814814815</v>
      </c>
      <c r="L1982" s="20">
        <f t="shared" si="90"/>
        <v>41997</v>
      </c>
      <c r="M1982" t="str">
        <f t="shared" si="91"/>
        <v>12-2014</v>
      </c>
      <c r="N1982">
        <f t="shared" si="92"/>
        <v>7.99</v>
      </c>
    </row>
    <row r="1983" spans="3:14" x14ac:dyDescent="0.25">
      <c r="C1983" t="str">
        <f>IF(COUNTBLANK(E1983:K1983) = 7,"",IF(AND(NOT(ISBLANK(E1983)),COUNTBLANK(E1983:K1983) = 6),"3 Delete",IF(ISBLANK(E1983),"2 Add",IF(SHA1Range(E1983:K1983) = "5c6a2a085a4a9c94953a20866960629c40621603","0 Original","1 Modify"))))</f>
        <v>0 Original</v>
      </c>
      <c r="D1983" s="5" t="s">
        <v>4366</v>
      </c>
      <c r="E1983" s="3">
        <v>508</v>
      </c>
      <c r="F1983" t="s">
        <v>1566</v>
      </c>
      <c r="G1983" t="s">
        <v>955</v>
      </c>
      <c r="H1983" s="9">
        <v>8.99</v>
      </c>
      <c r="I1983" s="3">
        <v>2</v>
      </c>
      <c r="J1983" s="5" t="s">
        <v>68</v>
      </c>
      <c r="K1983" s="15">
        <v>41997.34814814815</v>
      </c>
      <c r="L1983" s="20">
        <f t="shared" si="90"/>
        <v>41997</v>
      </c>
      <c r="M1983" t="str">
        <f t="shared" si="91"/>
        <v>12-2014</v>
      </c>
      <c r="N1983">
        <f t="shared" si="92"/>
        <v>17.98</v>
      </c>
    </row>
    <row r="1984" spans="3:14" x14ac:dyDescent="0.25">
      <c r="C1984" t="str">
        <f>IF(COUNTBLANK(E1984:K1984) = 7,"",IF(AND(NOT(ISBLANK(E1984)),COUNTBLANK(E1984:K1984) = 6),"3 Delete",IF(ISBLANK(E1984),"2 Add",IF(SHA1Range(E1984:K1984) = "59906b86cd9e8d071f37a27baea6534ced90e41a","0 Original","1 Modify"))))</f>
        <v>0 Original</v>
      </c>
      <c r="D1984" s="5" t="s">
        <v>4367</v>
      </c>
      <c r="E1984" s="3">
        <v>509</v>
      </c>
      <c r="F1984" t="s">
        <v>1566</v>
      </c>
      <c r="G1984" t="s">
        <v>802</v>
      </c>
      <c r="H1984" s="9">
        <v>8.99</v>
      </c>
      <c r="I1984" s="3">
        <v>2</v>
      </c>
      <c r="J1984" s="5" t="s">
        <v>68</v>
      </c>
      <c r="K1984" s="15">
        <v>41997.34814814815</v>
      </c>
      <c r="L1984" s="20">
        <f t="shared" si="90"/>
        <v>41997</v>
      </c>
      <c r="M1984" t="str">
        <f t="shared" si="91"/>
        <v>12-2014</v>
      </c>
      <c r="N1984">
        <f t="shared" si="92"/>
        <v>17.98</v>
      </c>
    </row>
    <row r="1985" spans="3:14" x14ac:dyDescent="0.25">
      <c r="C1985" t="str">
        <f>IF(COUNTBLANK(E1985:K1985) = 7,"",IF(AND(NOT(ISBLANK(E1985)),COUNTBLANK(E1985:K1985) = 6),"3 Delete",IF(ISBLANK(E1985),"2 Add",IF(SHA1Range(E1985:K1985) = "0f97b94e98c40e2765880182fc9d04a0e7a416f4","0 Original","1 Modify"))))</f>
        <v>0 Original</v>
      </c>
      <c r="D1985" s="5" t="s">
        <v>4368</v>
      </c>
      <c r="E1985" s="3">
        <v>493</v>
      </c>
      <c r="F1985" t="s">
        <v>1567</v>
      </c>
      <c r="G1985" t="s">
        <v>906</v>
      </c>
      <c r="H1985" s="9">
        <v>8.99</v>
      </c>
      <c r="I1985" s="3">
        <v>2</v>
      </c>
      <c r="J1985" s="5" t="s">
        <v>68</v>
      </c>
      <c r="K1985" s="15">
        <v>41997.718194444446</v>
      </c>
      <c r="L1985" s="20">
        <f t="shared" si="90"/>
        <v>41997</v>
      </c>
      <c r="M1985" t="str">
        <f t="shared" si="91"/>
        <v>12-2014</v>
      </c>
      <c r="N1985">
        <f t="shared" si="92"/>
        <v>17.98</v>
      </c>
    </row>
    <row r="1986" spans="3:14" x14ac:dyDescent="0.25">
      <c r="C1986" t="str">
        <f>IF(COUNTBLANK(E1986:K1986) = 7,"",IF(AND(NOT(ISBLANK(E1986)),COUNTBLANK(E1986:K1986) = 6),"3 Delete",IF(ISBLANK(E1986),"2 Add",IF(SHA1Range(E1986:K1986) = "429fb7b6aed043ec59440c939d4bb1da209b8578","0 Original","1 Modify"))))</f>
        <v>0 Original</v>
      </c>
      <c r="D1986" s="5" t="s">
        <v>4369</v>
      </c>
      <c r="E1986" s="3">
        <v>494</v>
      </c>
      <c r="F1986" t="s">
        <v>1567</v>
      </c>
      <c r="G1986" t="s">
        <v>680</v>
      </c>
      <c r="H1986" s="9">
        <v>8.99</v>
      </c>
      <c r="I1986" s="3">
        <v>1</v>
      </c>
      <c r="J1986" s="5" t="s">
        <v>68</v>
      </c>
      <c r="K1986" s="15">
        <v>41997.718194444446</v>
      </c>
      <c r="L1986" s="20">
        <f t="shared" si="90"/>
        <v>41997</v>
      </c>
      <c r="M1986" t="str">
        <f t="shared" si="91"/>
        <v>12-2014</v>
      </c>
      <c r="N1986">
        <f t="shared" si="92"/>
        <v>8.99</v>
      </c>
    </row>
    <row r="1987" spans="3:14" x14ac:dyDescent="0.25">
      <c r="C1987" t="str">
        <f>IF(COUNTBLANK(E1987:K1987) = 7,"",IF(AND(NOT(ISBLANK(E1987)),COUNTBLANK(E1987:K1987) = 6),"3 Delete",IF(ISBLANK(E1987),"2 Add",IF(SHA1Range(E1987:K1987) = "4d4c33f0b7a565dc87179c0c369df44337746ade","0 Original","1 Modify"))))</f>
        <v>0 Original</v>
      </c>
      <c r="D1987" s="5" t="s">
        <v>4370</v>
      </c>
      <c r="E1987" s="3">
        <v>495</v>
      </c>
      <c r="F1987" t="s">
        <v>1567</v>
      </c>
      <c r="G1987" t="s">
        <v>929</v>
      </c>
      <c r="H1987" s="9">
        <v>9.99</v>
      </c>
      <c r="I1987" s="3">
        <v>2</v>
      </c>
      <c r="J1987" s="5" t="s">
        <v>68</v>
      </c>
      <c r="K1987" s="15">
        <v>41997.718194444446</v>
      </c>
      <c r="L1987" s="20">
        <f t="shared" ref="L1987:L2050" si="93">DATEVALUE(LEFT(F1987,10))</f>
        <v>41997</v>
      </c>
      <c r="M1987" t="str">
        <f t="shared" ref="M1987:M2050" si="94">TEXT(L1987,"mm-yyyy")</f>
        <v>12-2014</v>
      </c>
      <c r="N1987">
        <f t="shared" ref="N1987:N2050" si="95">H1987*I1987</f>
        <v>19.98</v>
      </c>
    </row>
    <row r="1988" spans="3:14" x14ac:dyDescent="0.25">
      <c r="C1988" t="str">
        <f>IF(COUNTBLANK(E1988:K1988) = 7,"",IF(AND(NOT(ISBLANK(E1988)),COUNTBLANK(E1988:K1988) = 6),"3 Delete",IF(ISBLANK(E1988),"2 Add",IF(SHA1Range(E1988:K1988) = "c07bfe6354c38e9b8f97ec658365532f80729c5e","0 Original","1 Modify"))))</f>
        <v>0 Original</v>
      </c>
      <c r="D1988" s="5" t="s">
        <v>4371</v>
      </c>
      <c r="E1988" s="3">
        <v>496</v>
      </c>
      <c r="F1988" t="s">
        <v>1567</v>
      </c>
      <c r="G1988" t="s">
        <v>764</v>
      </c>
      <c r="H1988" s="9">
        <v>9.99</v>
      </c>
      <c r="I1988" s="3">
        <v>1</v>
      </c>
      <c r="J1988" s="5" t="s">
        <v>68</v>
      </c>
      <c r="K1988" s="15">
        <v>41997.718194444446</v>
      </c>
      <c r="L1988" s="20">
        <f t="shared" si="93"/>
        <v>41997</v>
      </c>
      <c r="M1988" t="str">
        <f t="shared" si="94"/>
        <v>12-2014</v>
      </c>
      <c r="N1988">
        <f t="shared" si="95"/>
        <v>9.99</v>
      </c>
    </row>
    <row r="1989" spans="3:14" x14ac:dyDescent="0.25">
      <c r="C1989" t="str">
        <f>IF(COUNTBLANK(E1989:K1989) = 7,"",IF(AND(NOT(ISBLANK(E1989)),COUNTBLANK(E1989:K1989) = 6),"3 Delete",IF(ISBLANK(E1989),"2 Add",IF(SHA1Range(E1989:K1989) = "c97f9e501dc71211ad88e6c8c77b9072c0cd18bc","0 Original","1 Modify"))))</f>
        <v>0 Original</v>
      </c>
      <c r="D1989" s="5" t="s">
        <v>4372</v>
      </c>
      <c r="E1989" s="3">
        <v>497</v>
      </c>
      <c r="F1989" t="s">
        <v>1567</v>
      </c>
      <c r="G1989" t="s">
        <v>596</v>
      </c>
      <c r="H1989" s="9">
        <v>7.99</v>
      </c>
      <c r="I1989" s="3">
        <v>1</v>
      </c>
      <c r="J1989" s="5" t="s">
        <v>68</v>
      </c>
      <c r="K1989" s="15">
        <v>41997.718194444446</v>
      </c>
      <c r="L1989" s="20">
        <f t="shared" si="93"/>
        <v>41997</v>
      </c>
      <c r="M1989" t="str">
        <f t="shared" si="94"/>
        <v>12-2014</v>
      </c>
      <c r="N1989">
        <f t="shared" si="95"/>
        <v>7.99</v>
      </c>
    </row>
    <row r="1990" spans="3:14" x14ac:dyDescent="0.25">
      <c r="C1990" t="str">
        <f>IF(COUNTBLANK(E1990:K1990) = 7,"",IF(AND(NOT(ISBLANK(E1990)),COUNTBLANK(E1990:K1990) = 6),"3 Delete",IF(ISBLANK(E1990),"2 Add",IF(SHA1Range(E1990:K1990) = "9acc465608c9963e2d90c09d46023bea0292f27b","0 Original","1 Modify"))))</f>
        <v>0 Original</v>
      </c>
      <c r="D1990" s="5" t="s">
        <v>4048</v>
      </c>
      <c r="E1990" s="3">
        <v>1419</v>
      </c>
      <c r="F1990" t="s">
        <v>1568</v>
      </c>
      <c r="G1990" t="s">
        <v>396</v>
      </c>
      <c r="H1990" s="9">
        <v>8.99</v>
      </c>
      <c r="I1990" s="3">
        <v>1</v>
      </c>
      <c r="J1990" s="5" t="s">
        <v>68</v>
      </c>
      <c r="K1990" s="15">
        <v>41998.109652777777</v>
      </c>
      <c r="L1990" s="20">
        <f t="shared" si="93"/>
        <v>41998</v>
      </c>
      <c r="M1990" t="str">
        <f t="shared" si="94"/>
        <v>12-2014</v>
      </c>
      <c r="N1990">
        <f t="shared" si="95"/>
        <v>8.99</v>
      </c>
    </row>
    <row r="1991" spans="3:14" x14ac:dyDescent="0.25">
      <c r="C1991" t="str">
        <f>IF(COUNTBLANK(E1991:K1991) = 7,"",IF(AND(NOT(ISBLANK(E1991)),COUNTBLANK(E1991:K1991) = 6),"3 Delete",IF(ISBLANK(E1991),"2 Add",IF(SHA1Range(E1991:K1991) = "fe263a7aa3d734a38db36eddbb4e6145d65ead13","0 Original","1 Modify"))))</f>
        <v>0 Original</v>
      </c>
      <c r="D1991" s="5" t="s">
        <v>4049</v>
      </c>
      <c r="E1991" s="3">
        <v>1420</v>
      </c>
      <c r="F1991" t="s">
        <v>1568</v>
      </c>
      <c r="G1991" t="s">
        <v>749</v>
      </c>
      <c r="H1991" s="9">
        <v>5.99</v>
      </c>
      <c r="I1991" s="3">
        <v>2</v>
      </c>
      <c r="J1991" s="5" t="s">
        <v>68</v>
      </c>
      <c r="K1991" s="15">
        <v>41998.109652777777</v>
      </c>
      <c r="L1991" s="20">
        <f t="shared" si="93"/>
        <v>41998</v>
      </c>
      <c r="M1991" t="str">
        <f t="shared" si="94"/>
        <v>12-2014</v>
      </c>
      <c r="N1991">
        <f t="shared" si="95"/>
        <v>11.98</v>
      </c>
    </row>
    <row r="1992" spans="3:14" x14ac:dyDescent="0.25">
      <c r="C1992" t="str">
        <f>IF(COUNTBLANK(E1992:K1992) = 7,"",IF(AND(NOT(ISBLANK(E1992)),COUNTBLANK(E1992:K1992) = 6),"3 Delete",IF(ISBLANK(E1992),"2 Add",IF(SHA1Range(E1992:K1992) = "e89c0b66d9caa2d8c3b53183aacf012f3847181c","0 Original","1 Modify"))))</f>
        <v>0 Original</v>
      </c>
      <c r="D1992" s="5" t="s">
        <v>4050</v>
      </c>
      <c r="E1992" s="3">
        <v>1421</v>
      </c>
      <c r="F1992" t="s">
        <v>1568</v>
      </c>
      <c r="G1992" t="s">
        <v>739</v>
      </c>
      <c r="H1992" s="9">
        <v>8.99</v>
      </c>
      <c r="I1992" s="3">
        <v>1</v>
      </c>
      <c r="J1992" s="5" t="s">
        <v>68</v>
      </c>
      <c r="K1992" s="15">
        <v>41998.109652777777</v>
      </c>
      <c r="L1992" s="20">
        <f t="shared" si="93"/>
        <v>41998</v>
      </c>
      <c r="M1992" t="str">
        <f t="shared" si="94"/>
        <v>12-2014</v>
      </c>
      <c r="N1992">
        <f t="shared" si="95"/>
        <v>8.99</v>
      </c>
    </row>
    <row r="1993" spans="3:14" x14ac:dyDescent="0.25">
      <c r="C1993" t="str">
        <f>IF(COUNTBLANK(E1993:K1993) = 7,"",IF(AND(NOT(ISBLANK(E1993)),COUNTBLANK(E1993:K1993) = 6),"3 Delete",IF(ISBLANK(E1993),"2 Add",IF(SHA1Range(E1993:K1993) = "7c9890aea12cbb0583df37a24ffc46407526160f","0 Original","1 Modify"))))</f>
        <v>0 Original</v>
      </c>
      <c r="D1993" s="5" t="s">
        <v>4051</v>
      </c>
      <c r="E1993" s="3">
        <v>1422</v>
      </c>
      <c r="F1993" t="s">
        <v>1568</v>
      </c>
      <c r="G1993" t="s">
        <v>869</v>
      </c>
      <c r="H1993" s="9">
        <v>4.99</v>
      </c>
      <c r="I1993" s="3">
        <v>1</v>
      </c>
      <c r="J1993" s="5" t="s">
        <v>68</v>
      </c>
      <c r="K1993" s="15">
        <v>41998.109652777777</v>
      </c>
      <c r="L1993" s="20">
        <f t="shared" si="93"/>
        <v>41998</v>
      </c>
      <c r="M1993" t="str">
        <f t="shared" si="94"/>
        <v>12-2014</v>
      </c>
      <c r="N1993">
        <f t="shared" si="95"/>
        <v>4.99</v>
      </c>
    </row>
    <row r="1994" spans="3:14" x14ac:dyDescent="0.25">
      <c r="C1994" t="str">
        <f>IF(COUNTBLANK(E1994:K1994) = 7,"",IF(AND(NOT(ISBLANK(E1994)),COUNTBLANK(E1994:K1994) = 6),"3 Delete",IF(ISBLANK(E1994),"2 Add",IF(SHA1Range(E1994:K1994) = "d4e791052d496d05c0c22cbc3cc01ffc3edab7fa","0 Original","1 Modify"))))</f>
        <v>0 Original</v>
      </c>
      <c r="D1994" s="5" t="s">
        <v>4052</v>
      </c>
      <c r="E1994" s="3">
        <v>1423</v>
      </c>
      <c r="F1994" t="s">
        <v>1568</v>
      </c>
      <c r="G1994" t="s">
        <v>671</v>
      </c>
      <c r="H1994" s="9">
        <v>6.99</v>
      </c>
      <c r="I1994" s="3">
        <v>1</v>
      </c>
      <c r="J1994" s="5" t="s">
        <v>68</v>
      </c>
      <c r="K1994" s="15">
        <v>41998.109652777777</v>
      </c>
      <c r="L1994" s="20">
        <f t="shared" si="93"/>
        <v>41998</v>
      </c>
      <c r="M1994" t="str">
        <f t="shared" si="94"/>
        <v>12-2014</v>
      </c>
      <c r="N1994">
        <f t="shared" si="95"/>
        <v>6.99</v>
      </c>
    </row>
    <row r="1995" spans="3:14" x14ac:dyDescent="0.25">
      <c r="C1995" t="str">
        <f>IF(COUNTBLANK(E1995:K1995) = 7,"",IF(AND(NOT(ISBLANK(E1995)),COUNTBLANK(E1995:K1995) = 6),"3 Delete",IF(ISBLANK(E1995),"2 Add",IF(SHA1Range(E1995:K1995) = "0bcc314434bf720506821b89a81f37ffb8ace878","0 Original","1 Modify"))))</f>
        <v>0 Original</v>
      </c>
      <c r="D1995" s="5" t="s">
        <v>4373</v>
      </c>
      <c r="E1995" s="3">
        <v>135</v>
      </c>
      <c r="F1995" t="s">
        <v>1569</v>
      </c>
      <c r="G1995" t="s">
        <v>657</v>
      </c>
      <c r="H1995" s="9">
        <v>9.99</v>
      </c>
      <c r="I1995" s="3">
        <v>1</v>
      </c>
      <c r="J1995" s="5" t="s">
        <v>68</v>
      </c>
      <c r="K1995" s="15">
        <v>41998.233842592592</v>
      </c>
      <c r="L1995" s="20">
        <f t="shared" si="93"/>
        <v>41998</v>
      </c>
      <c r="M1995" t="str">
        <f t="shared" si="94"/>
        <v>12-2014</v>
      </c>
      <c r="N1995">
        <f t="shared" si="95"/>
        <v>9.99</v>
      </c>
    </row>
    <row r="1996" spans="3:14" x14ac:dyDescent="0.25">
      <c r="C1996" t="str">
        <f>IF(COUNTBLANK(E1996:K1996) = 7,"",IF(AND(NOT(ISBLANK(E1996)),COUNTBLANK(E1996:K1996) = 6),"3 Delete",IF(ISBLANK(E1996),"2 Add",IF(SHA1Range(E1996:K1996) = "005f3499f8b3f842098e482869941e2990ec7481","0 Original","1 Modify"))))</f>
        <v>0 Original</v>
      </c>
      <c r="D1996" s="5" t="s">
        <v>4053</v>
      </c>
      <c r="E1996" s="3">
        <v>1913</v>
      </c>
      <c r="F1996" t="s">
        <v>1570</v>
      </c>
      <c r="G1996" t="s">
        <v>690</v>
      </c>
      <c r="H1996" s="9">
        <v>7.99</v>
      </c>
      <c r="I1996" s="3">
        <v>1</v>
      </c>
      <c r="J1996" s="5" t="s">
        <v>68</v>
      </c>
      <c r="K1996" s="15">
        <v>41998.919525462959</v>
      </c>
      <c r="L1996" s="20">
        <f t="shared" si="93"/>
        <v>41998</v>
      </c>
      <c r="M1996" t="str">
        <f t="shared" si="94"/>
        <v>12-2014</v>
      </c>
      <c r="N1996">
        <f t="shared" si="95"/>
        <v>7.99</v>
      </c>
    </row>
    <row r="1997" spans="3:14" x14ac:dyDescent="0.25">
      <c r="C1997" t="str">
        <f>IF(COUNTBLANK(E1997:K1997) = 7,"",IF(AND(NOT(ISBLANK(E1997)),COUNTBLANK(E1997:K1997) = 6),"3 Delete",IF(ISBLANK(E1997),"2 Add",IF(SHA1Range(E1997:K1997) = "5f50646830fba0be3f783448efba843ae48bf468","0 Original","1 Modify"))))</f>
        <v>0 Original</v>
      </c>
      <c r="D1997" s="5" t="s">
        <v>4054</v>
      </c>
      <c r="E1997" s="3">
        <v>1914</v>
      </c>
      <c r="F1997" t="s">
        <v>1570</v>
      </c>
      <c r="G1997" t="s">
        <v>687</v>
      </c>
      <c r="H1997" s="9">
        <v>9.99</v>
      </c>
      <c r="I1997" s="3">
        <v>1</v>
      </c>
      <c r="J1997" s="5" t="s">
        <v>68</v>
      </c>
      <c r="K1997" s="15">
        <v>41998.919525462959</v>
      </c>
      <c r="L1997" s="20">
        <f t="shared" si="93"/>
        <v>41998</v>
      </c>
      <c r="M1997" t="str">
        <f t="shared" si="94"/>
        <v>12-2014</v>
      </c>
      <c r="N1997">
        <f t="shared" si="95"/>
        <v>9.99</v>
      </c>
    </row>
    <row r="1998" spans="3:14" x14ac:dyDescent="0.25">
      <c r="C1998" t="str">
        <f>IF(COUNTBLANK(E1998:K1998) = 7,"",IF(AND(NOT(ISBLANK(E1998)),COUNTBLANK(E1998:K1998) = 6),"3 Delete",IF(ISBLANK(E1998),"2 Add",IF(SHA1Range(E1998:K1998) = "ca6952a4580adfef9c0bc78ce5abd3cc269ae1b1","0 Original","1 Modify"))))</f>
        <v>0 Original</v>
      </c>
      <c r="D1998" s="5" t="s">
        <v>4055</v>
      </c>
      <c r="E1998" s="3">
        <v>1915</v>
      </c>
      <c r="F1998" t="s">
        <v>1570</v>
      </c>
      <c r="G1998" t="s">
        <v>761</v>
      </c>
      <c r="H1998" s="9">
        <v>8.99</v>
      </c>
      <c r="I1998" s="3">
        <v>2</v>
      </c>
      <c r="J1998" s="5" t="s">
        <v>68</v>
      </c>
      <c r="K1998" s="15">
        <v>41998.919525462959</v>
      </c>
      <c r="L1998" s="20">
        <f t="shared" si="93"/>
        <v>41998</v>
      </c>
      <c r="M1998" t="str">
        <f t="shared" si="94"/>
        <v>12-2014</v>
      </c>
      <c r="N1998">
        <f t="shared" si="95"/>
        <v>17.98</v>
      </c>
    </row>
    <row r="1999" spans="3:14" x14ac:dyDescent="0.25">
      <c r="C1999" t="str">
        <f>IF(COUNTBLANK(E1999:K1999) = 7,"",IF(AND(NOT(ISBLANK(E1999)),COUNTBLANK(E1999:K1999) = 6),"3 Delete",IF(ISBLANK(E1999),"2 Add",IF(SHA1Range(E1999:K1999) = "52f6157ea5cba65f6b4cc3256a3ac3ad491700de","0 Original","1 Modify"))))</f>
        <v>0 Original</v>
      </c>
      <c r="D1999" s="5" t="s">
        <v>4056</v>
      </c>
      <c r="E1999" s="3">
        <v>1536</v>
      </c>
      <c r="F1999" t="s">
        <v>1571</v>
      </c>
      <c r="G1999" t="s">
        <v>528</v>
      </c>
      <c r="H1999" s="9">
        <v>5.99</v>
      </c>
      <c r="I1999" s="3">
        <v>1</v>
      </c>
      <c r="J1999" s="5" t="s">
        <v>68</v>
      </c>
      <c r="K1999" s="15">
        <v>41999.508425925924</v>
      </c>
      <c r="L1999" s="20">
        <f t="shared" si="93"/>
        <v>41999</v>
      </c>
      <c r="M1999" t="str">
        <f t="shared" si="94"/>
        <v>12-2014</v>
      </c>
      <c r="N1999">
        <f t="shared" si="95"/>
        <v>5.99</v>
      </c>
    </row>
    <row r="2000" spans="3:14" x14ac:dyDescent="0.25">
      <c r="C2000" t="str">
        <f>IF(COUNTBLANK(E2000:K2000) = 7,"",IF(AND(NOT(ISBLANK(E2000)),COUNTBLANK(E2000:K2000) = 6),"3 Delete",IF(ISBLANK(E2000),"2 Add",IF(SHA1Range(E2000:K2000) = "952988a03ee0407e3737ceb46be50a670c5ec686","0 Original","1 Modify"))))</f>
        <v>0 Original</v>
      </c>
      <c r="D2000" s="5" t="s">
        <v>4057</v>
      </c>
      <c r="E2000" s="3">
        <v>1537</v>
      </c>
      <c r="F2000" t="s">
        <v>1571</v>
      </c>
      <c r="G2000" t="s">
        <v>680</v>
      </c>
      <c r="H2000" s="9">
        <v>8.99</v>
      </c>
      <c r="I2000" s="3">
        <v>2</v>
      </c>
      <c r="J2000" s="5" t="s">
        <v>68</v>
      </c>
      <c r="K2000" s="15">
        <v>41999.508425925924</v>
      </c>
      <c r="L2000" s="20">
        <f t="shared" si="93"/>
        <v>41999</v>
      </c>
      <c r="M2000" t="str">
        <f t="shared" si="94"/>
        <v>12-2014</v>
      </c>
      <c r="N2000">
        <f t="shared" si="95"/>
        <v>17.98</v>
      </c>
    </row>
    <row r="2001" spans="3:14" x14ac:dyDescent="0.25">
      <c r="C2001" t="str">
        <f>IF(COUNTBLANK(E2001:K2001) = 7,"",IF(AND(NOT(ISBLANK(E2001)),COUNTBLANK(E2001:K2001) = 6),"3 Delete",IF(ISBLANK(E2001),"2 Add",IF(SHA1Range(E2001:K2001) = "4100086ff57222743a15af42197dbeb1dce6fe01","0 Original","1 Modify"))))</f>
        <v>0 Original</v>
      </c>
      <c r="D2001" s="5" t="s">
        <v>4058</v>
      </c>
      <c r="E2001" s="3">
        <v>3460</v>
      </c>
      <c r="F2001" t="s">
        <v>1572</v>
      </c>
      <c r="G2001" t="s">
        <v>642</v>
      </c>
      <c r="H2001" s="9">
        <v>9.99</v>
      </c>
      <c r="I2001" s="3">
        <v>2</v>
      </c>
      <c r="J2001" s="5" t="s">
        <v>68</v>
      </c>
      <c r="K2001" s="15">
        <v>41999.882881944446</v>
      </c>
      <c r="L2001" s="20">
        <f t="shared" si="93"/>
        <v>41999</v>
      </c>
      <c r="M2001" t="str">
        <f t="shared" si="94"/>
        <v>12-2014</v>
      </c>
      <c r="N2001">
        <f t="shared" si="95"/>
        <v>19.98</v>
      </c>
    </row>
    <row r="2002" spans="3:14" x14ac:dyDescent="0.25">
      <c r="C2002" t="str">
        <f>IF(COUNTBLANK(E2002:K2002) = 7,"",IF(AND(NOT(ISBLANK(E2002)),COUNTBLANK(E2002:K2002) = 6),"3 Delete",IF(ISBLANK(E2002),"2 Add",IF(SHA1Range(E2002:K2002) = "b858cb282617fb0956d960215c8e84d1ccf909c6","0 Original","1 Modify"))))</f>
        <v>1 Modify</v>
      </c>
      <c r="D2002" s="5" t="s">
        <v>4462</v>
      </c>
      <c r="E2002" s="3">
        <v>406</v>
      </c>
      <c r="F2002" t="s">
        <v>1573</v>
      </c>
      <c r="G2002" t="s">
        <v>839</v>
      </c>
      <c r="H2002" s="9">
        <v>4.99</v>
      </c>
      <c r="I2002" s="3">
        <v>1</v>
      </c>
      <c r="J2002" s="5" t="s">
        <v>68</v>
      </c>
      <c r="K2002" s="15">
        <v>42000.648182870369</v>
      </c>
      <c r="L2002" s="20">
        <f t="shared" si="93"/>
        <v>42000</v>
      </c>
      <c r="M2002" t="str">
        <f t="shared" si="94"/>
        <v>12-2014</v>
      </c>
      <c r="N2002">
        <f t="shared" si="95"/>
        <v>4.99</v>
      </c>
    </row>
    <row r="2003" spans="3:14" x14ac:dyDescent="0.25">
      <c r="C2003" t="str">
        <f>IF(COUNTBLANK(E2003:K2003) = 7,"",IF(AND(NOT(ISBLANK(E2003)),COUNTBLANK(E2003:K2003) = 6),"3 Delete",IF(ISBLANK(E2003),"2 Add",IF(SHA1Range(E2003:K2003) = "6e8b4ca3dd9d3d676208ca2668c877c23a0ba06f","0 Original","1 Modify"))))</f>
        <v>0 Original</v>
      </c>
      <c r="D2003" s="5" t="s">
        <v>4463</v>
      </c>
      <c r="E2003" s="3">
        <v>407</v>
      </c>
      <c r="F2003" t="s">
        <v>1573</v>
      </c>
      <c r="G2003" t="s">
        <v>412</v>
      </c>
      <c r="H2003" s="9">
        <v>9.99</v>
      </c>
      <c r="I2003" s="3">
        <v>1</v>
      </c>
      <c r="J2003" s="5" t="s">
        <v>68</v>
      </c>
      <c r="K2003" s="15">
        <v>42000.648182870369</v>
      </c>
      <c r="L2003" s="20">
        <f t="shared" si="93"/>
        <v>42000</v>
      </c>
      <c r="M2003" t="str">
        <f t="shared" si="94"/>
        <v>12-2014</v>
      </c>
      <c r="N2003">
        <f t="shared" si="95"/>
        <v>9.99</v>
      </c>
    </row>
    <row r="2004" spans="3:14" x14ac:dyDescent="0.25">
      <c r="C2004" t="str">
        <f>IF(COUNTBLANK(E2004:K2004) = 7,"",IF(AND(NOT(ISBLANK(E2004)),COUNTBLANK(E2004:K2004) = 6),"3 Delete",IF(ISBLANK(E2004),"2 Add",IF(SHA1Range(E2004:K2004) = "8d7c1bbce3ef42aadfd939dfaca88c8afb65930f","0 Original","1 Modify"))))</f>
        <v>0 Original</v>
      </c>
      <c r="D2004" s="5" t="s">
        <v>4464</v>
      </c>
      <c r="E2004" s="3">
        <v>408</v>
      </c>
      <c r="F2004" t="s">
        <v>1573</v>
      </c>
      <c r="G2004" t="s">
        <v>408</v>
      </c>
      <c r="H2004" s="9">
        <v>9.99</v>
      </c>
      <c r="I2004" s="3">
        <v>1</v>
      </c>
      <c r="J2004" s="5" t="s">
        <v>68</v>
      </c>
      <c r="K2004" s="15">
        <v>42000.648182870369</v>
      </c>
      <c r="L2004" s="20">
        <f t="shared" si="93"/>
        <v>42000</v>
      </c>
      <c r="M2004" t="str">
        <f t="shared" si="94"/>
        <v>12-2014</v>
      </c>
      <c r="N2004">
        <f t="shared" si="95"/>
        <v>9.99</v>
      </c>
    </row>
    <row r="2005" spans="3:14" x14ac:dyDescent="0.25">
      <c r="C2005" t="str">
        <f>IF(COUNTBLANK(E2005:K2005) = 7,"",IF(AND(NOT(ISBLANK(E2005)),COUNTBLANK(E2005:K2005) = 6),"3 Delete",IF(ISBLANK(E2005),"2 Add",IF(SHA1Range(E2005:K2005) = "6799db82b36442be621b417b65f65f2d3c263254","0 Original","1 Modify"))))</f>
        <v>0 Original</v>
      </c>
      <c r="D2005" s="5" t="s">
        <v>4465</v>
      </c>
      <c r="E2005" s="3">
        <v>2162</v>
      </c>
      <c r="F2005" t="s">
        <v>1574</v>
      </c>
      <c r="G2005" t="s">
        <v>389</v>
      </c>
      <c r="H2005" s="9">
        <v>4.99</v>
      </c>
      <c r="I2005" s="3">
        <v>2</v>
      </c>
      <c r="J2005" s="5" t="s">
        <v>68</v>
      </c>
      <c r="K2005" s="15">
        <v>42002.557013888887</v>
      </c>
      <c r="L2005" s="20">
        <f t="shared" si="93"/>
        <v>42002</v>
      </c>
      <c r="M2005" t="str">
        <f t="shared" si="94"/>
        <v>12-2014</v>
      </c>
      <c r="N2005">
        <f t="shared" si="95"/>
        <v>9.98</v>
      </c>
    </row>
    <row r="2006" spans="3:14" x14ac:dyDescent="0.25">
      <c r="C2006" t="str">
        <f>IF(COUNTBLANK(E2006:K2006) = 7,"",IF(AND(NOT(ISBLANK(E2006)),COUNTBLANK(E2006:K2006) = 6),"3 Delete",IF(ISBLANK(E2006),"2 Add",IF(SHA1Range(E2006:K2006) = "912b0db3f5c855d6e002a5bc5a3e0f94414dec24","0 Original","1 Modify"))))</f>
        <v>0 Original</v>
      </c>
      <c r="D2006" s="5" t="s">
        <v>4466</v>
      </c>
      <c r="E2006" s="3">
        <v>793</v>
      </c>
      <c r="F2006" t="s">
        <v>1575</v>
      </c>
      <c r="G2006" t="s">
        <v>507</v>
      </c>
      <c r="H2006" s="9">
        <v>6.99</v>
      </c>
      <c r="I2006" s="3">
        <v>1</v>
      </c>
      <c r="J2006" s="5" t="s">
        <v>68</v>
      </c>
      <c r="K2006" s="15">
        <v>42002.577106481483</v>
      </c>
      <c r="L2006" s="20">
        <f t="shared" si="93"/>
        <v>42002</v>
      </c>
      <c r="M2006" t="str">
        <f t="shared" si="94"/>
        <v>12-2014</v>
      </c>
      <c r="N2006">
        <f t="shared" si="95"/>
        <v>6.99</v>
      </c>
    </row>
    <row r="2007" spans="3:14" x14ac:dyDescent="0.25">
      <c r="C2007" t="str">
        <f>IF(COUNTBLANK(E2007:K2007) = 7,"",IF(AND(NOT(ISBLANK(E2007)),COUNTBLANK(E2007:K2007) = 6),"3 Delete",IF(ISBLANK(E2007),"2 Add",IF(SHA1Range(E2007:K2007) = "844bf40546d5acd09965579e09ea9971bb14d7bc","0 Original","1 Modify"))))</f>
        <v>0 Original</v>
      </c>
      <c r="D2007" s="5" t="s">
        <v>4467</v>
      </c>
      <c r="E2007" s="3">
        <v>794</v>
      </c>
      <c r="F2007" t="s">
        <v>1575</v>
      </c>
      <c r="G2007" t="s">
        <v>514</v>
      </c>
      <c r="H2007" s="9">
        <v>6.99</v>
      </c>
      <c r="I2007" s="3">
        <v>1</v>
      </c>
      <c r="J2007" s="5" t="s">
        <v>68</v>
      </c>
      <c r="K2007" s="15">
        <v>42002.577106481483</v>
      </c>
      <c r="L2007" s="20">
        <f t="shared" si="93"/>
        <v>42002</v>
      </c>
      <c r="M2007" t="str">
        <f t="shared" si="94"/>
        <v>12-2014</v>
      </c>
      <c r="N2007">
        <f t="shared" si="95"/>
        <v>6.99</v>
      </c>
    </row>
    <row r="2008" spans="3:14" x14ac:dyDescent="0.25">
      <c r="C2008" t="str">
        <f>IF(COUNTBLANK(E2008:K2008) = 7,"",IF(AND(NOT(ISBLANK(E2008)),COUNTBLANK(E2008:K2008) = 6),"3 Delete",IF(ISBLANK(E2008),"2 Add",IF(SHA1Range(E2008:K2008) = "90673f7c40b70dbe97123681be515fe1f9d834a1","0 Original","1 Modify"))))</f>
        <v>0 Original</v>
      </c>
      <c r="D2008" s="5" t="s">
        <v>4468</v>
      </c>
      <c r="E2008" s="3">
        <v>795</v>
      </c>
      <c r="F2008" t="s">
        <v>1575</v>
      </c>
      <c r="G2008" t="s">
        <v>610</v>
      </c>
      <c r="H2008" s="9">
        <v>9.99</v>
      </c>
      <c r="I2008" s="3">
        <v>1</v>
      </c>
      <c r="J2008" s="5" t="s">
        <v>68</v>
      </c>
      <c r="K2008" s="15">
        <v>42002.577106481483</v>
      </c>
      <c r="L2008" s="20">
        <f t="shared" si="93"/>
        <v>42002</v>
      </c>
      <c r="M2008" t="str">
        <f t="shared" si="94"/>
        <v>12-2014</v>
      </c>
      <c r="N2008">
        <f t="shared" si="95"/>
        <v>9.99</v>
      </c>
    </row>
    <row r="2009" spans="3:14" x14ac:dyDescent="0.25">
      <c r="C2009" t="str">
        <f>IF(COUNTBLANK(E2009:K2009) = 7,"",IF(AND(NOT(ISBLANK(E2009)),COUNTBLANK(E2009:K2009) = 6),"3 Delete",IF(ISBLANK(E2009),"2 Add",IF(SHA1Range(E2009:K2009) = "add3873fa845dccf4d200383da4a5c2e259de6dc","0 Original","1 Modify"))))</f>
        <v>0 Original</v>
      </c>
      <c r="D2009" s="5" t="s">
        <v>4469</v>
      </c>
      <c r="E2009" s="3">
        <v>796</v>
      </c>
      <c r="F2009" t="s">
        <v>1575</v>
      </c>
      <c r="G2009" t="s">
        <v>869</v>
      </c>
      <c r="H2009" s="9">
        <v>4.99</v>
      </c>
      <c r="I2009" s="3">
        <v>1</v>
      </c>
      <c r="J2009" s="5" t="s">
        <v>68</v>
      </c>
      <c r="K2009" s="15">
        <v>42002.577106481483</v>
      </c>
      <c r="L2009" s="20">
        <f t="shared" si="93"/>
        <v>42002</v>
      </c>
      <c r="M2009" t="str">
        <f t="shared" si="94"/>
        <v>12-2014</v>
      </c>
      <c r="N2009">
        <f t="shared" si="95"/>
        <v>4.99</v>
      </c>
    </row>
    <row r="2010" spans="3:14" x14ac:dyDescent="0.25">
      <c r="C2010" t="str">
        <f>IF(COUNTBLANK(E2010:K2010) = 7,"",IF(AND(NOT(ISBLANK(E2010)),COUNTBLANK(E2010:K2010) = 6),"3 Delete",IF(ISBLANK(E2010),"2 Add",IF(SHA1Range(E2010:K2010) = "76929bf16b1c5b89ecd82cf3e12932b5f2344f7c","0 Original","1 Modify"))))</f>
        <v>0 Original</v>
      </c>
      <c r="D2010" s="5" t="s">
        <v>4470</v>
      </c>
      <c r="E2010" s="3">
        <v>797</v>
      </c>
      <c r="F2010" t="s">
        <v>1575</v>
      </c>
      <c r="G2010" t="s">
        <v>373</v>
      </c>
      <c r="H2010" s="9">
        <v>7.99</v>
      </c>
      <c r="I2010" s="3">
        <v>1</v>
      </c>
      <c r="J2010" s="5" t="s">
        <v>68</v>
      </c>
      <c r="K2010" s="15">
        <v>42002.577106481483</v>
      </c>
      <c r="L2010" s="20">
        <f t="shared" si="93"/>
        <v>42002</v>
      </c>
      <c r="M2010" t="str">
        <f t="shared" si="94"/>
        <v>12-2014</v>
      </c>
      <c r="N2010">
        <f t="shared" si="95"/>
        <v>7.99</v>
      </c>
    </row>
    <row r="2011" spans="3:14" x14ac:dyDescent="0.25">
      <c r="C2011" t="str">
        <f>IF(COUNTBLANK(E2011:K2011) = 7,"",IF(AND(NOT(ISBLANK(E2011)),COUNTBLANK(E2011:K2011) = 6),"3 Delete",IF(ISBLANK(E2011),"2 Add",IF(SHA1Range(E2011:K2011) = "0712d737483291136f02dd5b8723aa6ce4c8883a","0 Original","1 Modify"))))</f>
        <v>0 Original</v>
      </c>
      <c r="D2011" s="5" t="s">
        <v>4471</v>
      </c>
      <c r="E2011" s="3">
        <v>798</v>
      </c>
      <c r="F2011" t="s">
        <v>1575</v>
      </c>
      <c r="G2011" t="s">
        <v>761</v>
      </c>
      <c r="H2011" s="9">
        <v>8.99</v>
      </c>
      <c r="I2011" s="3">
        <v>2</v>
      </c>
      <c r="J2011" s="5" t="s">
        <v>68</v>
      </c>
      <c r="K2011" s="15">
        <v>42002.577106481483</v>
      </c>
      <c r="L2011" s="20">
        <f t="shared" si="93"/>
        <v>42002</v>
      </c>
      <c r="M2011" t="str">
        <f t="shared" si="94"/>
        <v>12-2014</v>
      </c>
      <c r="N2011">
        <f t="shared" si="95"/>
        <v>17.98</v>
      </c>
    </row>
    <row r="2012" spans="3:14" x14ac:dyDescent="0.25">
      <c r="C2012" t="str">
        <f>IF(COUNTBLANK(E2012:K2012) = 7,"",IF(AND(NOT(ISBLANK(E2012)),COUNTBLANK(E2012:K2012) = 6),"3 Delete",IF(ISBLANK(E2012),"2 Add",IF(SHA1Range(E2012:K2012) = "d3016dcec0930e2506089bea84f65a1bf8e53368","0 Original","1 Modify"))))</f>
        <v>0 Original</v>
      </c>
      <c r="D2012" s="5" t="s">
        <v>4472</v>
      </c>
      <c r="E2012" s="3">
        <v>799</v>
      </c>
      <c r="F2012" t="s">
        <v>1575</v>
      </c>
      <c r="G2012" t="s">
        <v>585</v>
      </c>
      <c r="H2012" s="9">
        <v>9.99</v>
      </c>
      <c r="I2012" s="3">
        <v>1</v>
      </c>
      <c r="J2012" s="5" t="s">
        <v>68</v>
      </c>
      <c r="K2012" s="15">
        <v>42002.577106481483</v>
      </c>
      <c r="L2012" s="20">
        <f t="shared" si="93"/>
        <v>42002</v>
      </c>
      <c r="M2012" t="str">
        <f t="shared" si="94"/>
        <v>12-2014</v>
      </c>
      <c r="N2012">
        <f t="shared" si="95"/>
        <v>9.99</v>
      </c>
    </row>
    <row r="2013" spans="3:14" x14ac:dyDescent="0.25">
      <c r="C2013" t="str">
        <f>IF(COUNTBLANK(E2013:K2013) = 7,"",IF(AND(NOT(ISBLANK(E2013)),COUNTBLANK(E2013:K2013) = 6),"3 Delete",IF(ISBLANK(E2013),"2 Add",IF(SHA1Range(E2013:K2013) = "24e025159d5e79a69a18669de59e0b8bbbc096b2","0 Original","1 Modify"))))</f>
        <v>0 Original</v>
      </c>
      <c r="D2013" s="5" t="s">
        <v>4473</v>
      </c>
      <c r="E2013" s="3">
        <v>800</v>
      </c>
      <c r="F2013" t="s">
        <v>1575</v>
      </c>
      <c r="G2013" t="s">
        <v>869</v>
      </c>
      <c r="H2013" s="9">
        <v>4.99</v>
      </c>
      <c r="I2013" s="3">
        <v>1</v>
      </c>
      <c r="J2013" s="5" t="s">
        <v>68</v>
      </c>
      <c r="K2013" s="15">
        <v>42002.577106481483</v>
      </c>
      <c r="L2013" s="20">
        <f t="shared" si="93"/>
        <v>42002</v>
      </c>
      <c r="M2013" t="str">
        <f t="shared" si="94"/>
        <v>12-2014</v>
      </c>
      <c r="N2013">
        <f t="shared" si="95"/>
        <v>4.99</v>
      </c>
    </row>
    <row r="2014" spans="3:14" x14ac:dyDescent="0.25">
      <c r="C2014" t="str">
        <f>IF(COUNTBLANK(E2014:K2014) = 7,"",IF(AND(NOT(ISBLANK(E2014)),COUNTBLANK(E2014:K2014) = 6),"3 Delete",IF(ISBLANK(E2014),"2 Add",IF(SHA1Range(E2014:K2014) = "f56e54b45b3fef84d5736297fa6da7b95cdd90ee","0 Original","1 Modify"))))</f>
        <v>0 Original</v>
      </c>
      <c r="D2014" s="5" t="s">
        <v>4474</v>
      </c>
      <c r="E2014" s="3">
        <v>372</v>
      </c>
      <c r="F2014" t="s">
        <v>1576</v>
      </c>
      <c r="G2014" t="s">
        <v>813</v>
      </c>
      <c r="H2014" s="9">
        <v>5.99</v>
      </c>
      <c r="I2014" s="3">
        <v>1</v>
      </c>
      <c r="J2014" s="5" t="s">
        <v>68</v>
      </c>
      <c r="K2014" s="15">
        <v>42002.754155092596</v>
      </c>
      <c r="L2014" s="20">
        <f t="shared" si="93"/>
        <v>42002</v>
      </c>
      <c r="M2014" t="str">
        <f t="shared" si="94"/>
        <v>12-2014</v>
      </c>
      <c r="N2014">
        <f t="shared" si="95"/>
        <v>5.99</v>
      </c>
    </row>
    <row r="2015" spans="3:14" x14ac:dyDescent="0.25">
      <c r="C2015" t="str">
        <f>IF(COUNTBLANK(E2015:K2015) = 7,"",IF(AND(NOT(ISBLANK(E2015)),COUNTBLANK(E2015:K2015) = 6),"3 Delete",IF(ISBLANK(E2015),"2 Add",IF(SHA1Range(E2015:K2015) = "90ba1574ce17b3a289ba362e6d1f7d5b3156d541","0 Original","1 Modify"))))</f>
        <v>0 Original</v>
      </c>
      <c r="D2015" s="5" t="s">
        <v>4475</v>
      </c>
      <c r="E2015" s="3">
        <v>373</v>
      </c>
      <c r="F2015" t="s">
        <v>1576</v>
      </c>
      <c r="G2015" t="s">
        <v>585</v>
      </c>
      <c r="H2015" s="9">
        <v>9.99</v>
      </c>
      <c r="I2015" s="3">
        <v>2</v>
      </c>
      <c r="J2015" s="5" t="s">
        <v>68</v>
      </c>
      <c r="K2015" s="15">
        <v>42002.754155092596</v>
      </c>
      <c r="L2015" s="20">
        <f t="shared" si="93"/>
        <v>42002</v>
      </c>
      <c r="M2015" t="str">
        <f t="shared" si="94"/>
        <v>12-2014</v>
      </c>
      <c r="N2015">
        <f t="shared" si="95"/>
        <v>19.98</v>
      </c>
    </row>
    <row r="2016" spans="3:14" x14ac:dyDescent="0.25">
      <c r="C2016" t="str">
        <f>IF(COUNTBLANK(E2016:K2016) = 7,"",IF(AND(NOT(ISBLANK(E2016)),COUNTBLANK(E2016:K2016) = 6),"3 Delete",IF(ISBLANK(E2016),"2 Add",IF(SHA1Range(E2016:K2016) = "a9d411fe091e94620fc53cc05c2606ff09a050cb","0 Original","1 Modify"))))</f>
        <v>0 Original</v>
      </c>
      <c r="D2016" s="5" t="s">
        <v>4476</v>
      </c>
      <c r="E2016" s="3">
        <v>2173</v>
      </c>
      <c r="F2016" t="s">
        <v>1577</v>
      </c>
      <c r="G2016" t="s">
        <v>570</v>
      </c>
      <c r="H2016" s="9">
        <v>6.99</v>
      </c>
      <c r="I2016" s="3">
        <v>1</v>
      </c>
      <c r="J2016" s="5" t="s">
        <v>68</v>
      </c>
      <c r="K2016" s="15">
        <v>42002.946944444448</v>
      </c>
      <c r="L2016" s="20">
        <f t="shared" si="93"/>
        <v>42002</v>
      </c>
      <c r="M2016" t="str">
        <f t="shared" si="94"/>
        <v>12-2014</v>
      </c>
      <c r="N2016">
        <f t="shared" si="95"/>
        <v>6.99</v>
      </c>
    </row>
    <row r="2017" spans="3:14" x14ac:dyDescent="0.25">
      <c r="C2017" t="str">
        <f>IF(COUNTBLANK(E2017:K2017) = 7,"",IF(AND(NOT(ISBLANK(E2017)),COUNTBLANK(E2017:K2017) = 6),"3 Delete",IF(ISBLANK(E2017),"2 Add",IF(SHA1Range(E2017:K2017) = "0e029ee50dc93826e660bea7ca626bef6777633e","0 Original","1 Modify"))))</f>
        <v>0 Original</v>
      </c>
      <c r="D2017" s="5" t="s">
        <v>4477</v>
      </c>
      <c r="E2017" s="3">
        <v>2174</v>
      </c>
      <c r="F2017" t="s">
        <v>1577</v>
      </c>
      <c r="G2017" t="s">
        <v>771</v>
      </c>
      <c r="H2017" s="9">
        <v>9.99</v>
      </c>
      <c r="I2017" s="3">
        <v>1</v>
      </c>
      <c r="J2017" s="5" t="s">
        <v>68</v>
      </c>
      <c r="K2017" s="15">
        <v>42002.946944444448</v>
      </c>
      <c r="L2017" s="20">
        <f t="shared" si="93"/>
        <v>42002</v>
      </c>
      <c r="M2017" t="str">
        <f t="shared" si="94"/>
        <v>12-2014</v>
      </c>
      <c r="N2017">
        <f t="shared" si="95"/>
        <v>9.99</v>
      </c>
    </row>
    <row r="2018" spans="3:14" x14ac:dyDescent="0.25">
      <c r="C2018" t="str">
        <f>IF(COUNTBLANK(E2018:K2018) = 7,"",IF(AND(NOT(ISBLANK(E2018)),COUNTBLANK(E2018:K2018) = 6),"3 Delete",IF(ISBLANK(E2018),"2 Add",IF(SHA1Range(E2018:K2018) = "f2a909e166ff9c92337da862497f62b0b0a1f9cc","0 Original","1 Modify"))))</f>
        <v>0 Original</v>
      </c>
      <c r="D2018" s="5" t="s">
        <v>4478</v>
      </c>
      <c r="E2018" s="3">
        <v>2175</v>
      </c>
      <c r="F2018" t="s">
        <v>1577</v>
      </c>
      <c r="G2018" t="s">
        <v>704</v>
      </c>
      <c r="H2018" s="9">
        <v>4.99</v>
      </c>
      <c r="I2018" s="3">
        <v>2</v>
      </c>
      <c r="J2018" s="5" t="s">
        <v>68</v>
      </c>
      <c r="K2018" s="15">
        <v>42002.946944444448</v>
      </c>
      <c r="L2018" s="20">
        <f t="shared" si="93"/>
        <v>42002</v>
      </c>
      <c r="M2018" t="str">
        <f t="shared" si="94"/>
        <v>12-2014</v>
      </c>
      <c r="N2018">
        <f t="shared" si="95"/>
        <v>9.98</v>
      </c>
    </row>
    <row r="2019" spans="3:14" x14ac:dyDescent="0.25">
      <c r="C2019" t="str">
        <f>IF(COUNTBLANK(E2019:K2019) = 7,"",IF(AND(NOT(ISBLANK(E2019)),COUNTBLANK(E2019:K2019) = 6),"3 Delete",IF(ISBLANK(E2019),"2 Add",IF(SHA1Range(E2019:K2019) = "7a42adfc440adde8fc1626ac242c5e68657f941a","0 Original","1 Modify"))))</f>
        <v>0 Original</v>
      </c>
      <c r="D2019" s="5" t="s">
        <v>4153</v>
      </c>
      <c r="E2019" s="3">
        <v>3141</v>
      </c>
      <c r="F2019" t="s">
        <v>1578</v>
      </c>
      <c r="G2019" t="s">
        <v>948</v>
      </c>
      <c r="H2019" s="9">
        <v>4.99</v>
      </c>
      <c r="I2019" s="3">
        <v>1</v>
      </c>
      <c r="J2019" s="5" t="s">
        <v>68</v>
      </c>
      <c r="K2019" s="15">
        <v>42003.93677083333</v>
      </c>
      <c r="L2019" s="20">
        <f t="shared" si="93"/>
        <v>42003</v>
      </c>
      <c r="M2019" t="str">
        <f t="shared" si="94"/>
        <v>12-2014</v>
      </c>
      <c r="N2019">
        <f t="shared" si="95"/>
        <v>4.99</v>
      </c>
    </row>
    <row r="2020" spans="3:14" x14ac:dyDescent="0.25">
      <c r="C2020" t="str">
        <f>IF(COUNTBLANK(E2020:K2020) = 7,"",IF(AND(NOT(ISBLANK(E2020)),COUNTBLANK(E2020:K2020) = 6),"3 Delete",IF(ISBLANK(E2020),"2 Add",IF(SHA1Range(E2020:K2020) = "4a7cfb95fcd5bacaca2a93175a2fc01995a9b759","0 Original","1 Modify"))))</f>
        <v>0 Original</v>
      </c>
      <c r="D2020" s="5" t="s">
        <v>4479</v>
      </c>
      <c r="E2020" s="3">
        <v>3142</v>
      </c>
      <c r="F2020" t="s">
        <v>1578</v>
      </c>
      <c r="G2020" t="s">
        <v>642</v>
      </c>
      <c r="H2020" s="9">
        <v>9.99</v>
      </c>
      <c r="I2020" s="3">
        <v>2</v>
      </c>
      <c r="J2020" s="5" t="s">
        <v>68</v>
      </c>
      <c r="K2020" s="15">
        <v>42003.93677083333</v>
      </c>
      <c r="L2020" s="20">
        <f t="shared" si="93"/>
        <v>42003</v>
      </c>
      <c r="M2020" t="str">
        <f t="shared" si="94"/>
        <v>12-2014</v>
      </c>
      <c r="N2020">
        <f t="shared" si="95"/>
        <v>19.98</v>
      </c>
    </row>
    <row r="2021" spans="3:14" x14ac:dyDescent="0.25">
      <c r="C2021" t="str">
        <f>IF(COUNTBLANK(E2021:K2021) = 7,"",IF(AND(NOT(ISBLANK(E2021)),COUNTBLANK(E2021:K2021) = 6),"3 Delete",IF(ISBLANK(E2021),"2 Add",IF(SHA1Range(E2021:K2021) = "c0f8edf02d6c693a061c0ef2d333c6f787f3fe9f","0 Original","1 Modify"))))</f>
        <v>0 Original</v>
      </c>
      <c r="D2021" s="5" t="s">
        <v>4480</v>
      </c>
      <c r="E2021" s="3">
        <v>3143</v>
      </c>
      <c r="F2021" t="s">
        <v>1578</v>
      </c>
      <c r="G2021" t="s">
        <v>642</v>
      </c>
      <c r="H2021" s="9">
        <v>9.99</v>
      </c>
      <c r="I2021" s="3">
        <v>2</v>
      </c>
      <c r="J2021" s="5" t="s">
        <v>68</v>
      </c>
      <c r="K2021" s="15">
        <v>42003.93677083333</v>
      </c>
      <c r="L2021" s="20">
        <f t="shared" si="93"/>
        <v>42003</v>
      </c>
      <c r="M2021" t="str">
        <f t="shared" si="94"/>
        <v>12-2014</v>
      </c>
      <c r="N2021">
        <f t="shared" si="95"/>
        <v>19.98</v>
      </c>
    </row>
    <row r="2022" spans="3:14" x14ac:dyDescent="0.25">
      <c r="C2022" t="str">
        <f>IF(COUNTBLANK(E2022:K2022) = 7,"",IF(AND(NOT(ISBLANK(E2022)),COUNTBLANK(E2022:K2022) = 6),"3 Delete",IF(ISBLANK(E2022),"2 Add",IF(SHA1Range(E2022:K2022) = "a7c1a44ccdb75d9ce33f682704c4d275fe1ae3a5","0 Original","1 Modify"))))</f>
        <v>0 Original</v>
      </c>
      <c r="D2022" s="5" t="s">
        <v>4481</v>
      </c>
      <c r="E2022" s="3">
        <v>3144</v>
      </c>
      <c r="F2022" t="s">
        <v>1578</v>
      </c>
      <c r="G2022" t="s">
        <v>400</v>
      </c>
      <c r="H2022" s="9">
        <v>4.99</v>
      </c>
      <c r="I2022" s="3">
        <v>2</v>
      </c>
      <c r="J2022" s="5" t="s">
        <v>68</v>
      </c>
      <c r="K2022" s="15">
        <v>42003.93677083333</v>
      </c>
      <c r="L2022" s="20">
        <f t="shared" si="93"/>
        <v>42003</v>
      </c>
      <c r="M2022" t="str">
        <f t="shared" si="94"/>
        <v>12-2014</v>
      </c>
      <c r="N2022">
        <f t="shared" si="95"/>
        <v>9.98</v>
      </c>
    </row>
    <row r="2023" spans="3:14" x14ac:dyDescent="0.25">
      <c r="C2023" t="str">
        <f>IF(COUNTBLANK(E2023:K2023) = 7,"",IF(AND(NOT(ISBLANK(E2023)),COUNTBLANK(E2023:K2023) = 6),"3 Delete",IF(ISBLANK(E2023),"2 Add",IF(SHA1Range(E2023:K2023) = "18218361808b1d585bc9266d76d571783acf3ca7","0 Original","1 Modify"))))</f>
        <v>0 Original</v>
      </c>
      <c r="D2023" s="5" t="s">
        <v>4482</v>
      </c>
      <c r="E2023" s="3">
        <v>3145</v>
      </c>
      <c r="F2023" t="s">
        <v>1578</v>
      </c>
      <c r="G2023" t="s">
        <v>514</v>
      </c>
      <c r="H2023" s="9">
        <v>6.99</v>
      </c>
      <c r="I2023" s="3">
        <v>1</v>
      </c>
      <c r="J2023" s="5" t="s">
        <v>68</v>
      </c>
      <c r="K2023" s="15">
        <v>42003.93677083333</v>
      </c>
      <c r="L2023" s="20">
        <f t="shared" si="93"/>
        <v>42003</v>
      </c>
      <c r="M2023" t="str">
        <f t="shared" si="94"/>
        <v>12-2014</v>
      </c>
      <c r="N2023">
        <f t="shared" si="95"/>
        <v>6.99</v>
      </c>
    </row>
    <row r="2024" spans="3:14" x14ac:dyDescent="0.25">
      <c r="C2024" t="str">
        <f>IF(COUNTBLANK(E2024:K2024) = 7,"",IF(AND(NOT(ISBLANK(E2024)),COUNTBLANK(E2024:K2024) = 6),"3 Delete",IF(ISBLANK(E2024),"2 Add",IF(SHA1Range(E2024:K2024) = "a68dae22f4966d3f4007a4611ee3eb5412a089b7","0 Original","1 Modify"))))</f>
        <v>0 Original</v>
      </c>
      <c r="D2024" s="5" t="s">
        <v>4483</v>
      </c>
      <c r="E2024" s="3">
        <v>2408</v>
      </c>
      <c r="F2024" t="s">
        <v>1579</v>
      </c>
      <c r="G2024" t="s">
        <v>552</v>
      </c>
      <c r="H2024" s="9">
        <v>6.99</v>
      </c>
      <c r="I2024" s="3">
        <v>1</v>
      </c>
      <c r="J2024" s="5" t="s">
        <v>68</v>
      </c>
      <c r="K2024" s="15">
        <v>42004.44767361111</v>
      </c>
      <c r="L2024" s="20">
        <f t="shared" si="93"/>
        <v>42004</v>
      </c>
      <c r="M2024" t="str">
        <f t="shared" si="94"/>
        <v>12-2014</v>
      </c>
      <c r="N2024">
        <f t="shared" si="95"/>
        <v>6.99</v>
      </c>
    </row>
    <row r="2025" spans="3:14" x14ac:dyDescent="0.25">
      <c r="C2025" t="str">
        <f>IF(COUNTBLANK(E2025:K2025) = 7,"",IF(AND(NOT(ISBLANK(E2025)),COUNTBLANK(E2025:K2025) = 6),"3 Delete",IF(ISBLANK(E2025),"2 Add",IF(SHA1Range(E2025:K2025) = "22c7864ebea77bdad082fd5291ef3ac2c7ba0167","0 Original","1 Modify"))))</f>
        <v>0 Original</v>
      </c>
      <c r="D2025" s="5" t="s">
        <v>4484</v>
      </c>
      <c r="E2025" s="3">
        <v>2409</v>
      </c>
      <c r="F2025" t="s">
        <v>1579</v>
      </c>
      <c r="G2025" t="s">
        <v>687</v>
      </c>
      <c r="H2025" s="9">
        <v>9.99</v>
      </c>
      <c r="I2025" s="3">
        <v>1</v>
      </c>
      <c r="J2025" s="5" t="s">
        <v>68</v>
      </c>
      <c r="K2025" s="15">
        <v>42004.44767361111</v>
      </c>
      <c r="L2025" s="20">
        <f t="shared" si="93"/>
        <v>42004</v>
      </c>
      <c r="M2025" t="str">
        <f t="shared" si="94"/>
        <v>12-2014</v>
      </c>
      <c r="N2025">
        <f t="shared" si="95"/>
        <v>9.99</v>
      </c>
    </row>
    <row r="2026" spans="3:14" x14ac:dyDescent="0.25">
      <c r="C2026" t="str">
        <f>IF(COUNTBLANK(E2026:K2026) = 7,"",IF(AND(NOT(ISBLANK(E2026)),COUNTBLANK(E2026:K2026) = 6),"3 Delete",IF(ISBLANK(E2026),"2 Add",IF(SHA1Range(E2026:K2026) = "2b54da0ed973995cf3b970fb0933cbabe801afc3","0 Original","1 Modify"))))</f>
        <v>0 Original</v>
      </c>
      <c r="D2026" s="5" t="s">
        <v>4485</v>
      </c>
      <c r="E2026" s="3">
        <v>2410</v>
      </c>
      <c r="F2026" t="s">
        <v>1579</v>
      </c>
      <c r="G2026" t="s">
        <v>687</v>
      </c>
      <c r="H2026" s="9">
        <v>9.99</v>
      </c>
      <c r="I2026" s="3">
        <v>1</v>
      </c>
      <c r="J2026" s="5" t="s">
        <v>68</v>
      </c>
      <c r="K2026" s="15">
        <v>42004.44767361111</v>
      </c>
      <c r="L2026" s="20">
        <f t="shared" si="93"/>
        <v>42004</v>
      </c>
      <c r="M2026" t="str">
        <f t="shared" si="94"/>
        <v>12-2014</v>
      </c>
      <c r="N2026">
        <f t="shared" si="95"/>
        <v>9.99</v>
      </c>
    </row>
    <row r="2027" spans="3:14" x14ac:dyDescent="0.25">
      <c r="C2027" t="str">
        <f>IF(COUNTBLANK(E2027:K2027) = 7,"",IF(AND(NOT(ISBLANK(E2027)),COUNTBLANK(E2027:K2027) = 6),"3 Delete",IF(ISBLANK(E2027),"2 Add",IF(SHA1Range(E2027:K2027) = "c62e6d8e4cc0ef79bfdf012b27c00c22cd998b98","0 Original","1 Modify"))))</f>
        <v>0 Original</v>
      </c>
      <c r="D2027" s="5" t="s">
        <v>4486</v>
      </c>
      <c r="E2027" s="3">
        <v>3579</v>
      </c>
      <c r="F2027" t="s">
        <v>1580</v>
      </c>
      <c r="G2027" t="s">
        <v>749</v>
      </c>
      <c r="H2027" s="9">
        <v>5.99</v>
      </c>
      <c r="I2027" s="3">
        <v>1</v>
      </c>
      <c r="J2027" s="5" t="s">
        <v>68</v>
      </c>
      <c r="K2027" s="15">
        <v>42004.668067129627</v>
      </c>
      <c r="L2027" s="20">
        <f t="shared" si="93"/>
        <v>42004</v>
      </c>
      <c r="M2027" t="str">
        <f t="shared" si="94"/>
        <v>12-2014</v>
      </c>
      <c r="N2027">
        <f t="shared" si="95"/>
        <v>5.99</v>
      </c>
    </row>
    <row r="2028" spans="3:14" x14ac:dyDescent="0.25">
      <c r="C2028" t="str">
        <f>IF(COUNTBLANK(E2028:K2028) = 7,"",IF(AND(NOT(ISBLANK(E2028)),COUNTBLANK(E2028:K2028) = 6),"3 Delete",IF(ISBLANK(E2028),"2 Add",IF(SHA1Range(E2028:K2028) = "0803f96808d17fe95087aa8d761b6a7e8af5c70f","0 Original","1 Modify"))))</f>
        <v>0 Original</v>
      </c>
      <c r="D2028" s="5" t="s">
        <v>4154</v>
      </c>
      <c r="E2028" s="3">
        <v>3580</v>
      </c>
      <c r="F2028" t="s">
        <v>1580</v>
      </c>
      <c r="G2028" t="s">
        <v>948</v>
      </c>
      <c r="H2028" s="9">
        <v>4.99</v>
      </c>
      <c r="I2028" s="3">
        <v>1</v>
      </c>
      <c r="J2028" s="5" t="s">
        <v>68</v>
      </c>
      <c r="K2028" s="15">
        <v>42004.668067129627</v>
      </c>
      <c r="L2028" s="20">
        <f t="shared" si="93"/>
        <v>42004</v>
      </c>
      <c r="M2028" t="str">
        <f t="shared" si="94"/>
        <v>12-2014</v>
      </c>
      <c r="N2028">
        <f t="shared" si="95"/>
        <v>4.99</v>
      </c>
    </row>
    <row r="2029" spans="3:14" x14ac:dyDescent="0.25">
      <c r="C2029" t="str">
        <f>IF(COUNTBLANK(E2029:K2029) = 7,"",IF(AND(NOT(ISBLANK(E2029)),COUNTBLANK(E2029:K2029) = 6),"3 Delete",IF(ISBLANK(E2029),"2 Add",IF(SHA1Range(E2029:K2029) = "c9a7e9f4bdd4114a2566b04f3ade2e11ec6a2152","0 Original","1 Modify"))))</f>
        <v>0 Original</v>
      </c>
      <c r="D2029" s="5" t="s">
        <v>4487</v>
      </c>
      <c r="E2029" s="3">
        <v>3581</v>
      </c>
      <c r="F2029" t="s">
        <v>1580</v>
      </c>
      <c r="G2029" t="s">
        <v>552</v>
      </c>
      <c r="H2029" s="9">
        <v>6.99</v>
      </c>
      <c r="I2029" s="3">
        <v>2</v>
      </c>
      <c r="J2029" s="5" t="s">
        <v>68</v>
      </c>
      <c r="K2029" s="15">
        <v>42004.668067129627</v>
      </c>
      <c r="L2029" s="20">
        <f t="shared" si="93"/>
        <v>42004</v>
      </c>
      <c r="M2029" t="str">
        <f t="shared" si="94"/>
        <v>12-2014</v>
      </c>
      <c r="N2029">
        <f t="shared" si="95"/>
        <v>13.98</v>
      </c>
    </row>
    <row r="2030" spans="3:14" x14ac:dyDescent="0.25">
      <c r="C2030" t="str">
        <f>IF(COUNTBLANK(E2030:K2030) = 7,"",IF(AND(NOT(ISBLANK(E2030)),COUNTBLANK(E2030:K2030) = 6),"3 Delete",IF(ISBLANK(E2030),"2 Add",IF(SHA1Range(E2030:K2030) = "df2ada711940e17893f27a80acc1226c407c119a","0 Original","1 Modify"))))</f>
        <v>0 Original</v>
      </c>
      <c r="D2030" s="5" t="s">
        <v>4488</v>
      </c>
      <c r="E2030" s="3">
        <v>3582</v>
      </c>
      <c r="F2030" t="s">
        <v>1580</v>
      </c>
      <c r="G2030" t="s">
        <v>687</v>
      </c>
      <c r="H2030" s="9">
        <v>9.99</v>
      </c>
      <c r="I2030" s="3">
        <v>1</v>
      </c>
      <c r="J2030" s="5" t="s">
        <v>68</v>
      </c>
      <c r="K2030" s="15">
        <v>42004.668067129627</v>
      </c>
      <c r="L2030" s="20">
        <f t="shared" si="93"/>
        <v>42004</v>
      </c>
      <c r="M2030" t="str">
        <f t="shared" si="94"/>
        <v>12-2014</v>
      </c>
      <c r="N2030">
        <f t="shared" si="95"/>
        <v>9.99</v>
      </c>
    </row>
    <row r="2031" spans="3:14" x14ac:dyDescent="0.25">
      <c r="C2031" t="str">
        <f>IF(COUNTBLANK(E2031:K2031) = 7,"",IF(AND(NOT(ISBLANK(E2031)),COUNTBLANK(E2031:K2031) = 6),"3 Delete",IF(ISBLANK(E2031),"2 Add",IF(SHA1Range(E2031:K2031) = "90962bc7fbbf9361dd51490b4575652894797c8a","0 Original","1 Modify"))))</f>
        <v>0 Original</v>
      </c>
      <c r="D2031" s="5" t="s">
        <v>4489</v>
      </c>
      <c r="E2031" s="3">
        <v>3583</v>
      </c>
      <c r="F2031" t="s">
        <v>1580</v>
      </c>
      <c r="G2031" t="s">
        <v>579</v>
      </c>
      <c r="H2031" s="9">
        <v>9.99</v>
      </c>
      <c r="I2031" s="3">
        <v>1</v>
      </c>
      <c r="J2031" s="5" t="s">
        <v>68</v>
      </c>
      <c r="K2031" s="15">
        <v>42004.668067129627</v>
      </c>
      <c r="L2031" s="20">
        <f t="shared" si="93"/>
        <v>42004</v>
      </c>
      <c r="M2031" t="str">
        <f t="shared" si="94"/>
        <v>12-2014</v>
      </c>
      <c r="N2031">
        <f t="shared" si="95"/>
        <v>9.99</v>
      </c>
    </row>
    <row r="2032" spans="3:14" x14ac:dyDescent="0.25">
      <c r="C2032" t="str">
        <f>IF(COUNTBLANK(E2032:K2032) = 7,"",IF(AND(NOT(ISBLANK(E2032)),COUNTBLANK(E2032:K2032) = 6),"3 Delete",IF(ISBLANK(E2032),"2 Add",IF(SHA1Range(E2032:K2032) = "0ef529050a0444524533c96aa2e3403397914997","0 Original","1 Modify"))))</f>
        <v>0 Original</v>
      </c>
      <c r="D2032" s="5" t="s">
        <v>4490</v>
      </c>
      <c r="E2032" s="3">
        <v>2151</v>
      </c>
      <c r="F2032" t="s">
        <v>1581</v>
      </c>
      <c r="G2032" t="s">
        <v>697</v>
      </c>
      <c r="H2032" s="9">
        <v>5.99</v>
      </c>
      <c r="I2032" s="3">
        <v>2</v>
      </c>
      <c r="J2032" s="5" t="s">
        <v>68</v>
      </c>
      <c r="K2032" s="15">
        <v>42004.858460648145</v>
      </c>
      <c r="L2032" s="20">
        <f t="shared" si="93"/>
        <v>42004</v>
      </c>
      <c r="M2032" t="str">
        <f t="shared" si="94"/>
        <v>12-2014</v>
      </c>
      <c r="N2032">
        <f t="shared" si="95"/>
        <v>11.98</v>
      </c>
    </row>
    <row r="2033" spans="3:14" x14ac:dyDescent="0.25">
      <c r="C2033" t="str">
        <f>IF(COUNTBLANK(E2033:K2033) = 7,"",IF(AND(NOT(ISBLANK(E2033)),COUNTBLANK(E2033:K2033) = 6),"3 Delete",IF(ISBLANK(E2033),"2 Add",IF(SHA1Range(E2033:K2033) = "6b16b9f22e6216ded3d39974ef2e78b5f9a2ed8b","0 Original","1 Modify"))))</f>
        <v>0 Original</v>
      </c>
      <c r="D2033" s="5" t="s">
        <v>4491</v>
      </c>
      <c r="E2033" s="3">
        <v>2152</v>
      </c>
      <c r="F2033" t="s">
        <v>1581</v>
      </c>
      <c r="G2033" t="s">
        <v>771</v>
      </c>
      <c r="H2033" s="9">
        <v>9.99</v>
      </c>
      <c r="I2033" s="3">
        <v>2</v>
      </c>
      <c r="J2033" s="5" t="s">
        <v>68</v>
      </c>
      <c r="K2033" s="15">
        <v>42004.858460648145</v>
      </c>
      <c r="L2033" s="20">
        <f t="shared" si="93"/>
        <v>42004</v>
      </c>
      <c r="M2033" t="str">
        <f t="shared" si="94"/>
        <v>12-2014</v>
      </c>
      <c r="N2033">
        <f t="shared" si="95"/>
        <v>19.98</v>
      </c>
    </row>
    <row r="2034" spans="3:14" x14ac:dyDescent="0.25">
      <c r="C2034" t="str">
        <f>IF(COUNTBLANK(E2034:K2034) = 7,"",IF(AND(NOT(ISBLANK(E2034)),COUNTBLANK(E2034:K2034) = 6),"3 Delete",IF(ISBLANK(E2034),"2 Add",IF(SHA1Range(E2034:K2034) = "b858cb282617fb0956d960215c8e84d1ccf909c6","0 Original","1 Modify"))))</f>
        <v/>
      </c>
      <c r="L2034" s="20" t="e">
        <f t="shared" si="93"/>
        <v>#VALUE!</v>
      </c>
      <c r="M2034" t="e">
        <f t="shared" si="94"/>
        <v>#VALUE!</v>
      </c>
      <c r="N2034">
        <f t="shared" si="95"/>
        <v>0</v>
      </c>
    </row>
    <row r="2035" spans="3:14" x14ac:dyDescent="0.25">
      <c r="L2035" s="20" t="e">
        <f t="shared" si="93"/>
        <v>#VALUE!</v>
      </c>
      <c r="M2035" t="e">
        <f t="shared" si="94"/>
        <v>#VALUE!</v>
      </c>
      <c r="N2035">
        <f t="shared" si="95"/>
        <v>0</v>
      </c>
    </row>
    <row r="2036" spans="3:14" x14ac:dyDescent="0.25">
      <c r="L2036" s="20" t="e">
        <f t="shared" si="93"/>
        <v>#VALUE!</v>
      </c>
      <c r="M2036" t="e">
        <f t="shared" si="94"/>
        <v>#VALUE!</v>
      </c>
      <c r="N2036">
        <f t="shared" si="95"/>
        <v>0</v>
      </c>
    </row>
    <row r="2037" spans="3:14" x14ac:dyDescent="0.25">
      <c r="L2037" s="20" t="e">
        <f t="shared" si="93"/>
        <v>#VALUE!</v>
      </c>
      <c r="M2037" t="e">
        <f t="shared" si="94"/>
        <v>#VALUE!</v>
      </c>
      <c r="N2037">
        <f t="shared" si="95"/>
        <v>0</v>
      </c>
    </row>
    <row r="2038" spans="3:14" x14ac:dyDescent="0.25">
      <c r="L2038" s="20" t="e">
        <f t="shared" si="93"/>
        <v>#VALUE!</v>
      </c>
      <c r="M2038" t="e">
        <f t="shared" si="94"/>
        <v>#VALUE!</v>
      </c>
      <c r="N2038">
        <f t="shared" si="95"/>
        <v>0</v>
      </c>
    </row>
    <row r="2039" spans="3:14" x14ac:dyDescent="0.25">
      <c r="L2039" s="20" t="e">
        <f t="shared" si="93"/>
        <v>#VALUE!</v>
      </c>
      <c r="M2039" t="e">
        <f t="shared" si="94"/>
        <v>#VALUE!</v>
      </c>
      <c r="N2039">
        <f t="shared" si="95"/>
        <v>0</v>
      </c>
    </row>
    <row r="2040" spans="3:14" x14ac:dyDescent="0.25">
      <c r="L2040" s="20" t="e">
        <f t="shared" si="93"/>
        <v>#VALUE!</v>
      </c>
      <c r="M2040" t="e">
        <f t="shared" si="94"/>
        <v>#VALUE!</v>
      </c>
      <c r="N2040">
        <f t="shared" si="95"/>
        <v>0</v>
      </c>
    </row>
    <row r="2041" spans="3:14" x14ac:dyDescent="0.25">
      <c r="L2041" s="20" t="e">
        <f t="shared" si="93"/>
        <v>#VALUE!</v>
      </c>
      <c r="M2041" t="e">
        <f t="shared" si="94"/>
        <v>#VALUE!</v>
      </c>
      <c r="N2041">
        <f t="shared" si="95"/>
        <v>0</v>
      </c>
    </row>
    <row r="2042" spans="3:14" x14ac:dyDescent="0.25">
      <c r="L2042" s="20" t="e">
        <f t="shared" si="93"/>
        <v>#VALUE!</v>
      </c>
      <c r="M2042" t="e">
        <f t="shared" si="94"/>
        <v>#VALUE!</v>
      </c>
      <c r="N2042">
        <f t="shared" si="95"/>
        <v>0</v>
      </c>
    </row>
    <row r="2043" spans="3:14" x14ac:dyDescent="0.25">
      <c r="L2043" s="20" t="e">
        <f t="shared" si="93"/>
        <v>#VALUE!</v>
      </c>
      <c r="M2043" t="e">
        <f t="shared" si="94"/>
        <v>#VALUE!</v>
      </c>
      <c r="N2043">
        <f t="shared" si="95"/>
        <v>0</v>
      </c>
    </row>
    <row r="2044" spans="3:14" x14ac:dyDescent="0.25">
      <c r="L2044" s="20" t="e">
        <f t="shared" si="93"/>
        <v>#VALUE!</v>
      </c>
      <c r="M2044" t="e">
        <f t="shared" si="94"/>
        <v>#VALUE!</v>
      </c>
      <c r="N2044">
        <f t="shared" si="95"/>
        <v>0</v>
      </c>
    </row>
    <row r="2045" spans="3:14" x14ac:dyDescent="0.25">
      <c r="L2045" s="20" t="e">
        <f t="shared" si="93"/>
        <v>#VALUE!</v>
      </c>
      <c r="M2045" t="e">
        <f t="shared" si="94"/>
        <v>#VALUE!</v>
      </c>
      <c r="N2045">
        <f t="shared" si="95"/>
        <v>0</v>
      </c>
    </row>
    <row r="2046" spans="3:14" x14ac:dyDescent="0.25">
      <c r="L2046" s="20" t="e">
        <f t="shared" si="93"/>
        <v>#VALUE!</v>
      </c>
      <c r="M2046" t="e">
        <f t="shared" si="94"/>
        <v>#VALUE!</v>
      </c>
      <c r="N2046">
        <f t="shared" si="95"/>
        <v>0</v>
      </c>
    </row>
    <row r="2047" spans="3:14" x14ac:dyDescent="0.25">
      <c r="L2047" s="20" t="e">
        <f t="shared" si="93"/>
        <v>#VALUE!</v>
      </c>
      <c r="M2047" t="e">
        <f t="shared" si="94"/>
        <v>#VALUE!</v>
      </c>
      <c r="N2047">
        <f t="shared" si="95"/>
        <v>0</v>
      </c>
    </row>
    <row r="2048" spans="3:14" x14ac:dyDescent="0.25">
      <c r="L2048" s="20" t="e">
        <f t="shared" si="93"/>
        <v>#VALUE!</v>
      </c>
      <c r="M2048" t="e">
        <f t="shared" si="94"/>
        <v>#VALUE!</v>
      </c>
      <c r="N2048">
        <f t="shared" si="95"/>
        <v>0</v>
      </c>
    </row>
    <row r="2049" spans="12:14" x14ac:dyDescent="0.25">
      <c r="L2049" s="20" t="e">
        <f t="shared" si="93"/>
        <v>#VALUE!</v>
      </c>
      <c r="M2049" t="e">
        <f t="shared" si="94"/>
        <v>#VALUE!</v>
      </c>
      <c r="N2049">
        <f t="shared" si="95"/>
        <v>0</v>
      </c>
    </row>
    <row r="2050" spans="12:14" x14ac:dyDescent="0.25">
      <c r="L2050" s="20" t="e">
        <f t="shared" si="93"/>
        <v>#VALUE!</v>
      </c>
      <c r="M2050" t="e">
        <f t="shared" si="94"/>
        <v>#VALUE!</v>
      </c>
      <c r="N2050">
        <f t="shared" si="95"/>
        <v>0</v>
      </c>
    </row>
    <row r="2051" spans="12:14" x14ac:dyDescent="0.25">
      <c r="L2051" s="20" t="e">
        <f t="shared" ref="L2051:L2114" si="96">DATEVALUE(LEFT(F2051,10))</f>
        <v>#VALUE!</v>
      </c>
      <c r="M2051" t="e">
        <f t="shared" ref="M2051:M2114" si="97">TEXT(L2051,"mm-yyyy")</f>
        <v>#VALUE!</v>
      </c>
      <c r="N2051">
        <f t="shared" ref="N2051:N2114" si="98">H2051*I2051</f>
        <v>0</v>
      </c>
    </row>
    <row r="2052" spans="12:14" x14ac:dyDescent="0.25">
      <c r="L2052" s="20" t="e">
        <f t="shared" si="96"/>
        <v>#VALUE!</v>
      </c>
      <c r="M2052" t="e">
        <f t="shared" si="97"/>
        <v>#VALUE!</v>
      </c>
      <c r="N2052">
        <f t="shared" si="98"/>
        <v>0</v>
      </c>
    </row>
    <row r="2053" spans="12:14" x14ac:dyDescent="0.25">
      <c r="L2053" s="20" t="e">
        <f t="shared" si="96"/>
        <v>#VALUE!</v>
      </c>
      <c r="M2053" t="e">
        <f t="shared" si="97"/>
        <v>#VALUE!</v>
      </c>
      <c r="N2053">
        <f t="shared" si="98"/>
        <v>0</v>
      </c>
    </row>
    <row r="2054" spans="12:14" x14ac:dyDescent="0.25">
      <c r="L2054" s="20" t="e">
        <f t="shared" si="96"/>
        <v>#VALUE!</v>
      </c>
      <c r="M2054" t="e">
        <f t="shared" si="97"/>
        <v>#VALUE!</v>
      </c>
      <c r="N2054">
        <f t="shared" si="98"/>
        <v>0</v>
      </c>
    </row>
    <row r="2055" spans="12:14" x14ac:dyDescent="0.25">
      <c r="L2055" s="20" t="e">
        <f t="shared" si="96"/>
        <v>#VALUE!</v>
      </c>
      <c r="M2055" t="e">
        <f t="shared" si="97"/>
        <v>#VALUE!</v>
      </c>
      <c r="N2055">
        <f t="shared" si="98"/>
        <v>0</v>
      </c>
    </row>
    <row r="2056" spans="12:14" x14ac:dyDescent="0.25">
      <c r="L2056" s="20" t="e">
        <f t="shared" si="96"/>
        <v>#VALUE!</v>
      </c>
      <c r="M2056" t="e">
        <f t="shared" si="97"/>
        <v>#VALUE!</v>
      </c>
      <c r="N2056">
        <f t="shared" si="98"/>
        <v>0</v>
      </c>
    </row>
    <row r="2057" spans="12:14" x14ac:dyDescent="0.25">
      <c r="L2057" s="20" t="e">
        <f t="shared" si="96"/>
        <v>#VALUE!</v>
      </c>
      <c r="M2057" t="e">
        <f t="shared" si="97"/>
        <v>#VALUE!</v>
      </c>
      <c r="N2057">
        <f t="shared" si="98"/>
        <v>0</v>
      </c>
    </row>
    <row r="2058" spans="12:14" x14ac:dyDescent="0.25">
      <c r="L2058" s="20" t="e">
        <f t="shared" si="96"/>
        <v>#VALUE!</v>
      </c>
      <c r="M2058" t="e">
        <f t="shared" si="97"/>
        <v>#VALUE!</v>
      </c>
      <c r="N2058">
        <f t="shared" si="98"/>
        <v>0</v>
      </c>
    </row>
    <row r="2059" spans="12:14" x14ac:dyDescent="0.25">
      <c r="L2059" s="20" t="e">
        <f t="shared" si="96"/>
        <v>#VALUE!</v>
      </c>
      <c r="M2059" t="e">
        <f t="shared" si="97"/>
        <v>#VALUE!</v>
      </c>
      <c r="N2059">
        <f t="shared" si="98"/>
        <v>0</v>
      </c>
    </row>
    <row r="2060" spans="12:14" x14ac:dyDescent="0.25">
      <c r="L2060" s="20" t="e">
        <f t="shared" si="96"/>
        <v>#VALUE!</v>
      </c>
      <c r="M2060" t="e">
        <f t="shared" si="97"/>
        <v>#VALUE!</v>
      </c>
      <c r="N2060">
        <f t="shared" si="98"/>
        <v>0</v>
      </c>
    </row>
    <row r="2061" spans="12:14" x14ac:dyDescent="0.25">
      <c r="L2061" s="20" t="e">
        <f t="shared" si="96"/>
        <v>#VALUE!</v>
      </c>
      <c r="M2061" t="e">
        <f t="shared" si="97"/>
        <v>#VALUE!</v>
      </c>
      <c r="N2061">
        <f t="shared" si="98"/>
        <v>0</v>
      </c>
    </row>
    <row r="2062" spans="12:14" x14ac:dyDescent="0.25">
      <c r="L2062" s="20" t="e">
        <f t="shared" si="96"/>
        <v>#VALUE!</v>
      </c>
      <c r="M2062" t="e">
        <f t="shared" si="97"/>
        <v>#VALUE!</v>
      </c>
      <c r="N2062">
        <f t="shared" si="98"/>
        <v>0</v>
      </c>
    </row>
    <row r="2063" spans="12:14" x14ac:dyDescent="0.25">
      <c r="L2063" s="20" t="e">
        <f t="shared" si="96"/>
        <v>#VALUE!</v>
      </c>
      <c r="M2063" t="e">
        <f t="shared" si="97"/>
        <v>#VALUE!</v>
      </c>
      <c r="N2063">
        <f t="shared" si="98"/>
        <v>0</v>
      </c>
    </row>
    <row r="2064" spans="12:14" x14ac:dyDescent="0.25">
      <c r="L2064" s="20" t="e">
        <f t="shared" si="96"/>
        <v>#VALUE!</v>
      </c>
      <c r="M2064" t="e">
        <f t="shared" si="97"/>
        <v>#VALUE!</v>
      </c>
      <c r="N2064">
        <f t="shared" si="98"/>
        <v>0</v>
      </c>
    </row>
    <row r="2065" spans="12:14" x14ac:dyDescent="0.25">
      <c r="L2065" s="20" t="e">
        <f t="shared" si="96"/>
        <v>#VALUE!</v>
      </c>
      <c r="M2065" t="e">
        <f t="shared" si="97"/>
        <v>#VALUE!</v>
      </c>
      <c r="N2065">
        <f t="shared" si="98"/>
        <v>0</v>
      </c>
    </row>
    <row r="2066" spans="12:14" x14ac:dyDescent="0.25">
      <c r="L2066" s="20" t="e">
        <f t="shared" si="96"/>
        <v>#VALUE!</v>
      </c>
      <c r="M2066" t="e">
        <f t="shared" si="97"/>
        <v>#VALUE!</v>
      </c>
      <c r="N2066">
        <f t="shared" si="98"/>
        <v>0</v>
      </c>
    </row>
    <row r="2067" spans="12:14" x14ac:dyDescent="0.25">
      <c r="L2067" s="20" t="e">
        <f t="shared" si="96"/>
        <v>#VALUE!</v>
      </c>
      <c r="M2067" t="e">
        <f t="shared" si="97"/>
        <v>#VALUE!</v>
      </c>
      <c r="N2067">
        <f t="shared" si="98"/>
        <v>0</v>
      </c>
    </row>
    <row r="2068" spans="12:14" x14ac:dyDescent="0.25">
      <c r="L2068" s="20" t="e">
        <f t="shared" si="96"/>
        <v>#VALUE!</v>
      </c>
      <c r="M2068" t="e">
        <f t="shared" si="97"/>
        <v>#VALUE!</v>
      </c>
      <c r="N2068">
        <f t="shared" si="98"/>
        <v>0</v>
      </c>
    </row>
    <row r="2069" spans="12:14" x14ac:dyDescent="0.25">
      <c r="L2069" s="20" t="e">
        <f t="shared" si="96"/>
        <v>#VALUE!</v>
      </c>
      <c r="M2069" t="e">
        <f t="shared" si="97"/>
        <v>#VALUE!</v>
      </c>
      <c r="N2069">
        <f t="shared" si="98"/>
        <v>0</v>
      </c>
    </row>
    <row r="2070" spans="12:14" x14ac:dyDescent="0.25">
      <c r="L2070" s="20" t="e">
        <f t="shared" si="96"/>
        <v>#VALUE!</v>
      </c>
      <c r="M2070" t="e">
        <f t="shared" si="97"/>
        <v>#VALUE!</v>
      </c>
      <c r="N2070">
        <f t="shared" si="98"/>
        <v>0</v>
      </c>
    </row>
    <row r="2071" spans="12:14" x14ac:dyDescent="0.25">
      <c r="L2071" s="20" t="e">
        <f t="shared" si="96"/>
        <v>#VALUE!</v>
      </c>
      <c r="M2071" t="e">
        <f t="shared" si="97"/>
        <v>#VALUE!</v>
      </c>
      <c r="N2071">
        <f t="shared" si="98"/>
        <v>0</v>
      </c>
    </row>
    <row r="2072" spans="12:14" x14ac:dyDescent="0.25">
      <c r="L2072" s="20" t="e">
        <f t="shared" si="96"/>
        <v>#VALUE!</v>
      </c>
      <c r="M2072" t="e">
        <f t="shared" si="97"/>
        <v>#VALUE!</v>
      </c>
      <c r="N2072">
        <f t="shared" si="98"/>
        <v>0</v>
      </c>
    </row>
    <row r="2073" spans="12:14" x14ac:dyDescent="0.25">
      <c r="L2073" s="20" t="e">
        <f t="shared" si="96"/>
        <v>#VALUE!</v>
      </c>
      <c r="M2073" t="e">
        <f t="shared" si="97"/>
        <v>#VALUE!</v>
      </c>
      <c r="N2073">
        <f t="shared" si="98"/>
        <v>0</v>
      </c>
    </row>
    <row r="2074" spans="12:14" x14ac:dyDescent="0.25">
      <c r="L2074" s="20" t="e">
        <f t="shared" si="96"/>
        <v>#VALUE!</v>
      </c>
      <c r="M2074" t="e">
        <f t="shared" si="97"/>
        <v>#VALUE!</v>
      </c>
      <c r="N2074">
        <f t="shared" si="98"/>
        <v>0</v>
      </c>
    </row>
    <row r="2075" spans="12:14" x14ac:dyDescent="0.25">
      <c r="L2075" s="20" t="e">
        <f t="shared" si="96"/>
        <v>#VALUE!</v>
      </c>
      <c r="M2075" t="e">
        <f t="shared" si="97"/>
        <v>#VALUE!</v>
      </c>
      <c r="N2075">
        <f t="shared" si="98"/>
        <v>0</v>
      </c>
    </row>
    <row r="2076" spans="12:14" x14ac:dyDescent="0.25">
      <c r="L2076" s="20" t="e">
        <f t="shared" si="96"/>
        <v>#VALUE!</v>
      </c>
      <c r="M2076" t="e">
        <f t="shared" si="97"/>
        <v>#VALUE!</v>
      </c>
      <c r="N2076">
        <f t="shared" si="98"/>
        <v>0</v>
      </c>
    </row>
    <row r="2077" spans="12:14" x14ac:dyDescent="0.25">
      <c r="L2077" s="20" t="e">
        <f t="shared" si="96"/>
        <v>#VALUE!</v>
      </c>
      <c r="M2077" t="e">
        <f t="shared" si="97"/>
        <v>#VALUE!</v>
      </c>
      <c r="N2077">
        <f t="shared" si="98"/>
        <v>0</v>
      </c>
    </row>
    <row r="2078" spans="12:14" x14ac:dyDescent="0.25">
      <c r="L2078" s="20" t="e">
        <f t="shared" si="96"/>
        <v>#VALUE!</v>
      </c>
      <c r="M2078" t="e">
        <f t="shared" si="97"/>
        <v>#VALUE!</v>
      </c>
      <c r="N2078">
        <f t="shared" si="98"/>
        <v>0</v>
      </c>
    </row>
    <row r="2079" spans="12:14" x14ac:dyDescent="0.25">
      <c r="L2079" s="20" t="e">
        <f t="shared" si="96"/>
        <v>#VALUE!</v>
      </c>
      <c r="M2079" t="e">
        <f t="shared" si="97"/>
        <v>#VALUE!</v>
      </c>
      <c r="N2079">
        <f t="shared" si="98"/>
        <v>0</v>
      </c>
    </row>
    <row r="2080" spans="12:14" x14ac:dyDescent="0.25">
      <c r="L2080" s="20" t="e">
        <f t="shared" si="96"/>
        <v>#VALUE!</v>
      </c>
      <c r="M2080" t="e">
        <f t="shared" si="97"/>
        <v>#VALUE!</v>
      </c>
      <c r="N2080">
        <f t="shared" si="98"/>
        <v>0</v>
      </c>
    </row>
    <row r="2081" spans="12:14" x14ac:dyDescent="0.25">
      <c r="L2081" s="20" t="e">
        <f t="shared" si="96"/>
        <v>#VALUE!</v>
      </c>
      <c r="M2081" t="e">
        <f t="shared" si="97"/>
        <v>#VALUE!</v>
      </c>
      <c r="N2081">
        <f t="shared" si="98"/>
        <v>0</v>
      </c>
    </row>
    <row r="2082" spans="12:14" x14ac:dyDescent="0.25">
      <c r="L2082" s="20" t="e">
        <f t="shared" si="96"/>
        <v>#VALUE!</v>
      </c>
      <c r="M2082" t="e">
        <f t="shared" si="97"/>
        <v>#VALUE!</v>
      </c>
      <c r="N2082">
        <f t="shared" si="98"/>
        <v>0</v>
      </c>
    </row>
    <row r="2083" spans="12:14" x14ac:dyDescent="0.25">
      <c r="L2083" s="20" t="e">
        <f t="shared" si="96"/>
        <v>#VALUE!</v>
      </c>
      <c r="M2083" t="e">
        <f t="shared" si="97"/>
        <v>#VALUE!</v>
      </c>
      <c r="N2083">
        <f t="shared" si="98"/>
        <v>0</v>
      </c>
    </row>
    <row r="2084" spans="12:14" x14ac:dyDescent="0.25">
      <c r="L2084" s="20" t="e">
        <f t="shared" si="96"/>
        <v>#VALUE!</v>
      </c>
      <c r="M2084" t="e">
        <f t="shared" si="97"/>
        <v>#VALUE!</v>
      </c>
      <c r="N2084">
        <f t="shared" si="98"/>
        <v>0</v>
      </c>
    </row>
    <row r="2085" spans="12:14" x14ac:dyDescent="0.25">
      <c r="L2085" s="20" t="e">
        <f t="shared" si="96"/>
        <v>#VALUE!</v>
      </c>
      <c r="M2085" t="e">
        <f t="shared" si="97"/>
        <v>#VALUE!</v>
      </c>
      <c r="N2085">
        <f t="shared" si="98"/>
        <v>0</v>
      </c>
    </row>
    <row r="2086" spans="12:14" x14ac:dyDescent="0.25">
      <c r="L2086" s="20" t="e">
        <f t="shared" si="96"/>
        <v>#VALUE!</v>
      </c>
      <c r="M2086" t="e">
        <f t="shared" si="97"/>
        <v>#VALUE!</v>
      </c>
      <c r="N2086">
        <f t="shared" si="98"/>
        <v>0</v>
      </c>
    </row>
    <row r="2087" spans="12:14" x14ac:dyDescent="0.25">
      <c r="L2087" s="20" t="e">
        <f t="shared" si="96"/>
        <v>#VALUE!</v>
      </c>
      <c r="M2087" t="e">
        <f t="shared" si="97"/>
        <v>#VALUE!</v>
      </c>
      <c r="N2087">
        <f t="shared" si="98"/>
        <v>0</v>
      </c>
    </row>
    <row r="2088" spans="12:14" x14ac:dyDescent="0.25">
      <c r="L2088" s="20" t="e">
        <f t="shared" si="96"/>
        <v>#VALUE!</v>
      </c>
      <c r="M2088" t="e">
        <f t="shared" si="97"/>
        <v>#VALUE!</v>
      </c>
      <c r="N2088">
        <f t="shared" si="98"/>
        <v>0</v>
      </c>
    </row>
    <row r="2089" spans="12:14" x14ac:dyDescent="0.25">
      <c r="L2089" s="20" t="e">
        <f t="shared" si="96"/>
        <v>#VALUE!</v>
      </c>
      <c r="M2089" t="e">
        <f t="shared" si="97"/>
        <v>#VALUE!</v>
      </c>
      <c r="N2089">
        <f t="shared" si="98"/>
        <v>0</v>
      </c>
    </row>
    <row r="2090" spans="12:14" x14ac:dyDescent="0.25">
      <c r="L2090" s="20" t="e">
        <f t="shared" si="96"/>
        <v>#VALUE!</v>
      </c>
      <c r="M2090" t="e">
        <f t="shared" si="97"/>
        <v>#VALUE!</v>
      </c>
      <c r="N2090">
        <f t="shared" si="98"/>
        <v>0</v>
      </c>
    </row>
    <row r="2091" spans="12:14" x14ac:dyDescent="0.25">
      <c r="L2091" s="20" t="e">
        <f t="shared" si="96"/>
        <v>#VALUE!</v>
      </c>
      <c r="M2091" t="e">
        <f t="shared" si="97"/>
        <v>#VALUE!</v>
      </c>
      <c r="N2091">
        <f t="shared" si="98"/>
        <v>0</v>
      </c>
    </row>
    <row r="2092" spans="12:14" x14ac:dyDescent="0.25">
      <c r="L2092" s="20" t="e">
        <f t="shared" si="96"/>
        <v>#VALUE!</v>
      </c>
      <c r="M2092" t="e">
        <f t="shared" si="97"/>
        <v>#VALUE!</v>
      </c>
      <c r="N2092">
        <f t="shared" si="98"/>
        <v>0</v>
      </c>
    </row>
    <row r="2093" spans="12:14" x14ac:dyDescent="0.25">
      <c r="L2093" s="20" t="e">
        <f t="shared" si="96"/>
        <v>#VALUE!</v>
      </c>
      <c r="M2093" t="e">
        <f t="shared" si="97"/>
        <v>#VALUE!</v>
      </c>
      <c r="N2093">
        <f t="shared" si="98"/>
        <v>0</v>
      </c>
    </row>
    <row r="2094" spans="12:14" x14ac:dyDescent="0.25">
      <c r="L2094" s="20" t="e">
        <f t="shared" si="96"/>
        <v>#VALUE!</v>
      </c>
      <c r="M2094" t="e">
        <f t="shared" si="97"/>
        <v>#VALUE!</v>
      </c>
      <c r="N2094">
        <f t="shared" si="98"/>
        <v>0</v>
      </c>
    </row>
    <row r="2095" spans="12:14" x14ac:dyDescent="0.25">
      <c r="L2095" s="20" t="e">
        <f t="shared" si="96"/>
        <v>#VALUE!</v>
      </c>
      <c r="M2095" t="e">
        <f t="shared" si="97"/>
        <v>#VALUE!</v>
      </c>
      <c r="N2095">
        <f t="shared" si="98"/>
        <v>0</v>
      </c>
    </row>
    <row r="2096" spans="12:14" x14ac:dyDescent="0.25">
      <c r="L2096" s="20" t="e">
        <f t="shared" si="96"/>
        <v>#VALUE!</v>
      </c>
      <c r="M2096" t="e">
        <f t="shared" si="97"/>
        <v>#VALUE!</v>
      </c>
      <c r="N2096">
        <f t="shared" si="98"/>
        <v>0</v>
      </c>
    </row>
    <row r="2097" spans="12:14" x14ac:dyDescent="0.25">
      <c r="L2097" s="20" t="e">
        <f t="shared" si="96"/>
        <v>#VALUE!</v>
      </c>
      <c r="M2097" t="e">
        <f t="shared" si="97"/>
        <v>#VALUE!</v>
      </c>
      <c r="N2097">
        <f t="shared" si="98"/>
        <v>0</v>
      </c>
    </row>
    <row r="2098" spans="12:14" x14ac:dyDescent="0.25">
      <c r="L2098" s="20" t="e">
        <f t="shared" si="96"/>
        <v>#VALUE!</v>
      </c>
      <c r="M2098" t="e">
        <f t="shared" si="97"/>
        <v>#VALUE!</v>
      </c>
      <c r="N2098">
        <f t="shared" si="98"/>
        <v>0</v>
      </c>
    </row>
    <row r="2099" spans="12:14" x14ac:dyDescent="0.25">
      <c r="L2099" s="20" t="e">
        <f t="shared" si="96"/>
        <v>#VALUE!</v>
      </c>
      <c r="M2099" t="e">
        <f t="shared" si="97"/>
        <v>#VALUE!</v>
      </c>
      <c r="N2099">
        <f t="shared" si="98"/>
        <v>0</v>
      </c>
    </row>
    <row r="2100" spans="12:14" x14ac:dyDescent="0.25">
      <c r="L2100" s="20" t="e">
        <f t="shared" si="96"/>
        <v>#VALUE!</v>
      </c>
      <c r="M2100" t="e">
        <f t="shared" si="97"/>
        <v>#VALUE!</v>
      </c>
      <c r="N2100">
        <f t="shared" si="98"/>
        <v>0</v>
      </c>
    </row>
    <row r="2101" spans="12:14" x14ac:dyDescent="0.25">
      <c r="L2101" s="20" t="e">
        <f t="shared" si="96"/>
        <v>#VALUE!</v>
      </c>
      <c r="M2101" t="e">
        <f t="shared" si="97"/>
        <v>#VALUE!</v>
      </c>
      <c r="N2101">
        <f t="shared" si="98"/>
        <v>0</v>
      </c>
    </row>
    <row r="2102" spans="12:14" x14ac:dyDescent="0.25">
      <c r="L2102" s="20" t="e">
        <f t="shared" si="96"/>
        <v>#VALUE!</v>
      </c>
      <c r="M2102" t="e">
        <f t="shared" si="97"/>
        <v>#VALUE!</v>
      </c>
      <c r="N2102">
        <f t="shared" si="98"/>
        <v>0</v>
      </c>
    </row>
    <row r="2103" spans="12:14" x14ac:dyDescent="0.25">
      <c r="L2103" s="20" t="e">
        <f t="shared" si="96"/>
        <v>#VALUE!</v>
      </c>
      <c r="M2103" t="e">
        <f t="shared" si="97"/>
        <v>#VALUE!</v>
      </c>
      <c r="N2103">
        <f t="shared" si="98"/>
        <v>0</v>
      </c>
    </row>
    <row r="2104" spans="12:14" x14ac:dyDescent="0.25">
      <c r="L2104" s="20" t="e">
        <f t="shared" si="96"/>
        <v>#VALUE!</v>
      </c>
      <c r="M2104" t="e">
        <f t="shared" si="97"/>
        <v>#VALUE!</v>
      </c>
      <c r="N2104">
        <f t="shared" si="98"/>
        <v>0</v>
      </c>
    </row>
    <row r="2105" spans="12:14" x14ac:dyDescent="0.25">
      <c r="L2105" s="20" t="e">
        <f t="shared" si="96"/>
        <v>#VALUE!</v>
      </c>
      <c r="M2105" t="e">
        <f t="shared" si="97"/>
        <v>#VALUE!</v>
      </c>
      <c r="N2105">
        <f t="shared" si="98"/>
        <v>0</v>
      </c>
    </row>
    <row r="2106" spans="12:14" x14ac:dyDescent="0.25">
      <c r="L2106" s="20" t="e">
        <f t="shared" si="96"/>
        <v>#VALUE!</v>
      </c>
      <c r="M2106" t="e">
        <f t="shared" si="97"/>
        <v>#VALUE!</v>
      </c>
      <c r="N2106">
        <f t="shared" si="98"/>
        <v>0</v>
      </c>
    </row>
    <row r="2107" spans="12:14" x14ac:dyDescent="0.25">
      <c r="L2107" s="20" t="e">
        <f t="shared" si="96"/>
        <v>#VALUE!</v>
      </c>
      <c r="M2107" t="e">
        <f t="shared" si="97"/>
        <v>#VALUE!</v>
      </c>
      <c r="N2107">
        <f t="shared" si="98"/>
        <v>0</v>
      </c>
    </row>
    <row r="2108" spans="12:14" x14ac:dyDescent="0.25">
      <c r="L2108" s="20" t="e">
        <f t="shared" si="96"/>
        <v>#VALUE!</v>
      </c>
      <c r="M2108" t="e">
        <f t="shared" si="97"/>
        <v>#VALUE!</v>
      </c>
      <c r="N2108">
        <f t="shared" si="98"/>
        <v>0</v>
      </c>
    </row>
    <row r="2109" spans="12:14" x14ac:dyDescent="0.25">
      <c r="L2109" s="20" t="e">
        <f t="shared" si="96"/>
        <v>#VALUE!</v>
      </c>
      <c r="M2109" t="e">
        <f t="shared" si="97"/>
        <v>#VALUE!</v>
      </c>
      <c r="N2109">
        <f t="shared" si="98"/>
        <v>0</v>
      </c>
    </row>
    <row r="2110" spans="12:14" x14ac:dyDescent="0.25">
      <c r="L2110" s="20" t="e">
        <f t="shared" si="96"/>
        <v>#VALUE!</v>
      </c>
      <c r="M2110" t="e">
        <f t="shared" si="97"/>
        <v>#VALUE!</v>
      </c>
      <c r="N2110">
        <f t="shared" si="98"/>
        <v>0</v>
      </c>
    </row>
    <row r="2111" spans="12:14" x14ac:dyDescent="0.25">
      <c r="L2111" s="20" t="e">
        <f t="shared" si="96"/>
        <v>#VALUE!</v>
      </c>
      <c r="M2111" t="e">
        <f t="shared" si="97"/>
        <v>#VALUE!</v>
      </c>
      <c r="N2111">
        <f t="shared" si="98"/>
        <v>0</v>
      </c>
    </row>
    <row r="2112" spans="12:14" x14ac:dyDescent="0.25">
      <c r="L2112" s="20" t="e">
        <f t="shared" si="96"/>
        <v>#VALUE!</v>
      </c>
      <c r="M2112" t="e">
        <f t="shared" si="97"/>
        <v>#VALUE!</v>
      </c>
      <c r="N2112">
        <f t="shared" si="98"/>
        <v>0</v>
      </c>
    </row>
    <row r="2113" spans="12:14" x14ac:dyDescent="0.25">
      <c r="L2113" s="20" t="e">
        <f t="shared" si="96"/>
        <v>#VALUE!</v>
      </c>
      <c r="M2113" t="e">
        <f t="shared" si="97"/>
        <v>#VALUE!</v>
      </c>
      <c r="N2113">
        <f t="shared" si="98"/>
        <v>0</v>
      </c>
    </row>
    <row r="2114" spans="12:14" x14ac:dyDescent="0.25">
      <c r="L2114" s="20" t="e">
        <f t="shared" si="96"/>
        <v>#VALUE!</v>
      </c>
      <c r="M2114" t="e">
        <f t="shared" si="97"/>
        <v>#VALUE!</v>
      </c>
      <c r="N2114">
        <f t="shared" si="98"/>
        <v>0</v>
      </c>
    </row>
    <row r="2115" spans="12:14" x14ac:dyDescent="0.25">
      <c r="L2115" s="20" t="e">
        <f t="shared" ref="L2115:L2178" si="99">DATEVALUE(LEFT(F2115,10))</f>
        <v>#VALUE!</v>
      </c>
      <c r="M2115" t="e">
        <f t="shared" ref="M2115:M2178" si="100">TEXT(L2115,"mm-yyyy")</f>
        <v>#VALUE!</v>
      </c>
      <c r="N2115">
        <f t="shared" ref="N2115:N2178" si="101">H2115*I2115</f>
        <v>0</v>
      </c>
    </row>
    <row r="2116" spans="12:14" x14ac:dyDescent="0.25">
      <c r="L2116" s="20" t="e">
        <f t="shared" si="99"/>
        <v>#VALUE!</v>
      </c>
      <c r="M2116" t="e">
        <f t="shared" si="100"/>
        <v>#VALUE!</v>
      </c>
      <c r="N2116">
        <f t="shared" si="101"/>
        <v>0</v>
      </c>
    </row>
    <row r="2117" spans="12:14" x14ac:dyDescent="0.25">
      <c r="L2117" s="20" t="e">
        <f t="shared" si="99"/>
        <v>#VALUE!</v>
      </c>
      <c r="M2117" t="e">
        <f t="shared" si="100"/>
        <v>#VALUE!</v>
      </c>
      <c r="N2117">
        <f t="shared" si="101"/>
        <v>0</v>
      </c>
    </row>
    <row r="2118" spans="12:14" x14ac:dyDescent="0.25">
      <c r="L2118" s="20" t="e">
        <f t="shared" si="99"/>
        <v>#VALUE!</v>
      </c>
      <c r="M2118" t="e">
        <f t="shared" si="100"/>
        <v>#VALUE!</v>
      </c>
      <c r="N2118">
        <f t="shared" si="101"/>
        <v>0</v>
      </c>
    </row>
    <row r="2119" spans="12:14" x14ac:dyDescent="0.25">
      <c r="L2119" s="20" t="e">
        <f t="shared" si="99"/>
        <v>#VALUE!</v>
      </c>
      <c r="M2119" t="e">
        <f t="shared" si="100"/>
        <v>#VALUE!</v>
      </c>
      <c r="N2119">
        <f t="shared" si="101"/>
        <v>0</v>
      </c>
    </row>
    <row r="2120" spans="12:14" x14ac:dyDescent="0.25">
      <c r="L2120" s="20" t="e">
        <f t="shared" si="99"/>
        <v>#VALUE!</v>
      </c>
      <c r="M2120" t="e">
        <f t="shared" si="100"/>
        <v>#VALUE!</v>
      </c>
      <c r="N2120">
        <f t="shared" si="101"/>
        <v>0</v>
      </c>
    </row>
    <row r="2121" spans="12:14" x14ac:dyDescent="0.25">
      <c r="L2121" s="20" t="e">
        <f t="shared" si="99"/>
        <v>#VALUE!</v>
      </c>
      <c r="M2121" t="e">
        <f t="shared" si="100"/>
        <v>#VALUE!</v>
      </c>
      <c r="N2121">
        <f t="shared" si="101"/>
        <v>0</v>
      </c>
    </row>
    <row r="2122" spans="12:14" x14ac:dyDescent="0.25">
      <c r="L2122" s="20" t="e">
        <f t="shared" si="99"/>
        <v>#VALUE!</v>
      </c>
      <c r="M2122" t="e">
        <f t="shared" si="100"/>
        <v>#VALUE!</v>
      </c>
      <c r="N2122">
        <f t="shared" si="101"/>
        <v>0</v>
      </c>
    </row>
    <row r="2123" spans="12:14" x14ac:dyDescent="0.25">
      <c r="L2123" s="20" t="e">
        <f t="shared" si="99"/>
        <v>#VALUE!</v>
      </c>
      <c r="M2123" t="e">
        <f t="shared" si="100"/>
        <v>#VALUE!</v>
      </c>
      <c r="N2123">
        <f t="shared" si="101"/>
        <v>0</v>
      </c>
    </row>
    <row r="2124" spans="12:14" x14ac:dyDescent="0.25">
      <c r="L2124" s="20" t="e">
        <f t="shared" si="99"/>
        <v>#VALUE!</v>
      </c>
      <c r="M2124" t="e">
        <f t="shared" si="100"/>
        <v>#VALUE!</v>
      </c>
      <c r="N2124">
        <f t="shared" si="101"/>
        <v>0</v>
      </c>
    </row>
    <row r="2125" spans="12:14" x14ac:dyDescent="0.25">
      <c r="L2125" s="20" t="e">
        <f t="shared" si="99"/>
        <v>#VALUE!</v>
      </c>
      <c r="M2125" t="e">
        <f t="shared" si="100"/>
        <v>#VALUE!</v>
      </c>
      <c r="N2125">
        <f t="shared" si="101"/>
        <v>0</v>
      </c>
    </row>
    <row r="2126" spans="12:14" x14ac:dyDescent="0.25">
      <c r="L2126" s="20" t="e">
        <f t="shared" si="99"/>
        <v>#VALUE!</v>
      </c>
      <c r="M2126" t="e">
        <f t="shared" si="100"/>
        <v>#VALUE!</v>
      </c>
      <c r="N2126">
        <f t="shared" si="101"/>
        <v>0</v>
      </c>
    </row>
    <row r="2127" spans="12:14" x14ac:dyDescent="0.25">
      <c r="L2127" s="20" t="e">
        <f t="shared" si="99"/>
        <v>#VALUE!</v>
      </c>
      <c r="M2127" t="e">
        <f t="shared" si="100"/>
        <v>#VALUE!</v>
      </c>
      <c r="N2127">
        <f t="shared" si="101"/>
        <v>0</v>
      </c>
    </row>
    <row r="2128" spans="12:14" x14ac:dyDescent="0.25">
      <c r="L2128" s="20" t="e">
        <f t="shared" si="99"/>
        <v>#VALUE!</v>
      </c>
      <c r="M2128" t="e">
        <f t="shared" si="100"/>
        <v>#VALUE!</v>
      </c>
      <c r="N2128">
        <f t="shared" si="101"/>
        <v>0</v>
      </c>
    </row>
    <row r="2129" spans="12:14" x14ac:dyDescent="0.25">
      <c r="L2129" s="20" t="e">
        <f t="shared" si="99"/>
        <v>#VALUE!</v>
      </c>
      <c r="M2129" t="e">
        <f t="shared" si="100"/>
        <v>#VALUE!</v>
      </c>
      <c r="N2129">
        <f t="shared" si="101"/>
        <v>0</v>
      </c>
    </row>
    <row r="2130" spans="12:14" x14ac:dyDescent="0.25">
      <c r="L2130" s="20" t="e">
        <f t="shared" si="99"/>
        <v>#VALUE!</v>
      </c>
      <c r="M2130" t="e">
        <f t="shared" si="100"/>
        <v>#VALUE!</v>
      </c>
      <c r="N2130">
        <f t="shared" si="101"/>
        <v>0</v>
      </c>
    </row>
    <row r="2131" spans="12:14" x14ac:dyDescent="0.25">
      <c r="L2131" s="20" t="e">
        <f t="shared" si="99"/>
        <v>#VALUE!</v>
      </c>
      <c r="M2131" t="e">
        <f t="shared" si="100"/>
        <v>#VALUE!</v>
      </c>
      <c r="N2131">
        <f t="shared" si="101"/>
        <v>0</v>
      </c>
    </row>
    <row r="2132" spans="12:14" x14ac:dyDescent="0.25">
      <c r="L2132" s="20" t="e">
        <f t="shared" si="99"/>
        <v>#VALUE!</v>
      </c>
      <c r="M2132" t="e">
        <f t="shared" si="100"/>
        <v>#VALUE!</v>
      </c>
      <c r="N2132">
        <f t="shared" si="101"/>
        <v>0</v>
      </c>
    </row>
    <row r="2133" spans="12:14" x14ac:dyDescent="0.25">
      <c r="L2133" s="20" t="e">
        <f t="shared" si="99"/>
        <v>#VALUE!</v>
      </c>
      <c r="M2133" t="e">
        <f t="shared" si="100"/>
        <v>#VALUE!</v>
      </c>
      <c r="N2133">
        <f t="shared" si="101"/>
        <v>0</v>
      </c>
    </row>
    <row r="2134" spans="12:14" x14ac:dyDescent="0.25">
      <c r="L2134" s="20" t="e">
        <f t="shared" si="99"/>
        <v>#VALUE!</v>
      </c>
      <c r="M2134" t="e">
        <f t="shared" si="100"/>
        <v>#VALUE!</v>
      </c>
      <c r="N2134">
        <f t="shared" si="101"/>
        <v>0</v>
      </c>
    </row>
    <row r="2135" spans="12:14" x14ac:dyDescent="0.25">
      <c r="L2135" s="20" t="e">
        <f t="shared" si="99"/>
        <v>#VALUE!</v>
      </c>
      <c r="M2135" t="e">
        <f t="shared" si="100"/>
        <v>#VALUE!</v>
      </c>
      <c r="N2135">
        <f t="shared" si="101"/>
        <v>0</v>
      </c>
    </row>
    <row r="2136" spans="12:14" x14ac:dyDescent="0.25">
      <c r="L2136" s="20" t="e">
        <f t="shared" si="99"/>
        <v>#VALUE!</v>
      </c>
      <c r="M2136" t="e">
        <f t="shared" si="100"/>
        <v>#VALUE!</v>
      </c>
      <c r="N2136">
        <f t="shared" si="101"/>
        <v>0</v>
      </c>
    </row>
    <row r="2137" spans="12:14" x14ac:dyDescent="0.25">
      <c r="L2137" s="20" t="e">
        <f t="shared" si="99"/>
        <v>#VALUE!</v>
      </c>
      <c r="M2137" t="e">
        <f t="shared" si="100"/>
        <v>#VALUE!</v>
      </c>
      <c r="N2137">
        <f t="shared" si="101"/>
        <v>0</v>
      </c>
    </row>
    <row r="2138" spans="12:14" x14ac:dyDescent="0.25">
      <c r="L2138" s="20" t="e">
        <f t="shared" si="99"/>
        <v>#VALUE!</v>
      </c>
      <c r="M2138" t="e">
        <f t="shared" si="100"/>
        <v>#VALUE!</v>
      </c>
      <c r="N2138">
        <f t="shared" si="101"/>
        <v>0</v>
      </c>
    </row>
    <row r="2139" spans="12:14" x14ac:dyDescent="0.25">
      <c r="L2139" s="20" t="e">
        <f t="shared" si="99"/>
        <v>#VALUE!</v>
      </c>
      <c r="M2139" t="e">
        <f t="shared" si="100"/>
        <v>#VALUE!</v>
      </c>
      <c r="N2139">
        <f t="shared" si="101"/>
        <v>0</v>
      </c>
    </row>
    <row r="2140" spans="12:14" x14ac:dyDescent="0.25">
      <c r="L2140" s="20" t="e">
        <f t="shared" si="99"/>
        <v>#VALUE!</v>
      </c>
      <c r="M2140" t="e">
        <f t="shared" si="100"/>
        <v>#VALUE!</v>
      </c>
      <c r="N2140">
        <f t="shared" si="101"/>
        <v>0</v>
      </c>
    </row>
    <row r="2141" spans="12:14" x14ac:dyDescent="0.25">
      <c r="L2141" s="20" t="e">
        <f t="shared" si="99"/>
        <v>#VALUE!</v>
      </c>
      <c r="M2141" t="e">
        <f t="shared" si="100"/>
        <v>#VALUE!</v>
      </c>
      <c r="N2141">
        <f t="shared" si="101"/>
        <v>0</v>
      </c>
    </row>
    <row r="2142" spans="12:14" x14ac:dyDescent="0.25">
      <c r="L2142" s="20" t="e">
        <f t="shared" si="99"/>
        <v>#VALUE!</v>
      </c>
      <c r="M2142" t="e">
        <f t="shared" si="100"/>
        <v>#VALUE!</v>
      </c>
      <c r="N2142">
        <f t="shared" si="101"/>
        <v>0</v>
      </c>
    </row>
    <row r="2143" spans="12:14" x14ac:dyDescent="0.25">
      <c r="L2143" s="20" t="e">
        <f t="shared" si="99"/>
        <v>#VALUE!</v>
      </c>
      <c r="M2143" t="e">
        <f t="shared" si="100"/>
        <v>#VALUE!</v>
      </c>
      <c r="N2143">
        <f t="shared" si="101"/>
        <v>0</v>
      </c>
    </row>
    <row r="2144" spans="12:14" x14ac:dyDescent="0.25">
      <c r="L2144" s="20" t="e">
        <f t="shared" si="99"/>
        <v>#VALUE!</v>
      </c>
      <c r="M2144" t="e">
        <f t="shared" si="100"/>
        <v>#VALUE!</v>
      </c>
      <c r="N2144">
        <f t="shared" si="101"/>
        <v>0</v>
      </c>
    </row>
    <row r="2145" spans="12:14" x14ac:dyDescent="0.25">
      <c r="L2145" s="20" t="e">
        <f t="shared" si="99"/>
        <v>#VALUE!</v>
      </c>
      <c r="M2145" t="e">
        <f t="shared" si="100"/>
        <v>#VALUE!</v>
      </c>
      <c r="N2145">
        <f t="shared" si="101"/>
        <v>0</v>
      </c>
    </row>
    <row r="2146" spans="12:14" x14ac:dyDescent="0.25">
      <c r="L2146" s="20" t="e">
        <f t="shared" si="99"/>
        <v>#VALUE!</v>
      </c>
      <c r="M2146" t="e">
        <f t="shared" si="100"/>
        <v>#VALUE!</v>
      </c>
      <c r="N2146">
        <f t="shared" si="101"/>
        <v>0</v>
      </c>
    </row>
    <row r="2147" spans="12:14" x14ac:dyDescent="0.25">
      <c r="L2147" s="20" t="e">
        <f t="shared" si="99"/>
        <v>#VALUE!</v>
      </c>
      <c r="M2147" t="e">
        <f t="shared" si="100"/>
        <v>#VALUE!</v>
      </c>
      <c r="N2147">
        <f t="shared" si="101"/>
        <v>0</v>
      </c>
    </row>
    <row r="2148" spans="12:14" x14ac:dyDescent="0.25">
      <c r="L2148" s="20" t="e">
        <f t="shared" si="99"/>
        <v>#VALUE!</v>
      </c>
      <c r="M2148" t="e">
        <f t="shared" si="100"/>
        <v>#VALUE!</v>
      </c>
      <c r="N2148">
        <f t="shared" si="101"/>
        <v>0</v>
      </c>
    </row>
    <row r="2149" spans="12:14" x14ac:dyDescent="0.25">
      <c r="L2149" s="20" t="e">
        <f t="shared" si="99"/>
        <v>#VALUE!</v>
      </c>
      <c r="M2149" t="e">
        <f t="shared" si="100"/>
        <v>#VALUE!</v>
      </c>
      <c r="N2149">
        <f t="shared" si="101"/>
        <v>0</v>
      </c>
    </row>
    <row r="2150" spans="12:14" x14ac:dyDescent="0.25">
      <c r="L2150" s="20" t="e">
        <f t="shared" si="99"/>
        <v>#VALUE!</v>
      </c>
      <c r="M2150" t="e">
        <f t="shared" si="100"/>
        <v>#VALUE!</v>
      </c>
      <c r="N2150">
        <f t="shared" si="101"/>
        <v>0</v>
      </c>
    </row>
    <row r="2151" spans="12:14" x14ac:dyDescent="0.25">
      <c r="L2151" s="20" t="e">
        <f t="shared" si="99"/>
        <v>#VALUE!</v>
      </c>
      <c r="M2151" t="e">
        <f t="shared" si="100"/>
        <v>#VALUE!</v>
      </c>
      <c r="N2151">
        <f t="shared" si="101"/>
        <v>0</v>
      </c>
    </row>
    <row r="2152" spans="12:14" x14ac:dyDescent="0.25">
      <c r="L2152" s="20" t="e">
        <f t="shared" si="99"/>
        <v>#VALUE!</v>
      </c>
      <c r="M2152" t="e">
        <f t="shared" si="100"/>
        <v>#VALUE!</v>
      </c>
      <c r="N2152">
        <f t="shared" si="101"/>
        <v>0</v>
      </c>
    </row>
    <row r="2153" spans="12:14" x14ac:dyDescent="0.25">
      <c r="L2153" s="20" t="e">
        <f t="shared" si="99"/>
        <v>#VALUE!</v>
      </c>
      <c r="M2153" t="e">
        <f t="shared" si="100"/>
        <v>#VALUE!</v>
      </c>
      <c r="N2153">
        <f t="shared" si="101"/>
        <v>0</v>
      </c>
    </row>
    <row r="2154" spans="12:14" x14ac:dyDescent="0.25">
      <c r="L2154" s="20" t="e">
        <f t="shared" si="99"/>
        <v>#VALUE!</v>
      </c>
      <c r="M2154" t="e">
        <f t="shared" si="100"/>
        <v>#VALUE!</v>
      </c>
      <c r="N2154">
        <f t="shared" si="101"/>
        <v>0</v>
      </c>
    </row>
    <row r="2155" spans="12:14" x14ac:dyDescent="0.25">
      <c r="L2155" s="20" t="e">
        <f t="shared" si="99"/>
        <v>#VALUE!</v>
      </c>
      <c r="M2155" t="e">
        <f t="shared" si="100"/>
        <v>#VALUE!</v>
      </c>
      <c r="N2155">
        <f t="shared" si="101"/>
        <v>0</v>
      </c>
    </row>
    <row r="2156" spans="12:14" x14ac:dyDescent="0.25">
      <c r="L2156" s="20" t="e">
        <f t="shared" si="99"/>
        <v>#VALUE!</v>
      </c>
      <c r="M2156" t="e">
        <f t="shared" si="100"/>
        <v>#VALUE!</v>
      </c>
      <c r="N2156">
        <f t="shared" si="101"/>
        <v>0</v>
      </c>
    </row>
    <row r="2157" spans="12:14" x14ac:dyDescent="0.25">
      <c r="L2157" s="20" t="e">
        <f t="shared" si="99"/>
        <v>#VALUE!</v>
      </c>
      <c r="M2157" t="e">
        <f t="shared" si="100"/>
        <v>#VALUE!</v>
      </c>
      <c r="N2157">
        <f t="shared" si="101"/>
        <v>0</v>
      </c>
    </row>
    <row r="2158" spans="12:14" x14ac:dyDescent="0.25">
      <c r="L2158" s="20" t="e">
        <f t="shared" si="99"/>
        <v>#VALUE!</v>
      </c>
      <c r="M2158" t="e">
        <f t="shared" si="100"/>
        <v>#VALUE!</v>
      </c>
      <c r="N2158">
        <f t="shared" si="101"/>
        <v>0</v>
      </c>
    </row>
    <row r="2159" spans="12:14" x14ac:dyDescent="0.25">
      <c r="L2159" s="20" t="e">
        <f t="shared" si="99"/>
        <v>#VALUE!</v>
      </c>
      <c r="M2159" t="e">
        <f t="shared" si="100"/>
        <v>#VALUE!</v>
      </c>
      <c r="N2159">
        <f t="shared" si="101"/>
        <v>0</v>
      </c>
    </row>
    <row r="2160" spans="12:14" x14ac:dyDescent="0.25">
      <c r="L2160" s="20" t="e">
        <f t="shared" si="99"/>
        <v>#VALUE!</v>
      </c>
      <c r="M2160" t="e">
        <f t="shared" si="100"/>
        <v>#VALUE!</v>
      </c>
      <c r="N2160">
        <f t="shared" si="101"/>
        <v>0</v>
      </c>
    </row>
    <row r="2161" spans="12:14" x14ac:dyDescent="0.25">
      <c r="L2161" s="20" t="e">
        <f t="shared" si="99"/>
        <v>#VALUE!</v>
      </c>
      <c r="M2161" t="e">
        <f t="shared" si="100"/>
        <v>#VALUE!</v>
      </c>
      <c r="N2161">
        <f t="shared" si="101"/>
        <v>0</v>
      </c>
    </row>
    <row r="2162" spans="12:14" x14ac:dyDescent="0.25">
      <c r="L2162" s="20" t="e">
        <f t="shared" si="99"/>
        <v>#VALUE!</v>
      </c>
      <c r="M2162" t="e">
        <f t="shared" si="100"/>
        <v>#VALUE!</v>
      </c>
      <c r="N2162">
        <f t="shared" si="101"/>
        <v>0</v>
      </c>
    </row>
    <row r="2163" spans="12:14" x14ac:dyDescent="0.25">
      <c r="L2163" s="20" t="e">
        <f t="shared" si="99"/>
        <v>#VALUE!</v>
      </c>
      <c r="M2163" t="e">
        <f t="shared" si="100"/>
        <v>#VALUE!</v>
      </c>
      <c r="N2163">
        <f t="shared" si="101"/>
        <v>0</v>
      </c>
    </row>
    <row r="2164" spans="12:14" x14ac:dyDescent="0.25">
      <c r="L2164" s="20" t="e">
        <f t="shared" si="99"/>
        <v>#VALUE!</v>
      </c>
      <c r="M2164" t="e">
        <f t="shared" si="100"/>
        <v>#VALUE!</v>
      </c>
      <c r="N2164">
        <f t="shared" si="101"/>
        <v>0</v>
      </c>
    </row>
    <row r="2165" spans="12:14" x14ac:dyDescent="0.25">
      <c r="L2165" s="20" t="e">
        <f t="shared" si="99"/>
        <v>#VALUE!</v>
      </c>
      <c r="M2165" t="e">
        <f t="shared" si="100"/>
        <v>#VALUE!</v>
      </c>
      <c r="N2165">
        <f t="shared" si="101"/>
        <v>0</v>
      </c>
    </row>
    <row r="2166" spans="12:14" x14ac:dyDescent="0.25">
      <c r="L2166" s="20" t="e">
        <f t="shared" si="99"/>
        <v>#VALUE!</v>
      </c>
      <c r="M2166" t="e">
        <f t="shared" si="100"/>
        <v>#VALUE!</v>
      </c>
      <c r="N2166">
        <f t="shared" si="101"/>
        <v>0</v>
      </c>
    </row>
    <row r="2167" spans="12:14" x14ac:dyDescent="0.25">
      <c r="L2167" s="20" t="e">
        <f t="shared" si="99"/>
        <v>#VALUE!</v>
      </c>
      <c r="M2167" t="e">
        <f t="shared" si="100"/>
        <v>#VALUE!</v>
      </c>
      <c r="N2167">
        <f t="shared" si="101"/>
        <v>0</v>
      </c>
    </row>
    <row r="2168" spans="12:14" x14ac:dyDescent="0.25">
      <c r="L2168" s="20" t="e">
        <f t="shared" si="99"/>
        <v>#VALUE!</v>
      </c>
      <c r="M2168" t="e">
        <f t="shared" si="100"/>
        <v>#VALUE!</v>
      </c>
      <c r="N2168">
        <f t="shared" si="101"/>
        <v>0</v>
      </c>
    </row>
    <row r="2169" spans="12:14" x14ac:dyDescent="0.25">
      <c r="L2169" s="20" t="e">
        <f t="shared" si="99"/>
        <v>#VALUE!</v>
      </c>
      <c r="M2169" t="e">
        <f t="shared" si="100"/>
        <v>#VALUE!</v>
      </c>
      <c r="N2169">
        <f t="shared" si="101"/>
        <v>0</v>
      </c>
    </row>
    <row r="2170" spans="12:14" x14ac:dyDescent="0.25">
      <c r="L2170" s="20" t="e">
        <f t="shared" si="99"/>
        <v>#VALUE!</v>
      </c>
      <c r="M2170" t="e">
        <f t="shared" si="100"/>
        <v>#VALUE!</v>
      </c>
      <c r="N2170">
        <f t="shared" si="101"/>
        <v>0</v>
      </c>
    </row>
    <row r="2171" spans="12:14" x14ac:dyDescent="0.25">
      <c r="L2171" s="20" t="e">
        <f t="shared" si="99"/>
        <v>#VALUE!</v>
      </c>
      <c r="M2171" t="e">
        <f t="shared" si="100"/>
        <v>#VALUE!</v>
      </c>
      <c r="N2171">
        <f t="shared" si="101"/>
        <v>0</v>
      </c>
    </row>
    <row r="2172" spans="12:14" x14ac:dyDescent="0.25">
      <c r="L2172" s="20" t="e">
        <f t="shared" si="99"/>
        <v>#VALUE!</v>
      </c>
      <c r="M2172" t="e">
        <f t="shared" si="100"/>
        <v>#VALUE!</v>
      </c>
      <c r="N2172">
        <f t="shared" si="101"/>
        <v>0</v>
      </c>
    </row>
    <row r="2173" spans="12:14" x14ac:dyDescent="0.25">
      <c r="L2173" s="20" t="e">
        <f t="shared" si="99"/>
        <v>#VALUE!</v>
      </c>
      <c r="M2173" t="e">
        <f t="shared" si="100"/>
        <v>#VALUE!</v>
      </c>
      <c r="N2173">
        <f t="shared" si="101"/>
        <v>0</v>
      </c>
    </row>
    <row r="2174" spans="12:14" x14ac:dyDescent="0.25">
      <c r="L2174" s="20" t="e">
        <f t="shared" si="99"/>
        <v>#VALUE!</v>
      </c>
      <c r="M2174" t="e">
        <f t="shared" si="100"/>
        <v>#VALUE!</v>
      </c>
      <c r="N2174">
        <f t="shared" si="101"/>
        <v>0</v>
      </c>
    </row>
    <row r="2175" spans="12:14" x14ac:dyDescent="0.25">
      <c r="L2175" s="20" t="e">
        <f t="shared" si="99"/>
        <v>#VALUE!</v>
      </c>
      <c r="M2175" t="e">
        <f t="shared" si="100"/>
        <v>#VALUE!</v>
      </c>
      <c r="N2175">
        <f t="shared" si="101"/>
        <v>0</v>
      </c>
    </row>
    <row r="2176" spans="12:14" x14ac:dyDescent="0.25">
      <c r="L2176" s="20" t="e">
        <f t="shared" si="99"/>
        <v>#VALUE!</v>
      </c>
      <c r="M2176" t="e">
        <f t="shared" si="100"/>
        <v>#VALUE!</v>
      </c>
      <c r="N2176">
        <f t="shared" si="101"/>
        <v>0</v>
      </c>
    </row>
    <row r="2177" spans="12:14" x14ac:dyDescent="0.25">
      <c r="L2177" s="20" t="e">
        <f t="shared" si="99"/>
        <v>#VALUE!</v>
      </c>
      <c r="M2177" t="e">
        <f t="shared" si="100"/>
        <v>#VALUE!</v>
      </c>
      <c r="N2177">
        <f t="shared" si="101"/>
        <v>0</v>
      </c>
    </row>
    <row r="2178" spans="12:14" x14ac:dyDescent="0.25">
      <c r="L2178" s="20" t="e">
        <f t="shared" si="99"/>
        <v>#VALUE!</v>
      </c>
      <c r="M2178" t="e">
        <f t="shared" si="100"/>
        <v>#VALUE!</v>
      </c>
      <c r="N2178">
        <f t="shared" si="101"/>
        <v>0</v>
      </c>
    </row>
    <row r="2179" spans="12:14" x14ac:dyDescent="0.25">
      <c r="L2179" s="20" t="e">
        <f t="shared" ref="L2179:L2242" si="102">DATEVALUE(LEFT(F2179,10))</f>
        <v>#VALUE!</v>
      </c>
      <c r="M2179" t="e">
        <f t="shared" ref="M2179:M2242" si="103">TEXT(L2179,"mm-yyyy")</f>
        <v>#VALUE!</v>
      </c>
      <c r="N2179">
        <f t="shared" ref="N2179:N2242" si="104">H2179*I2179</f>
        <v>0</v>
      </c>
    </row>
    <row r="2180" spans="12:14" x14ac:dyDescent="0.25">
      <c r="L2180" s="20" t="e">
        <f t="shared" si="102"/>
        <v>#VALUE!</v>
      </c>
      <c r="M2180" t="e">
        <f t="shared" si="103"/>
        <v>#VALUE!</v>
      </c>
      <c r="N2180">
        <f t="shared" si="104"/>
        <v>0</v>
      </c>
    </row>
    <row r="2181" spans="12:14" x14ac:dyDescent="0.25">
      <c r="L2181" s="20" t="e">
        <f t="shared" si="102"/>
        <v>#VALUE!</v>
      </c>
      <c r="M2181" t="e">
        <f t="shared" si="103"/>
        <v>#VALUE!</v>
      </c>
      <c r="N2181">
        <f t="shared" si="104"/>
        <v>0</v>
      </c>
    </row>
    <row r="2182" spans="12:14" x14ac:dyDescent="0.25">
      <c r="L2182" s="20" t="e">
        <f t="shared" si="102"/>
        <v>#VALUE!</v>
      </c>
      <c r="M2182" t="e">
        <f t="shared" si="103"/>
        <v>#VALUE!</v>
      </c>
      <c r="N2182">
        <f t="shared" si="104"/>
        <v>0</v>
      </c>
    </row>
    <row r="2183" spans="12:14" x14ac:dyDescent="0.25">
      <c r="L2183" s="20" t="e">
        <f t="shared" si="102"/>
        <v>#VALUE!</v>
      </c>
      <c r="M2183" t="e">
        <f t="shared" si="103"/>
        <v>#VALUE!</v>
      </c>
      <c r="N2183">
        <f t="shared" si="104"/>
        <v>0</v>
      </c>
    </row>
    <row r="2184" spans="12:14" x14ac:dyDescent="0.25">
      <c r="L2184" s="20" t="e">
        <f t="shared" si="102"/>
        <v>#VALUE!</v>
      </c>
      <c r="M2184" t="e">
        <f t="shared" si="103"/>
        <v>#VALUE!</v>
      </c>
      <c r="N2184">
        <f t="shared" si="104"/>
        <v>0</v>
      </c>
    </row>
    <row r="2185" spans="12:14" x14ac:dyDescent="0.25">
      <c r="L2185" s="20" t="e">
        <f t="shared" si="102"/>
        <v>#VALUE!</v>
      </c>
      <c r="M2185" t="e">
        <f t="shared" si="103"/>
        <v>#VALUE!</v>
      </c>
      <c r="N2185">
        <f t="shared" si="104"/>
        <v>0</v>
      </c>
    </row>
    <row r="2186" spans="12:14" x14ac:dyDescent="0.25">
      <c r="L2186" s="20" t="e">
        <f t="shared" si="102"/>
        <v>#VALUE!</v>
      </c>
      <c r="M2186" t="e">
        <f t="shared" si="103"/>
        <v>#VALUE!</v>
      </c>
      <c r="N2186">
        <f t="shared" si="104"/>
        <v>0</v>
      </c>
    </row>
    <row r="2187" spans="12:14" x14ac:dyDescent="0.25">
      <c r="L2187" s="20" t="e">
        <f t="shared" si="102"/>
        <v>#VALUE!</v>
      </c>
      <c r="M2187" t="e">
        <f t="shared" si="103"/>
        <v>#VALUE!</v>
      </c>
      <c r="N2187">
        <f t="shared" si="104"/>
        <v>0</v>
      </c>
    </row>
    <row r="2188" spans="12:14" x14ac:dyDescent="0.25">
      <c r="L2188" s="20" t="e">
        <f t="shared" si="102"/>
        <v>#VALUE!</v>
      </c>
      <c r="M2188" t="e">
        <f t="shared" si="103"/>
        <v>#VALUE!</v>
      </c>
      <c r="N2188">
        <f t="shared" si="104"/>
        <v>0</v>
      </c>
    </row>
    <row r="2189" spans="12:14" x14ac:dyDescent="0.25">
      <c r="L2189" s="20" t="e">
        <f t="shared" si="102"/>
        <v>#VALUE!</v>
      </c>
      <c r="M2189" t="e">
        <f t="shared" si="103"/>
        <v>#VALUE!</v>
      </c>
      <c r="N2189">
        <f t="shared" si="104"/>
        <v>0</v>
      </c>
    </row>
    <row r="2190" spans="12:14" x14ac:dyDescent="0.25">
      <c r="L2190" s="20" t="e">
        <f t="shared" si="102"/>
        <v>#VALUE!</v>
      </c>
      <c r="M2190" t="e">
        <f t="shared" si="103"/>
        <v>#VALUE!</v>
      </c>
      <c r="N2190">
        <f t="shared" si="104"/>
        <v>0</v>
      </c>
    </row>
    <row r="2191" spans="12:14" x14ac:dyDescent="0.25">
      <c r="L2191" s="20" t="e">
        <f t="shared" si="102"/>
        <v>#VALUE!</v>
      </c>
      <c r="M2191" t="e">
        <f t="shared" si="103"/>
        <v>#VALUE!</v>
      </c>
      <c r="N2191">
        <f t="shared" si="104"/>
        <v>0</v>
      </c>
    </row>
    <row r="2192" spans="12:14" x14ac:dyDescent="0.25">
      <c r="L2192" s="20" t="e">
        <f t="shared" si="102"/>
        <v>#VALUE!</v>
      </c>
      <c r="M2192" t="e">
        <f t="shared" si="103"/>
        <v>#VALUE!</v>
      </c>
      <c r="N2192">
        <f t="shared" si="104"/>
        <v>0</v>
      </c>
    </row>
    <row r="2193" spans="12:14" x14ac:dyDescent="0.25">
      <c r="L2193" s="20" t="e">
        <f t="shared" si="102"/>
        <v>#VALUE!</v>
      </c>
      <c r="M2193" t="e">
        <f t="shared" si="103"/>
        <v>#VALUE!</v>
      </c>
      <c r="N2193">
        <f t="shared" si="104"/>
        <v>0</v>
      </c>
    </row>
    <row r="2194" spans="12:14" x14ac:dyDescent="0.25">
      <c r="L2194" s="20" t="e">
        <f t="shared" si="102"/>
        <v>#VALUE!</v>
      </c>
      <c r="M2194" t="e">
        <f t="shared" si="103"/>
        <v>#VALUE!</v>
      </c>
      <c r="N2194">
        <f t="shared" si="104"/>
        <v>0</v>
      </c>
    </row>
    <row r="2195" spans="12:14" x14ac:dyDescent="0.25">
      <c r="L2195" s="20" t="e">
        <f t="shared" si="102"/>
        <v>#VALUE!</v>
      </c>
      <c r="M2195" t="e">
        <f t="shared" si="103"/>
        <v>#VALUE!</v>
      </c>
      <c r="N2195">
        <f t="shared" si="104"/>
        <v>0</v>
      </c>
    </row>
    <row r="2196" spans="12:14" x14ac:dyDescent="0.25">
      <c r="L2196" s="20" t="e">
        <f t="shared" si="102"/>
        <v>#VALUE!</v>
      </c>
      <c r="M2196" t="e">
        <f t="shared" si="103"/>
        <v>#VALUE!</v>
      </c>
      <c r="N2196">
        <f t="shared" si="104"/>
        <v>0</v>
      </c>
    </row>
    <row r="2197" spans="12:14" x14ac:dyDescent="0.25">
      <c r="L2197" s="20" t="e">
        <f t="shared" si="102"/>
        <v>#VALUE!</v>
      </c>
      <c r="M2197" t="e">
        <f t="shared" si="103"/>
        <v>#VALUE!</v>
      </c>
      <c r="N2197">
        <f t="shared" si="104"/>
        <v>0</v>
      </c>
    </row>
    <row r="2198" spans="12:14" x14ac:dyDescent="0.25">
      <c r="L2198" s="20" t="e">
        <f t="shared" si="102"/>
        <v>#VALUE!</v>
      </c>
      <c r="M2198" t="e">
        <f t="shared" si="103"/>
        <v>#VALUE!</v>
      </c>
      <c r="N2198">
        <f t="shared" si="104"/>
        <v>0</v>
      </c>
    </row>
    <row r="2199" spans="12:14" x14ac:dyDescent="0.25">
      <c r="L2199" s="20" t="e">
        <f t="shared" si="102"/>
        <v>#VALUE!</v>
      </c>
      <c r="M2199" t="e">
        <f t="shared" si="103"/>
        <v>#VALUE!</v>
      </c>
      <c r="N2199">
        <f t="shared" si="104"/>
        <v>0</v>
      </c>
    </row>
    <row r="2200" spans="12:14" x14ac:dyDescent="0.25">
      <c r="L2200" s="20" t="e">
        <f t="shared" si="102"/>
        <v>#VALUE!</v>
      </c>
      <c r="M2200" t="e">
        <f t="shared" si="103"/>
        <v>#VALUE!</v>
      </c>
      <c r="N2200">
        <f t="shared" si="104"/>
        <v>0</v>
      </c>
    </row>
    <row r="2201" spans="12:14" x14ac:dyDescent="0.25">
      <c r="L2201" s="20" t="e">
        <f t="shared" si="102"/>
        <v>#VALUE!</v>
      </c>
      <c r="M2201" t="e">
        <f t="shared" si="103"/>
        <v>#VALUE!</v>
      </c>
      <c r="N2201">
        <f t="shared" si="104"/>
        <v>0</v>
      </c>
    </row>
    <row r="2202" spans="12:14" x14ac:dyDescent="0.25">
      <c r="L2202" s="20" t="e">
        <f t="shared" si="102"/>
        <v>#VALUE!</v>
      </c>
      <c r="M2202" t="e">
        <f t="shared" si="103"/>
        <v>#VALUE!</v>
      </c>
      <c r="N2202">
        <f t="shared" si="104"/>
        <v>0</v>
      </c>
    </row>
    <row r="2203" spans="12:14" x14ac:dyDescent="0.25">
      <c r="L2203" s="20" t="e">
        <f t="shared" si="102"/>
        <v>#VALUE!</v>
      </c>
      <c r="M2203" t="e">
        <f t="shared" si="103"/>
        <v>#VALUE!</v>
      </c>
      <c r="N2203">
        <f t="shared" si="104"/>
        <v>0</v>
      </c>
    </row>
    <row r="2204" spans="12:14" x14ac:dyDescent="0.25">
      <c r="L2204" s="20" t="e">
        <f t="shared" si="102"/>
        <v>#VALUE!</v>
      </c>
      <c r="M2204" t="e">
        <f t="shared" si="103"/>
        <v>#VALUE!</v>
      </c>
      <c r="N2204">
        <f t="shared" si="104"/>
        <v>0</v>
      </c>
    </row>
    <row r="2205" spans="12:14" x14ac:dyDescent="0.25">
      <c r="L2205" s="20" t="e">
        <f t="shared" si="102"/>
        <v>#VALUE!</v>
      </c>
      <c r="M2205" t="e">
        <f t="shared" si="103"/>
        <v>#VALUE!</v>
      </c>
      <c r="N2205">
        <f t="shared" si="104"/>
        <v>0</v>
      </c>
    </row>
    <row r="2206" spans="12:14" x14ac:dyDescent="0.25">
      <c r="L2206" s="20" t="e">
        <f t="shared" si="102"/>
        <v>#VALUE!</v>
      </c>
      <c r="M2206" t="e">
        <f t="shared" si="103"/>
        <v>#VALUE!</v>
      </c>
      <c r="N2206">
        <f t="shared" si="104"/>
        <v>0</v>
      </c>
    </row>
    <row r="2207" spans="12:14" x14ac:dyDescent="0.25">
      <c r="L2207" s="20" t="e">
        <f t="shared" si="102"/>
        <v>#VALUE!</v>
      </c>
      <c r="M2207" t="e">
        <f t="shared" si="103"/>
        <v>#VALUE!</v>
      </c>
      <c r="N2207">
        <f t="shared" si="104"/>
        <v>0</v>
      </c>
    </row>
    <row r="2208" spans="12:14" x14ac:dyDescent="0.25">
      <c r="L2208" s="20" t="e">
        <f t="shared" si="102"/>
        <v>#VALUE!</v>
      </c>
      <c r="M2208" t="e">
        <f t="shared" si="103"/>
        <v>#VALUE!</v>
      </c>
      <c r="N2208">
        <f t="shared" si="104"/>
        <v>0</v>
      </c>
    </row>
    <row r="2209" spans="12:14" x14ac:dyDescent="0.25">
      <c r="L2209" s="20" t="e">
        <f t="shared" si="102"/>
        <v>#VALUE!</v>
      </c>
      <c r="M2209" t="e">
        <f t="shared" si="103"/>
        <v>#VALUE!</v>
      </c>
      <c r="N2209">
        <f t="shared" si="104"/>
        <v>0</v>
      </c>
    </row>
    <row r="2210" spans="12:14" x14ac:dyDescent="0.25">
      <c r="L2210" s="20" t="e">
        <f t="shared" si="102"/>
        <v>#VALUE!</v>
      </c>
      <c r="M2210" t="e">
        <f t="shared" si="103"/>
        <v>#VALUE!</v>
      </c>
      <c r="N2210">
        <f t="shared" si="104"/>
        <v>0</v>
      </c>
    </row>
    <row r="2211" spans="12:14" x14ac:dyDescent="0.25">
      <c r="L2211" s="20" t="e">
        <f t="shared" si="102"/>
        <v>#VALUE!</v>
      </c>
      <c r="M2211" t="e">
        <f t="shared" si="103"/>
        <v>#VALUE!</v>
      </c>
      <c r="N2211">
        <f t="shared" si="104"/>
        <v>0</v>
      </c>
    </row>
    <row r="2212" spans="12:14" x14ac:dyDescent="0.25">
      <c r="L2212" s="20" t="e">
        <f t="shared" si="102"/>
        <v>#VALUE!</v>
      </c>
      <c r="M2212" t="e">
        <f t="shared" si="103"/>
        <v>#VALUE!</v>
      </c>
      <c r="N2212">
        <f t="shared" si="104"/>
        <v>0</v>
      </c>
    </row>
    <row r="2213" spans="12:14" x14ac:dyDescent="0.25">
      <c r="L2213" s="20" t="e">
        <f t="shared" si="102"/>
        <v>#VALUE!</v>
      </c>
      <c r="M2213" t="e">
        <f t="shared" si="103"/>
        <v>#VALUE!</v>
      </c>
      <c r="N2213">
        <f t="shared" si="104"/>
        <v>0</v>
      </c>
    </row>
    <row r="2214" spans="12:14" x14ac:dyDescent="0.25">
      <c r="L2214" s="20" t="e">
        <f t="shared" si="102"/>
        <v>#VALUE!</v>
      </c>
      <c r="M2214" t="e">
        <f t="shared" si="103"/>
        <v>#VALUE!</v>
      </c>
      <c r="N2214">
        <f t="shared" si="104"/>
        <v>0</v>
      </c>
    </row>
    <row r="2215" spans="12:14" x14ac:dyDescent="0.25">
      <c r="L2215" s="20" t="e">
        <f t="shared" si="102"/>
        <v>#VALUE!</v>
      </c>
      <c r="M2215" t="e">
        <f t="shared" si="103"/>
        <v>#VALUE!</v>
      </c>
      <c r="N2215">
        <f t="shared" si="104"/>
        <v>0</v>
      </c>
    </row>
    <row r="2216" spans="12:14" x14ac:dyDescent="0.25">
      <c r="L2216" s="20" t="e">
        <f t="shared" si="102"/>
        <v>#VALUE!</v>
      </c>
      <c r="M2216" t="e">
        <f t="shared" si="103"/>
        <v>#VALUE!</v>
      </c>
      <c r="N2216">
        <f t="shared" si="104"/>
        <v>0</v>
      </c>
    </row>
    <row r="2217" spans="12:14" x14ac:dyDescent="0.25">
      <c r="L2217" s="20" t="e">
        <f t="shared" si="102"/>
        <v>#VALUE!</v>
      </c>
      <c r="M2217" t="e">
        <f t="shared" si="103"/>
        <v>#VALUE!</v>
      </c>
      <c r="N2217">
        <f t="shared" si="104"/>
        <v>0</v>
      </c>
    </row>
    <row r="2218" spans="12:14" x14ac:dyDescent="0.25">
      <c r="L2218" s="20" t="e">
        <f t="shared" si="102"/>
        <v>#VALUE!</v>
      </c>
      <c r="M2218" t="e">
        <f t="shared" si="103"/>
        <v>#VALUE!</v>
      </c>
      <c r="N2218">
        <f t="shared" si="104"/>
        <v>0</v>
      </c>
    </row>
    <row r="2219" spans="12:14" x14ac:dyDescent="0.25">
      <c r="L2219" s="20" t="e">
        <f t="shared" si="102"/>
        <v>#VALUE!</v>
      </c>
      <c r="M2219" t="e">
        <f t="shared" si="103"/>
        <v>#VALUE!</v>
      </c>
      <c r="N2219">
        <f t="shared" si="104"/>
        <v>0</v>
      </c>
    </row>
    <row r="2220" spans="12:14" x14ac:dyDescent="0.25">
      <c r="L2220" s="20" t="e">
        <f t="shared" si="102"/>
        <v>#VALUE!</v>
      </c>
      <c r="M2220" t="e">
        <f t="shared" si="103"/>
        <v>#VALUE!</v>
      </c>
      <c r="N2220">
        <f t="shared" si="104"/>
        <v>0</v>
      </c>
    </row>
    <row r="2221" spans="12:14" x14ac:dyDescent="0.25">
      <c r="L2221" s="20" t="e">
        <f t="shared" si="102"/>
        <v>#VALUE!</v>
      </c>
      <c r="M2221" t="e">
        <f t="shared" si="103"/>
        <v>#VALUE!</v>
      </c>
      <c r="N2221">
        <f t="shared" si="104"/>
        <v>0</v>
      </c>
    </row>
    <row r="2222" spans="12:14" x14ac:dyDescent="0.25">
      <c r="L2222" s="20" t="e">
        <f t="shared" si="102"/>
        <v>#VALUE!</v>
      </c>
      <c r="M2222" t="e">
        <f t="shared" si="103"/>
        <v>#VALUE!</v>
      </c>
      <c r="N2222">
        <f t="shared" si="104"/>
        <v>0</v>
      </c>
    </row>
    <row r="2223" spans="12:14" x14ac:dyDescent="0.25">
      <c r="L2223" s="20" t="e">
        <f t="shared" si="102"/>
        <v>#VALUE!</v>
      </c>
      <c r="M2223" t="e">
        <f t="shared" si="103"/>
        <v>#VALUE!</v>
      </c>
      <c r="N2223">
        <f t="shared" si="104"/>
        <v>0</v>
      </c>
    </row>
    <row r="2224" spans="12:14" x14ac:dyDescent="0.25">
      <c r="L2224" s="20" t="e">
        <f t="shared" si="102"/>
        <v>#VALUE!</v>
      </c>
      <c r="M2224" t="e">
        <f t="shared" si="103"/>
        <v>#VALUE!</v>
      </c>
      <c r="N2224">
        <f t="shared" si="104"/>
        <v>0</v>
      </c>
    </row>
    <row r="2225" spans="12:14" x14ac:dyDescent="0.25">
      <c r="L2225" s="20" t="e">
        <f t="shared" si="102"/>
        <v>#VALUE!</v>
      </c>
      <c r="M2225" t="e">
        <f t="shared" si="103"/>
        <v>#VALUE!</v>
      </c>
      <c r="N2225">
        <f t="shared" si="104"/>
        <v>0</v>
      </c>
    </row>
    <row r="2226" spans="12:14" x14ac:dyDescent="0.25">
      <c r="L2226" s="20" t="e">
        <f t="shared" si="102"/>
        <v>#VALUE!</v>
      </c>
      <c r="M2226" t="e">
        <f t="shared" si="103"/>
        <v>#VALUE!</v>
      </c>
      <c r="N2226">
        <f t="shared" si="104"/>
        <v>0</v>
      </c>
    </row>
    <row r="2227" spans="12:14" x14ac:dyDescent="0.25">
      <c r="L2227" s="20" t="e">
        <f t="shared" si="102"/>
        <v>#VALUE!</v>
      </c>
      <c r="M2227" t="e">
        <f t="shared" si="103"/>
        <v>#VALUE!</v>
      </c>
      <c r="N2227">
        <f t="shared" si="104"/>
        <v>0</v>
      </c>
    </row>
    <row r="2228" spans="12:14" x14ac:dyDescent="0.25">
      <c r="L2228" s="20" t="e">
        <f t="shared" si="102"/>
        <v>#VALUE!</v>
      </c>
      <c r="M2228" t="e">
        <f t="shared" si="103"/>
        <v>#VALUE!</v>
      </c>
      <c r="N2228">
        <f t="shared" si="104"/>
        <v>0</v>
      </c>
    </row>
    <row r="2229" spans="12:14" x14ac:dyDescent="0.25">
      <c r="L2229" s="20" t="e">
        <f t="shared" si="102"/>
        <v>#VALUE!</v>
      </c>
      <c r="M2229" t="e">
        <f t="shared" si="103"/>
        <v>#VALUE!</v>
      </c>
      <c r="N2229">
        <f t="shared" si="104"/>
        <v>0</v>
      </c>
    </row>
    <row r="2230" spans="12:14" x14ac:dyDescent="0.25">
      <c r="L2230" s="20" t="e">
        <f t="shared" si="102"/>
        <v>#VALUE!</v>
      </c>
      <c r="M2230" t="e">
        <f t="shared" si="103"/>
        <v>#VALUE!</v>
      </c>
      <c r="N2230">
        <f t="shared" si="104"/>
        <v>0</v>
      </c>
    </row>
    <row r="2231" spans="12:14" x14ac:dyDescent="0.25">
      <c r="L2231" s="20" t="e">
        <f t="shared" si="102"/>
        <v>#VALUE!</v>
      </c>
      <c r="M2231" t="e">
        <f t="shared" si="103"/>
        <v>#VALUE!</v>
      </c>
      <c r="N2231">
        <f t="shared" si="104"/>
        <v>0</v>
      </c>
    </row>
    <row r="2232" spans="12:14" x14ac:dyDescent="0.25">
      <c r="L2232" s="20" t="e">
        <f t="shared" si="102"/>
        <v>#VALUE!</v>
      </c>
      <c r="M2232" t="e">
        <f t="shared" si="103"/>
        <v>#VALUE!</v>
      </c>
      <c r="N2232">
        <f t="shared" si="104"/>
        <v>0</v>
      </c>
    </row>
    <row r="2233" spans="12:14" x14ac:dyDescent="0.25">
      <c r="L2233" s="20" t="e">
        <f t="shared" si="102"/>
        <v>#VALUE!</v>
      </c>
      <c r="M2233" t="e">
        <f t="shared" si="103"/>
        <v>#VALUE!</v>
      </c>
      <c r="N2233">
        <f t="shared" si="104"/>
        <v>0</v>
      </c>
    </row>
    <row r="2234" spans="12:14" x14ac:dyDescent="0.25">
      <c r="L2234" s="20" t="e">
        <f t="shared" si="102"/>
        <v>#VALUE!</v>
      </c>
      <c r="M2234" t="e">
        <f t="shared" si="103"/>
        <v>#VALUE!</v>
      </c>
      <c r="N2234">
        <f t="shared" si="104"/>
        <v>0</v>
      </c>
    </row>
    <row r="2235" spans="12:14" x14ac:dyDescent="0.25">
      <c r="L2235" s="20" t="e">
        <f t="shared" si="102"/>
        <v>#VALUE!</v>
      </c>
      <c r="M2235" t="e">
        <f t="shared" si="103"/>
        <v>#VALUE!</v>
      </c>
      <c r="N2235">
        <f t="shared" si="104"/>
        <v>0</v>
      </c>
    </row>
    <row r="2236" spans="12:14" x14ac:dyDescent="0.25">
      <c r="L2236" s="20" t="e">
        <f t="shared" si="102"/>
        <v>#VALUE!</v>
      </c>
      <c r="M2236" t="e">
        <f t="shared" si="103"/>
        <v>#VALUE!</v>
      </c>
      <c r="N2236">
        <f t="shared" si="104"/>
        <v>0</v>
      </c>
    </row>
    <row r="2237" spans="12:14" x14ac:dyDescent="0.25">
      <c r="L2237" s="20" t="e">
        <f t="shared" si="102"/>
        <v>#VALUE!</v>
      </c>
      <c r="M2237" t="e">
        <f t="shared" si="103"/>
        <v>#VALUE!</v>
      </c>
      <c r="N2237">
        <f t="shared" si="104"/>
        <v>0</v>
      </c>
    </row>
    <row r="2238" spans="12:14" x14ac:dyDescent="0.25">
      <c r="L2238" s="20" t="e">
        <f t="shared" si="102"/>
        <v>#VALUE!</v>
      </c>
      <c r="M2238" t="e">
        <f t="shared" si="103"/>
        <v>#VALUE!</v>
      </c>
      <c r="N2238">
        <f t="shared" si="104"/>
        <v>0</v>
      </c>
    </row>
    <row r="2239" spans="12:14" x14ac:dyDescent="0.25">
      <c r="L2239" s="20" t="e">
        <f t="shared" si="102"/>
        <v>#VALUE!</v>
      </c>
      <c r="M2239" t="e">
        <f t="shared" si="103"/>
        <v>#VALUE!</v>
      </c>
      <c r="N2239">
        <f t="shared" si="104"/>
        <v>0</v>
      </c>
    </row>
    <row r="2240" spans="12:14" x14ac:dyDescent="0.25">
      <c r="L2240" s="20" t="e">
        <f t="shared" si="102"/>
        <v>#VALUE!</v>
      </c>
      <c r="M2240" t="e">
        <f t="shared" si="103"/>
        <v>#VALUE!</v>
      </c>
      <c r="N2240">
        <f t="shared" si="104"/>
        <v>0</v>
      </c>
    </row>
    <row r="2241" spans="12:14" x14ac:dyDescent="0.25">
      <c r="L2241" s="20" t="e">
        <f t="shared" si="102"/>
        <v>#VALUE!</v>
      </c>
      <c r="M2241" t="e">
        <f t="shared" si="103"/>
        <v>#VALUE!</v>
      </c>
      <c r="N2241">
        <f t="shared" si="104"/>
        <v>0</v>
      </c>
    </row>
    <row r="2242" spans="12:14" x14ac:dyDescent="0.25">
      <c r="L2242" s="20" t="e">
        <f t="shared" si="102"/>
        <v>#VALUE!</v>
      </c>
      <c r="M2242" t="e">
        <f t="shared" si="103"/>
        <v>#VALUE!</v>
      </c>
      <c r="N2242">
        <f t="shared" si="104"/>
        <v>0</v>
      </c>
    </row>
    <row r="2243" spans="12:14" x14ac:dyDescent="0.25">
      <c r="L2243" s="20" t="e">
        <f t="shared" ref="L2243:L2306" si="105">DATEVALUE(LEFT(F2243,10))</f>
        <v>#VALUE!</v>
      </c>
      <c r="M2243" t="e">
        <f t="shared" ref="M2243:M2306" si="106">TEXT(L2243,"mm-yyyy")</f>
        <v>#VALUE!</v>
      </c>
      <c r="N2243">
        <f t="shared" ref="N2243:N2306" si="107">H2243*I2243</f>
        <v>0</v>
      </c>
    </row>
    <row r="2244" spans="12:14" x14ac:dyDescent="0.25">
      <c r="L2244" s="20" t="e">
        <f t="shared" si="105"/>
        <v>#VALUE!</v>
      </c>
      <c r="M2244" t="e">
        <f t="shared" si="106"/>
        <v>#VALUE!</v>
      </c>
      <c r="N2244">
        <f t="shared" si="107"/>
        <v>0</v>
      </c>
    </row>
    <row r="2245" spans="12:14" x14ac:dyDescent="0.25">
      <c r="L2245" s="20" t="e">
        <f t="shared" si="105"/>
        <v>#VALUE!</v>
      </c>
      <c r="M2245" t="e">
        <f t="shared" si="106"/>
        <v>#VALUE!</v>
      </c>
      <c r="N2245">
        <f t="shared" si="107"/>
        <v>0</v>
      </c>
    </row>
    <row r="2246" spans="12:14" x14ac:dyDescent="0.25">
      <c r="L2246" s="20" t="e">
        <f t="shared" si="105"/>
        <v>#VALUE!</v>
      </c>
      <c r="M2246" t="e">
        <f t="shared" si="106"/>
        <v>#VALUE!</v>
      </c>
      <c r="N2246">
        <f t="shared" si="107"/>
        <v>0</v>
      </c>
    </row>
    <row r="2247" spans="12:14" x14ac:dyDescent="0.25">
      <c r="L2247" s="20" t="e">
        <f t="shared" si="105"/>
        <v>#VALUE!</v>
      </c>
      <c r="M2247" t="e">
        <f t="shared" si="106"/>
        <v>#VALUE!</v>
      </c>
      <c r="N2247">
        <f t="shared" si="107"/>
        <v>0</v>
      </c>
    </row>
    <row r="2248" spans="12:14" x14ac:dyDescent="0.25">
      <c r="L2248" s="20" t="e">
        <f t="shared" si="105"/>
        <v>#VALUE!</v>
      </c>
      <c r="M2248" t="e">
        <f t="shared" si="106"/>
        <v>#VALUE!</v>
      </c>
      <c r="N2248">
        <f t="shared" si="107"/>
        <v>0</v>
      </c>
    </row>
    <row r="2249" spans="12:14" x14ac:dyDescent="0.25">
      <c r="L2249" s="20" t="e">
        <f t="shared" si="105"/>
        <v>#VALUE!</v>
      </c>
      <c r="M2249" t="e">
        <f t="shared" si="106"/>
        <v>#VALUE!</v>
      </c>
      <c r="N2249">
        <f t="shared" si="107"/>
        <v>0</v>
      </c>
    </row>
    <row r="2250" spans="12:14" x14ac:dyDescent="0.25">
      <c r="L2250" s="20" t="e">
        <f t="shared" si="105"/>
        <v>#VALUE!</v>
      </c>
      <c r="M2250" t="e">
        <f t="shared" si="106"/>
        <v>#VALUE!</v>
      </c>
      <c r="N2250">
        <f t="shared" si="107"/>
        <v>0</v>
      </c>
    </row>
    <row r="2251" spans="12:14" x14ac:dyDescent="0.25">
      <c r="L2251" s="20" t="e">
        <f t="shared" si="105"/>
        <v>#VALUE!</v>
      </c>
      <c r="M2251" t="e">
        <f t="shared" si="106"/>
        <v>#VALUE!</v>
      </c>
      <c r="N2251">
        <f t="shared" si="107"/>
        <v>0</v>
      </c>
    </row>
    <row r="2252" spans="12:14" x14ac:dyDescent="0.25">
      <c r="L2252" s="20" t="e">
        <f t="shared" si="105"/>
        <v>#VALUE!</v>
      </c>
      <c r="M2252" t="e">
        <f t="shared" si="106"/>
        <v>#VALUE!</v>
      </c>
      <c r="N2252">
        <f t="shared" si="107"/>
        <v>0</v>
      </c>
    </row>
    <row r="2253" spans="12:14" x14ac:dyDescent="0.25">
      <c r="L2253" s="20" t="e">
        <f t="shared" si="105"/>
        <v>#VALUE!</v>
      </c>
      <c r="M2253" t="e">
        <f t="shared" si="106"/>
        <v>#VALUE!</v>
      </c>
      <c r="N2253">
        <f t="shared" si="107"/>
        <v>0</v>
      </c>
    </row>
    <row r="2254" spans="12:14" x14ac:dyDescent="0.25">
      <c r="L2254" s="20" t="e">
        <f t="shared" si="105"/>
        <v>#VALUE!</v>
      </c>
      <c r="M2254" t="e">
        <f t="shared" si="106"/>
        <v>#VALUE!</v>
      </c>
      <c r="N2254">
        <f t="shared" si="107"/>
        <v>0</v>
      </c>
    </row>
    <row r="2255" spans="12:14" x14ac:dyDescent="0.25">
      <c r="L2255" s="20" t="e">
        <f t="shared" si="105"/>
        <v>#VALUE!</v>
      </c>
      <c r="M2255" t="e">
        <f t="shared" si="106"/>
        <v>#VALUE!</v>
      </c>
      <c r="N2255">
        <f t="shared" si="107"/>
        <v>0</v>
      </c>
    </row>
    <row r="2256" spans="12:14" x14ac:dyDescent="0.25">
      <c r="L2256" s="20" t="e">
        <f t="shared" si="105"/>
        <v>#VALUE!</v>
      </c>
      <c r="M2256" t="e">
        <f t="shared" si="106"/>
        <v>#VALUE!</v>
      </c>
      <c r="N2256">
        <f t="shared" si="107"/>
        <v>0</v>
      </c>
    </row>
    <row r="2257" spans="12:14" x14ac:dyDescent="0.25">
      <c r="L2257" s="20" t="e">
        <f t="shared" si="105"/>
        <v>#VALUE!</v>
      </c>
      <c r="M2257" t="e">
        <f t="shared" si="106"/>
        <v>#VALUE!</v>
      </c>
      <c r="N2257">
        <f t="shared" si="107"/>
        <v>0</v>
      </c>
    </row>
    <row r="2258" spans="12:14" x14ac:dyDescent="0.25">
      <c r="L2258" s="20" t="e">
        <f t="shared" si="105"/>
        <v>#VALUE!</v>
      </c>
      <c r="M2258" t="e">
        <f t="shared" si="106"/>
        <v>#VALUE!</v>
      </c>
      <c r="N2258">
        <f t="shared" si="107"/>
        <v>0</v>
      </c>
    </row>
    <row r="2259" spans="12:14" x14ac:dyDescent="0.25">
      <c r="L2259" s="20" t="e">
        <f t="shared" si="105"/>
        <v>#VALUE!</v>
      </c>
      <c r="M2259" t="e">
        <f t="shared" si="106"/>
        <v>#VALUE!</v>
      </c>
      <c r="N2259">
        <f t="shared" si="107"/>
        <v>0</v>
      </c>
    </row>
    <row r="2260" spans="12:14" x14ac:dyDescent="0.25">
      <c r="L2260" s="20" t="e">
        <f t="shared" si="105"/>
        <v>#VALUE!</v>
      </c>
      <c r="M2260" t="e">
        <f t="shared" si="106"/>
        <v>#VALUE!</v>
      </c>
      <c r="N2260">
        <f t="shared" si="107"/>
        <v>0</v>
      </c>
    </row>
    <row r="2261" spans="12:14" x14ac:dyDescent="0.25">
      <c r="L2261" s="20" t="e">
        <f t="shared" si="105"/>
        <v>#VALUE!</v>
      </c>
      <c r="M2261" t="e">
        <f t="shared" si="106"/>
        <v>#VALUE!</v>
      </c>
      <c r="N2261">
        <f t="shared" si="107"/>
        <v>0</v>
      </c>
    </row>
    <row r="2262" spans="12:14" x14ac:dyDescent="0.25">
      <c r="L2262" s="20" t="e">
        <f t="shared" si="105"/>
        <v>#VALUE!</v>
      </c>
      <c r="M2262" t="e">
        <f t="shared" si="106"/>
        <v>#VALUE!</v>
      </c>
      <c r="N2262">
        <f t="shared" si="107"/>
        <v>0</v>
      </c>
    </row>
    <row r="2263" spans="12:14" x14ac:dyDescent="0.25">
      <c r="L2263" s="20" t="e">
        <f t="shared" si="105"/>
        <v>#VALUE!</v>
      </c>
      <c r="M2263" t="e">
        <f t="shared" si="106"/>
        <v>#VALUE!</v>
      </c>
      <c r="N2263">
        <f t="shared" si="107"/>
        <v>0</v>
      </c>
    </row>
    <row r="2264" spans="12:14" x14ac:dyDescent="0.25">
      <c r="L2264" s="20" t="e">
        <f t="shared" si="105"/>
        <v>#VALUE!</v>
      </c>
      <c r="M2264" t="e">
        <f t="shared" si="106"/>
        <v>#VALUE!</v>
      </c>
      <c r="N2264">
        <f t="shared" si="107"/>
        <v>0</v>
      </c>
    </row>
    <row r="2265" spans="12:14" x14ac:dyDescent="0.25">
      <c r="L2265" s="20" t="e">
        <f t="shared" si="105"/>
        <v>#VALUE!</v>
      </c>
      <c r="M2265" t="e">
        <f t="shared" si="106"/>
        <v>#VALUE!</v>
      </c>
      <c r="N2265">
        <f t="shared" si="107"/>
        <v>0</v>
      </c>
    </row>
    <row r="2266" spans="12:14" x14ac:dyDescent="0.25">
      <c r="L2266" s="20" t="e">
        <f t="shared" si="105"/>
        <v>#VALUE!</v>
      </c>
      <c r="M2266" t="e">
        <f t="shared" si="106"/>
        <v>#VALUE!</v>
      </c>
      <c r="N2266">
        <f t="shared" si="107"/>
        <v>0</v>
      </c>
    </row>
    <row r="2267" spans="12:14" x14ac:dyDescent="0.25">
      <c r="L2267" s="20" t="e">
        <f t="shared" si="105"/>
        <v>#VALUE!</v>
      </c>
      <c r="M2267" t="e">
        <f t="shared" si="106"/>
        <v>#VALUE!</v>
      </c>
      <c r="N2267">
        <f t="shared" si="107"/>
        <v>0</v>
      </c>
    </row>
    <row r="2268" spans="12:14" x14ac:dyDescent="0.25">
      <c r="L2268" s="20" t="e">
        <f t="shared" si="105"/>
        <v>#VALUE!</v>
      </c>
      <c r="M2268" t="e">
        <f t="shared" si="106"/>
        <v>#VALUE!</v>
      </c>
      <c r="N2268">
        <f t="shared" si="107"/>
        <v>0</v>
      </c>
    </row>
    <row r="2269" spans="12:14" x14ac:dyDescent="0.25">
      <c r="L2269" s="20" t="e">
        <f t="shared" si="105"/>
        <v>#VALUE!</v>
      </c>
      <c r="M2269" t="e">
        <f t="shared" si="106"/>
        <v>#VALUE!</v>
      </c>
      <c r="N2269">
        <f t="shared" si="107"/>
        <v>0</v>
      </c>
    </row>
    <row r="2270" spans="12:14" x14ac:dyDescent="0.25">
      <c r="L2270" s="20" t="e">
        <f t="shared" si="105"/>
        <v>#VALUE!</v>
      </c>
      <c r="M2270" t="e">
        <f t="shared" si="106"/>
        <v>#VALUE!</v>
      </c>
      <c r="N2270">
        <f t="shared" si="107"/>
        <v>0</v>
      </c>
    </row>
    <row r="2271" spans="12:14" x14ac:dyDescent="0.25">
      <c r="L2271" s="20" t="e">
        <f t="shared" si="105"/>
        <v>#VALUE!</v>
      </c>
      <c r="M2271" t="e">
        <f t="shared" si="106"/>
        <v>#VALUE!</v>
      </c>
      <c r="N2271">
        <f t="shared" si="107"/>
        <v>0</v>
      </c>
    </row>
    <row r="2272" spans="12:14" x14ac:dyDescent="0.25">
      <c r="L2272" s="20" t="e">
        <f t="shared" si="105"/>
        <v>#VALUE!</v>
      </c>
      <c r="M2272" t="e">
        <f t="shared" si="106"/>
        <v>#VALUE!</v>
      </c>
      <c r="N2272">
        <f t="shared" si="107"/>
        <v>0</v>
      </c>
    </row>
    <row r="2273" spans="12:14" x14ac:dyDescent="0.25">
      <c r="L2273" s="20" t="e">
        <f t="shared" si="105"/>
        <v>#VALUE!</v>
      </c>
      <c r="M2273" t="e">
        <f t="shared" si="106"/>
        <v>#VALUE!</v>
      </c>
      <c r="N2273">
        <f t="shared" si="107"/>
        <v>0</v>
      </c>
    </row>
    <row r="2274" spans="12:14" x14ac:dyDescent="0.25">
      <c r="L2274" s="20" t="e">
        <f t="shared" si="105"/>
        <v>#VALUE!</v>
      </c>
      <c r="M2274" t="e">
        <f t="shared" si="106"/>
        <v>#VALUE!</v>
      </c>
      <c r="N2274">
        <f t="shared" si="107"/>
        <v>0</v>
      </c>
    </row>
    <row r="2275" spans="12:14" x14ac:dyDescent="0.25">
      <c r="L2275" s="20" t="e">
        <f t="shared" si="105"/>
        <v>#VALUE!</v>
      </c>
      <c r="M2275" t="e">
        <f t="shared" si="106"/>
        <v>#VALUE!</v>
      </c>
      <c r="N2275">
        <f t="shared" si="107"/>
        <v>0</v>
      </c>
    </row>
    <row r="2276" spans="12:14" x14ac:dyDescent="0.25">
      <c r="L2276" s="20" t="e">
        <f t="shared" si="105"/>
        <v>#VALUE!</v>
      </c>
      <c r="M2276" t="e">
        <f t="shared" si="106"/>
        <v>#VALUE!</v>
      </c>
      <c r="N2276">
        <f t="shared" si="107"/>
        <v>0</v>
      </c>
    </row>
    <row r="2277" spans="12:14" x14ac:dyDescent="0.25">
      <c r="L2277" s="20" t="e">
        <f t="shared" si="105"/>
        <v>#VALUE!</v>
      </c>
      <c r="M2277" t="e">
        <f t="shared" si="106"/>
        <v>#VALUE!</v>
      </c>
      <c r="N2277">
        <f t="shared" si="107"/>
        <v>0</v>
      </c>
    </row>
    <row r="2278" spans="12:14" x14ac:dyDescent="0.25">
      <c r="L2278" s="20" t="e">
        <f t="shared" si="105"/>
        <v>#VALUE!</v>
      </c>
      <c r="M2278" t="e">
        <f t="shared" si="106"/>
        <v>#VALUE!</v>
      </c>
      <c r="N2278">
        <f t="shared" si="107"/>
        <v>0</v>
      </c>
    </row>
    <row r="2279" spans="12:14" x14ac:dyDescent="0.25">
      <c r="L2279" s="20" t="e">
        <f t="shared" si="105"/>
        <v>#VALUE!</v>
      </c>
      <c r="M2279" t="e">
        <f t="shared" si="106"/>
        <v>#VALUE!</v>
      </c>
      <c r="N2279">
        <f t="shared" si="107"/>
        <v>0</v>
      </c>
    </row>
    <row r="2280" spans="12:14" x14ac:dyDescent="0.25">
      <c r="L2280" s="20" t="e">
        <f t="shared" si="105"/>
        <v>#VALUE!</v>
      </c>
      <c r="M2280" t="e">
        <f t="shared" si="106"/>
        <v>#VALUE!</v>
      </c>
      <c r="N2280">
        <f t="shared" si="107"/>
        <v>0</v>
      </c>
    </row>
    <row r="2281" spans="12:14" x14ac:dyDescent="0.25">
      <c r="L2281" s="20" t="e">
        <f t="shared" si="105"/>
        <v>#VALUE!</v>
      </c>
      <c r="M2281" t="e">
        <f t="shared" si="106"/>
        <v>#VALUE!</v>
      </c>
      <c r="N2281">
        <f t="shared" si="107"/>
        <v>0</v>
      </c>
    </row>
    <row r="2282" spans="12:14" x14ac:dyDescent="0.25">
      <c r="L2282" s="20" t="e">
        <f t="shared" si="105"/>
        <v>#VALUE!</v>
      </c>
      <c r="M2282" t="e">
        <f t="shared" si="106"/>
        <v>#VALUE!</v>
      </c>
      <c r="N2282">
        <f t="shared" si="107"/>
        <v>0</v>
      </c>
    </row>
    <row r="2283" spans="12:14" x14ac:dyDescent="0.25">
      <c r="L2283" s="20" t="e">
        <f t="shared" si="105"/>
        <v>#VALUE!</v>
      </c>
      <c r="M2283" t="e">
        <f t="shared" si="106"/>
        <v>#VALUE!</v>
      </c>
      <c r="N2283">
        <f t="shared" si="107"/>
        <v>0</v>
      </c>
    </row>
    <row r="2284" spans="12:14" x14ac:dyDescent="0.25">
      <c r="L2284" s="20" t="e">
        <f t="shared" si="105"/>
        <v>#VALUE!</v>
      </c>
      <c r="M2284" t="e">
        <f t="shared" si="106"/>
        <v>#VALUE!</v>
      </c>
      <c r="N2284">
        <f t="shared" si="107"/>
        <v>0</v>
      </c>
    </row>
    <row r="2285" spans="12:14" x14ac:dyDescent="0.25">
      <c r="L2285" s="20" t="e">
        <f t="shared" si="105"/>
        <v>#VALUE!</v>
      </c>
      <c r="M2285" t="e">
        <f t="shared" si="106"/>
        <v>#VALUE!</v>
      </c>
      <c r="N2285">
        <f t="shared" si="107"/>
        <v>0</v>
      </c>
    </row>
    <row r="2286" spans="12:14" x14ac:dyDescent="0.25">
      <c r="L2286" s="20" t="e">
        <f t="shared" si="105"/>
        <v>#VALUE!</v>
      </c>
      <c r="M2286" t="e">
        <f t="shared" si="106"/>
        <v>#VALUE!</v>
      </c>
      <c r="N2286">
        <f t="shared" si="107"/>
        <v>0</v>
      </c>
    </row>
    <row r="2287" spans="12:14" x14ac:dyDescent="0.25">
      <c r="L2287" s="20" t="e">
        <f t="shared" si="105"/>
        <v>#VALUE!</v>
      </c>
      <c r="M2287" t="e">
        <f t="shared" si="106"/>
        <v>#VALUE!</v>
      </c>
      <c r="N2287">
        <f t="shared" si="107"/>
        <v>0</v>
      </c>
    </row>
    <row r="2288" spans="12:14" x14ac:dyDescent="0.25">
      <c r="L2288" s="20" t="e">
        <f t="shared" si="105"/>
        <v>#VALUE!</v>
      </c>
      <c r="M2288" t="e">
        <f t="shared" si="106"/>
        <v>#VALUE!</v>
      </c>
      <c r="N2288">
        <f t="shared" si="107"/>
        <v>0</v>
      </c>
    </row>
    <row r="2289" spans="12:14" x14ac:dyDescent="0.25">
      <c r="L2289" s="20" t="e">
        <f t="shared" si="105"/>
        <v>#VALUE!</v>
      </c>
      <c r="M2289" t="e">
        <f t="shared" si="106"/>
        <v>#VALUE!</v>
      </c>
      <c r="N2289">
        <f t="shared" si="107"/>
        <v>0</v>
      </c>
    </row>
    <row r="2290" spans="12:14" x14ac:dyDescent="0.25">
      <c r="L2290" s="20" t="e">
        <f t="shared" si="105"/>
        <v>#VALUE!</v>
      </c>
      <c r="M2290" t="e">
        <f t="shared" si="106"/>
        <v>#VALUE!</v>
      </c>
      <c r="N2290">
        <f t="shared" si="107"/>
        <v>0</v>
      </c>
    </row>
    <row r="2291" spans="12:14" x14ac:dyDescent="0.25">
      <c r="L2291" s="20" t="e">
        <f t="shared" si="105"/>
        <v>#VALUE!</v>
      </c>
      <c r="M2291" t="e">
        <f t="shared" si="106"/>
        <v>#VALUE!</v>
      </c>
      <c r="N2291">
        <f t="shared" si="107"/>
        <v>0</v>
      </c>
    </row>
    <row r="2292" spans="12:14" x14ac:dyDescent="0.25">
      <c r="L2292" s="20" t="e">
        <f t="shared" si="105"/>
        <v>#VALUE!</v>
      </c>
      <c r="M2292" t="e">
        <f t="shared" si="106"/>
        <v>#VALUE!</v>
      </c>
      <c r="N2292">
        <f t="shared" si="107"/>
        <v>0</v>
      </c>
    </row>
    <row r="2293" spans="12:14" x14ac:dyDescent="0.25">
      <c r="L2293" s="20" t="e">
        <f t="shared" si="105"/>
        <v>#VALUE!</v>
      </c>
      <c r="M2293" t="e">
        <f t="shared" si="106"/>
        <v>#VALUE!</v>
      </c>
      <c r="N2293">
        <f t="shared" si="107"/>
        <v>0</v>
      </c>
    </row>
    <row r="2294" spans="12:14" x14ac:dyDescent="0.25">
      <c r="L2294" s="20" t="e">
        <f t="shared" si="105"/>
        <v>#VALUE!</v>
      </c>
      <c r="M2294" t="e">
        <f t="shared" si="106"/>
        <v>#VALUE!</v>
      </c>
      <c r="N2294">
        <f t="shared" si="107"/>
        <v>0</v>
      </c>
    </row>
    <row r="2295" spans="12:14" x14ac:dyDescent="0.25">
      <c r="L2295" s="20" t="e">
        <f t="shared" si="105"/>
        <v>#VALUE!</v>
      </c>
      <c r="M2295" t="e">
        <f t="shared" si="106"/>
        <v>#VALUE!</v>
      </c>
      <c r="N2295">
        <f t="shared" si="107"/>
        <v>0</v>
      </c>
    </row>
    <row r="2296" spans="12:14" x14ac:dyDescent="0.25">
      <c r="L2296" s="20" t="e">
        <f t="shared" si="105"/>
        <v>#VALUE!</v>
      </c>
      <c r="M2296" t="e">
        <f t="shared" si="106"/>
        <v>#VALUE!</v>
      </c>
      <c r="N2296">
        <f t="shared" si="107"/>
        <v>0</v>
      </c>
    </row>
    <row r="2297" spans="12:14" x14ac:dyDescent="0.25">
      <c r="L2297" s="20" t="e">
        <f t="shared" si="105"/>
        <v>#VALUE!</v>
      </c>
      <c r="M2297" t="e">
        <f t="shared" si="106"/>
        <v>#VALUE!</v>
      </c>
      <c r="N2297">
        <f t="shared" si="107"/>
        <v>0</v>
      </c>
    </row>
    <row r="2298" spans="12:14" x14ac:dyDescent="0.25">
      <c r="L2298" s="20" t="e">
        <f t="shared" si="105"/>
        <v>#VALUE!</v>
      </c>
      <c r="M2298" t="e">
        <f t="shared" si="106"/>
        <v>#VALUE!</v>
      </c>
      <c r="N2298">
        <f t="shared" si="107"/>
        <v>0</v>
      </c>
    </row>
    <row r="2299" spans="12:14" x14ac:dyDescent="0.25">
      <c r="L2299" s="20" t="e">
        <f t="shared" si="105"/>
        <v>#VALUE!</v>
      </c>
      <c r="M2299" t="e">
        <f t="shared" si="106"/>
        <v>#VALUE!</v>
      </c>
      <c r="N2299">
        <f t="shared" si="107"/>
        <v>0</v>
      </c>
    </row>
    <row r="2300" spans="12:14" x14ac:dyDescent="0.25">
      <c r="L2300" s="20" t="e">
        <f t="shared" si="105"/>
        <v>#VALUE!</v>
      </c>
      <c r="M2300" t="e">
        <f t="shared" si="106"/>
        <v>#VALUE!</v>
      </c>
      <c r="N2300">
        <f t="shared" si="107"/>
        <v>0</v>
      </c>
    </row>
    <row r="2301" spans="12:14" x14ac:dyDescent="0.25">
      <c r="L2301" s="20" t="e">
        <f t="shared" si="105"/>
        <v>#VALUE!</v>
      </c>
      <c r="M2301" t="e">
        <f t="shared" si="106"/>
        <v>#VALUE!</v>
      </c>
      <c r="N2301">
        <f t="shared" si="107"/>
        <v>0</v>
      </c>
    </row>
    <row r="2302" spans="12:14" x14ac:dyDescent="0.25">
      <c r="L2302" s="20" t="e">
        <f t="shared" si="105"/>
        <v>#VALUE!</v>
      </c>
      <c r="M2302" t="e">
        <f t="shared" si="106"/>
        <v>#VALUE!</v>
      </c>
      <c r="N2302">
        <f t="shared" si="107"/>
        <v>0</v>
      </c>
    </row>
    <row r="2303" spans="12:14" x14ac:dyDescent="0.25">
      <c r="L2303" s="20" t="e">
        <f t="shared" si="105"/>
        <v>#VALUE!</v>
      </c>
      <c r="M2303" t="e">
        <f t="shared" si="106"/>
        <v>#VALUE!</v>
      </c>
      <c r="N2303">
        <f t="shared" si="107"/>
        <v>0</v>
      </c>
    </row>
    <row r="2304" spans="12:14" x14ac:dyDescent="0.25">
      <c r="L2304" s="20" t="e">
        <f t="shared" si="105"/>
        <v>#VALUE!</v>
      </c>
      <c r="M2304" t="e">
        <f t="shared" si="106"/>
        <v>#VALUE!</v>
      </c>
      <c r="N2304">
        <f t="shared" si="107"/>
        <v>0</v>
      </c>
    </row>
    <row r="2305" spans="12:14" x14ac:dyDescent="0.25">
      <c r="L2305" s="20" t="e">
        <f t="shared" si="105"/>
        <v>#VALUE!</v>
      </c>
      <c r="M2305" t="e">
        <f t="shared" si="106"/>
        <v>#VALUE!</v>
      </c>
      <c r="N2305">
        <f t="shared" si="107"/>
        <v>0</v>
      </c>
    </row>
    <row r="2306" spans="12:14" x14ac:dyDescent="0.25">
      <c r="L2306" s="20" t="e">
        <f t="shared" si="105"/>
        <v>#VALUE!</v>
      </c>
      <c r="M2306" t="e">
        <f t="shared" si="106"/>
        <v>#VALUE!</v>
      </c>
      <c r="N2306">
        <f t="shared" si="107"/>
        <v>0</v>
      </c>
    </row>
    <row r="2307" spans="12:14" x14ac:dyDescent="0.25">
      <c r="L2307" s="20" t="e">
        <f t="shared" ref="L2307:L2370" si="108">DATEVALUE(LEFT(F2307,10))</f>
        <v>#VALUE!</v>
      </c>
      <c r="M2307" t="e">
        <f t="shared" ref="M2307:M2370" si="109">TEXT(L2307,"mm-yyyy")</f>
        <v>#VALUE!</v>
      </c>
      <c r="N2307">
        <f t="shared" ref="N2307:N2370" si="110">H2307*I2307</f>
        <v>0</v>
      </c>
    </row>
    <row r="2308" spans="12:14" x14ac:dyDescent="0.25">
      <c r="L2308" s="20" t="e">
        <f t="shared" si="108"/>
        <v>#VALUE!</v>
      </c>
      <c r="M2308" t="e">
        <f t="shared" si="109"/>
        <v>#VALUE!</v>
      </c>
      <c r="N2308">
        <f t="shared" si="110"/>
        <v>0</v>
      </c>
    </row>
    <row r="2309" spans="12:14" x14ac:dyDescent="0.25">
      <c r="L2309" s="20" t="e">
        <f t="shared" si="108"/>
        <v>#VALUE!</v>
      </c>
      <c r="M2309" t="e">
        <f t="shared" si="109"/>
        <v>#VALUE!</v>
      </c>
      <c r="N2309">
        <f t="shared" si="110"/>
        <v>0</v>
      </c>
    </row>
    <row r="2310" spans="12:14" x14ac:dyDescent="0.25">
      <c r="L2310" s="20" t="e">
        <f t="shared" si="108"/>
        <v>#VALUE!</v>
      </c>
      <c r="M2310" t="e">
        <f t="shared" si="109"/>
        <v>#VALUE!</v>
      </c>
      <c r="N2310">
        <f t="shared" si="110"/>
        <v>0</v>
      </c>
    </row>
    <row r="2311" spans="12:14" x14ac:dyDescent="0.25">
      <c r="L2311" s="20" t="e">
        <f t="shared" si="108"/>
        <v>#VALUE!</v>
      </c>
      <c r="M2311" t="e">
        <f t="shared" si="109"/>
        <v>#VALUE!</v>
      </c>
      <c r="N2311">
        <f t="shared" si="110"/>
        <v>0</v>
      </c>
    </row>
    <row r="2312" spans="12:14" x14ac:dyDescent="0.25">
      <c r="L2312" s="20" t="e">
        <f t="shared" si="108"/>
        <v>#VALUE!</v>
      </c>
      <c r="M2312" t="e">
        <f t="shared" si="109"/>
        <v>#VALUE!</v>
      </c>
      <c r="N2312">
        <f t="shared" si="110"/>
        <v>0</v>
      </c>
    </row>
    <row r="2313" spans="12:14" x14ac:dyDescent="0.25">
      <c r="L2313" s="20" t="e">
        <f t="shared" si="108"/>
        <v>#VALUE!</v>
      </c>
      <c r="M2313" t="e">
        <f t="shared" si="109"/>
        <v>#VALUE!</v>
      </c>
      <c r="N2313">
        <f t="shared" si="110"/>
        <v>0</v>
      </c>
    </row>
    <row r="2314" spans="12:14" x14ac:dyDescent="0.25">
      <c r="L2314" s="20" t="e">
        <f t="shared" si="108"/>
        <v>#VALUE!</v>
      </c>
      <c r="M2314" t="e">
        <f t="shared" si="109"/>
        <v>#VALUE!</v>
      </c>
      <c r="N2314">
        <f t="shared" si="110"/>
        <v>0</v>
      </c>
    </row>
    <row r="2315" spans="12:14" x14ac:dyDescent="0.25">
      <c r="L2315" s="20" t="e">
        <f t="shared" si="108"/>
        <v>#VALUE!</v>
      </c>
      <c r="M2315" t="e">
        <f t="shared" si="109"/>
        <v>#VALUE!</v>
      </c>
      <c r="N2315">
        <f t="shared" si="110"/>
        <v>0</v>
      </c>
    </row>
    <row r="2316" spans="12:14" x14ac:dyDescent="0.25">
      <c r="L2316" s="20" t="e">
        <f t="shared" si="108"/>
        <v>#VALUE!</v>
      </c>
      <c r="M2316" t="e">
        <f t="shared" si="109"/>
        <v>#VALUE!</v>
      </c>
      <c r="N2316">
        <f t="shared" si="110"/>
        <v>0</v>
      </c>
    </row>
    <row r="2317" spans="12:14" x14ac:dyDescent="0.25">
      <c r="L2317" s="20" t="e">
        <f t="shared" si="108"/>
        <v>#VALUE!</v>
      </c>
      <c r="M2317" t="e">
        <f t="shared" si="109"/>
        <v>#VALUE!</v>
      </c>
      <c r="N2317">
        <f t="shared" si="110"/>
        <v>0</v>
      </c>
    </row>
    <row r="2318" spans="12:14" x14ac:dyDescent="0.25">
      <c r="L2318" s="20" t="e">
        <f t="shared" si="108"/>
        <v>#VALUE!</v>
      </c>
      <c r="M2318" t="e">
        <f t="shared" si="109"/>
        <v>#VALUE!</v>
      </c>
      <c r="N2318">
        <f t="shared" si="110"/>
        <v>0</v>
      </c>
    </row>
    <row r="2319" spans="12:14" x14ac:dyDescent="0.25">
      <c r="L2319" s="20" t="e">
        <f t="shared" si="108"/>
        <v>#VALUE!</v>
      </c>
      <c r="M2319" t="e">
        <f t="shared" si="109"/>
        <v>#VALUE!</v>
      </c>
      <c r="N2319">
        <f t="shared" si="110"/>
        <v>0</v>
      </c>
    </row>
    <row r="2320" spans="12:14" x14ac:dyDescent="0.25">
      <c r="L2320" s="20" t="e">
        <f t="shared" si="108"/>
        <v>#VALUE!</v>
      </c>
      <c r="M2320" t="e">
        <f t="shared" si="109"/>
        <v>#VALUE!</v>
      </c>
      <c r="N2320">
        <f t="shared" si="110"/>
        <v>0</v>
      </c>
    </row>
    <row r="2321" spans="12:14" x14ac:dyDescent="0.25">
      <c r="L2321" s="20" t="e">
        <f t="shared" si="108"/>
        <v>#VALUE!</v>
      </c>
      <c r="M2321" t="e">
        <f t="shared" si="109"/>
        <v>#VALUE!</v>
      </c>
      <c r="N2321">
        <f t="shared" si="110"/>
        <v>0</v>
      </c>
    </row>
    <row r="2322" spans="12:14" x14ac:dyDescent="0.25">
      <c r="L2322" s="20" t="e">
        <f t="shared" si="108"/>
        <v>#VALUE!</v>
      </c>
      <c r="M2322" t="e">
        <f t="shared" si="109"/>
        <v>#VALUE!</v>
      </c>
      <c r="N2322">
        <f t="shared" si="110"/>
        <v>0</v>
      </c>
    </row>
    <row r="2323" spans="12:14" x14ac:dyDescent="0.25">
      <c r="L2323" s="20" t="e">
        <f t="shared" si="108"/>
        <v>#VALUE!</v>
      </c>
      <c r="M2323" t="e">
        <f t="shared" si="109"/>
        <v>#VALUE!</v>
      </c>
      <c r="N2323">
        <f t="shared" si="110"/>
        <v>0</v>
      </c>
    </row>
    <row r="2324" spans="12:14" x14ac:dyDescent="0.25">
      <c r="L2324" s="20" t="e">
        <f t="shared" si="108"/>
        <v>#VALUE!</v>
      </c>
      <c r="M2324" t="e">
        <f t="shared" si="109"/>
        <v>#VALUE!</v>
      </c>
      <c r="N2324">
        <f t="shared" si="110"/>
        <v>0</v>
      </c>
    </row>
    <row r="2325" spans="12:14" x14ac:dyDescent="0.25">
      <c r="L2325" s="20" t="e">
        <f t="shared" si="108"/>
        <v>#VALUE!</v>
      </c>
      <c r="M2325" t="e">
        <f t="shared" si="109"/>
        <v>#VALUE!</v>
      </c>
      <c r="N2325">
        <f t="shared" si="110"/>
        <v>0</v>
      </c>
    </row>
    <row r="2326" spans="12:14" x14ac:dyDescent="0.25">
      <c r="L2326" s="20" t="e">
        <f t="shared" si="108"/>
        <v>#VALUE!</v>
      </c>
      <c r="M2326" t="e">
        <f t="shared" si="109"/>
        <v>#VALUE!</v>
      </c>
      <c r="N2326">
        <f t="shared" si="110"/>
        <v>0</v>
      </c>
    </row>
    <row r="2327" spans="12:14" x14ac:dyDescent="0.25">
      <c r="L2327" s="20" t="e">
        <f t="shared" si="108"/>
        <v>#VALUE!</v>
      </c>
      <c r="M2327" t="e">
        <f t="shared" si="109"/>
        <v>#VALUE!</v>
      </c>
      <c r="N2327">
        <f t="shared" si="110"/>
        <v>0</v>
      </c>
    </row>
    <row r="2328" spans="12:14" x14ac:dyDescent="0.25">
      <c r="L2328" s="20" t="e">
        <f t="shared" si="108"/>
        <v>#VALUE!</v>
      </c>
      <c r="M2328" t="e">
        <f t="shared" si="109"/>
        <v>#VALUE!</v>
      </c>
      <c r="N2328">
        <f t="shared" si="110"/>
        <v>0</v>
      </c>
    </row>
    <row r="2329" spans="12:14" x14ac:dyDescent="0.25">
      <c r="L2329" s="20" t="e">
        <f t="shared" si="108"/>
        <v>#VALUE!</v>
      </c>
      <c r="M2329" t="e">
        <f t="shared" si="109"/>
        <v>#VALUE!</v>
      </c>
      <c r="N2329">
        <f t="shared" si="110"/>
        <v>0</v>
      </c>
    </row>
    <row r="2330" spans="12:14" x14ac:dyDescent="0.25">
      <c r="L2330" s="20" t="e">
        <f t="shared" si="108"/>
        <v>#VALUE!</v>
      </c>
      <c r="M2330" t="e">
        <f t="shared" si="109"/>
        <v>#VALUE!</v>
      </c>
      <c r="N2330">
        <f t="shared" si="110"/>
        <v>0</v>
      </c>
    </row>
    <row r="2331" spans="12:14" x14ac:dyDescent="0.25">
      <c r="L2331" s="20" t="e">
        <f t="shared" si="108"/>
        <v>#VALUE!</v>
      </c>
      <c r="M2331" t="e">
        <f t="shared" si="109"/>
        <v>#VALUE!</v>
      </c>
      <c r="N2331">
        <f t="shared" si="110"/>
        <v>0</v>
      </c>
    </row>
    <row r="2332" spans="12:14" x14ac:dyDescent="0.25">
      <c r="L2332" s="20" t="e">
        <f t="shared" si="108"/>
        <v>#VALUE!</v>
      </c>
      <c r="M2332" t="e">
        <f t="shared" si="109"/>
        <v>#VALUE!</v>
      </c>
      <c r="N2332">
        <f t="shared" si="110"/>
        <v>0</v>
      </c>
    </row>
    <row r="2333" spans="12:14" x14ac:dyDescent="0.25">
      <c r="L2333" s="20" t="e">
        <f t="shared" si="108"/>
        <v>#VALUE!</v>
      </c>
      <c r="M2333" t="e">
        <f t="shared" si="109"/>
        <v>#VALUE!</v>
      </c>
      <c r="N2333">
        <f t="shared" si="110"/>
        <v>0</v>
      </c>
    </row>
    <row r="2334" spans="12:14" x14ac:dyDescent="0.25">
      <c r="L2334" s="20" t="e">
        <f t="shared" si="108"/>
        <v>#VALUE!</v>
      </c>
      <c r="M2334" t="e">
        <f t="shared" si="109"/>
        <v>#VALUE!</v>
      </c>
      <c r="N2334">
        <f t="shared" si="110"/>
        <v>0</v>
      </c>
    </row>
    <row r="2335" spans="12:14" x14ac:dyDescent="0.25">
      <c r="L2335" s="20" t="e">
        <f t="shared" si="108"/>
        <v>#VALUE!</v>
      </c>
      <c r="M2335" t="e">
        <f t="shared" si="109"/>
        <v>#VALUE!</v>
      </c>
      <c r="N2335">
        <f t="shared" si="110"/>
        <v>0</v>
      </c>
    </row>
    <row r="2336" spans="12:14" x14ac:dyDescent="0.25">
      <c r="L2336" s="20" t="e">
        <f t="shared" si="108"/>
        <v>#VALUE!</v>
      </c>
      <c r="M2336" t="e">
        <f t="shared" si="109"/>
        <v>#VALUE!</v>
      </c>
      <c r="N2336">
        <f t="shared" si="110"/>
        <v>0</v>
      </c>
    </row>
    <row r="2337" spans="12:14" x14ac:dyDescent="0.25">
      <c r="L2337" s="20" t="e">
        <f t="shared" si="108"/>
        <v>#VALUE!</v>
      </c>
      <c r="M2337" t="e">
        <f t="shared" si="109"/>
        <v>#VALUE!</v>
      </c>
      <c r="N2337">
        <f t="shared" si="110"/>
        <v>0</v>
      </c>
    </row>
    <row r="2338" spans="12:14" x14ac:dyDescent="0.25">
      <c r="L2338" s="20" t="e">
        <f t="shared" si="108"/>
        <v>#VALUE!</v>
      </c>
      <c r="M2338" t="e">
        <f t="shared" si="109"/>
        <v>#VALUE!</v>
      </c>
      <c r="N2338">
        <f t="shared" si="110"/>
        <v>0</v>
      </c>
    </row>
    <row r="2339" spans="12:14" x14ac:dyDescent="0.25">
      <c r="L2339" s="20" t="e">
        <f t="shared" si="108"/>
        <v>#VALUE!</v>
      </c>
      <c r="M2339" t="e">
        <f t="shared" si="109"/>
        <v>#VALUE!</v>
      </c>
      <c r="N2339">
        <f t="shared" si="110"/>
        <v>0</v>
      </c>
    </row>
    <row r="2340" spans="12:14" x14ac:dyDescent="0.25">
      <c r="L2340" s="20" t="e">
        <f t="shared" si="108"/>
        <v>#VALUE!</v>
      </c>
      <c r="M2340" t="e">
        <f t="shared" si="109"/>
        <v>#VALUE!</v>
      </c>
      <c r="N2340">
        <f t="shared" si="110"/>
        <v>0</v>
      </c>
    </row>
    <row r="2341" spans="12:14" x14ac:dyDescent="0.25">
      <c r="L2341" s="20" t="e">
        <f t="shared" si="108"/>
        <v>#VALUE!</v>
      </c>
      <c r="M2341" t="e">
        <f t="shared" si="109"/>
        <v>#VALUE!</v>
      </c>
      <c r="N2341">
        <f t="shared" si="110"/>
        <v>0</v>
      </c>
    </row>
    <row r="2342" spans="12:14" x14ac:dyDescent="0.25">
      <c r="L2342" s="20" t="e">
        <f t="shared" si="108"/>
        <v>#VALUE!</v>
      </c>
      <c r="M2342" t="e">
        <f t="shared" si="109"/>
        <v>#VALUE!</v>
      </c>
      <c r="N2342">
        <f t="shared" si="110"/>
        <v>0</v>
      </c>
    </row>
    <row r="2343" spans="12:14" x14ac:dyDescent="0.25">
      <c r="L2343" s="20" t="e">
        <f t="shared" si="108"/>
        <v>#VALUE!</v>
      </c>
      <c r="M2343" t="e">
        <f t="shared" si="109"/>
        <v>#VALUE!</v>
      </c>
      <c r="N2343">
        <f t="shared" si="110"/>
        <v>0</v>
      </c>
    </row>
    <row r="2344" spans="12:14" x14ac:dyDescent="0.25">
      <c r="L2344" s="20" t="e">
        <f t="shared" si="108"/>
        <v>#VALUE!</v>
      </c>
      <c r="M2344" t="e">
        <f t="shared" si="109"/>
        <v>#VALUE!</v>
      </c>
      <c r="N2344">
        <f t="shared" si="110"/>
        <v>0</v>
      </c>
    </row>
    <row r="2345" spans="12:14" x14ac:dyDescent="0.25">
      <c r="L2345" s="20" t="e">
        <f t="shared" si="108"/>
        <v>#VALUE!</v>
      </c>
      <c r="M2345" t="e">
        <f t="shared" si="109"/>
        <v>#VALUE!</v>
      </c>
      <c r="N2345">
        <f t="shared" si="110"/>
        <v>0</v>
      </c>
    </row>
    <row r="2346" spans="12:14" x14ac:dyDescent="0.25">
      <c r="L2346" s="20" t="e">
        <f t="shared" si="108"/>
        <v>#VALUE!</v>
      </c>
      <c r="M2346" t="e">
        <f t="shared" si="109"/>
        <v>#VALUE!</v>
      </c>
      <c r="N2346">
        <f t="shared" si="110"/>
        <v>0</v>
      </c>
    </row>
    <row r="2347" spans="12:14" x14ac:dyDescent="0.25">
      <c r="L2347" s="20" t="e">
        <f t="shared" si="108"/>
        <v>#VALUE!</v>
      </c>
      <c r="M2347" t="e">
        <f t="shared" si="109"/>
        <v>#VALUE!</v>
      </c>
      <c r="N2347">
        <f t="shared" si="110"/>
        <v>0</v>
      </c>
    </row>
    <row r="2348" spans="12:14" x14ac:dyDescent="0.25">
      <c r="L2348" s="20" t="e">
        <f t="shared" si="108"/>
        <v>#VALUE!</v>
      </c>
      <c r="M2348" t="e">
        <f t="shared" si="109"/>
        <v>#VALUE!</v>
      </c>
      <c r="N2348">
        <f t="shared" si="110"/>
        <v>0</v>
      </c>
    </row>
    <row r="2349" spans="12:14" x14ac:dyDescent="0.25">
      <c r="L2349" s="20" t="e">
        <f t="shared" si="108"/>
        <v>#VALUE!</v>
      </c>
      <c r="M2349" t="e">
        <f t="shared" si="109"/>
        <v>#VALUE!</v>
      </c>
      <c r="N2349">
        <f t="shared" si="110"/>
        <v>0</v>
      </c>
    </row>
    <row r="2350" spans="12:14" x14ac:dyDescent="0.25">
      <c r="L2350" s="20" t="e">
        <f t="shared" si="108"/>
        <v>#VALUE!</v>
      </c>
      <c r="M2350" t="e">
        <f t="shared" si="109"/>
        <v>#VALUE!</v>
      </c>
      <c r="N2350">
        <f t="shared" si="110"/>
        <v>0</v>
      </c>
    </row>
    <row r="2351" spans="12:14" x14ac:dyDescent="0.25">
      <c r="L2351" s="20" t="e">
        <f t="shared" si="108"/>
        <v>#VALUE!</v>
      </c>
      <c r="M2351" t="e">
        <f t="shared" si="109"/>
        <v>#VALUE!</v>
      </c>
      <c r="N2351">
        <f t="shared" si="110"/>
        <v>0</v>
      </c>
    </row>
    <row r="2352" spans="12:14" x14ac:dyDescent="0.25">
      <c r="L2352" s="20" t="e">
        <f t="shared" si="108"/>
        <v>#VALUE!</v>
      </c>
      <c r="M2352" t="e">
        <f t="shared" si="109"/>
        <v>#VALUE!</v>
      </c>
      <c r="N2352">
        <f t="shared" si="110"/>
        <v>0</v>
      </c>
    </row>
    <row r="2353" spans="12:14" x14ac:dyDescent="0.25">
      <c r="L2353" s="20" t="e">
        <f t="shared" si="108"/>
        <v>#VALUE!</v>
      </c>
      <c r="M2353" t="e">
        <f t="shared" si="109"/>
        <v>#VALUE!</v>
      </c>
      <c r="N2353">
        <f t="shared" si="110"/>
        <v>0</v>
      </c>
    </row>
    <row r="2354" spans="12:14" x14ac:dyDescent="0.25">
      <c r="L2354" s="20" t="e">
        <f t="shared" si="108"/>
        <v>#VALUE!</v>
      </c>
      <c r="M2354" t="e">
        <f t="shared" si="109"/>
        <v>#VALUE!</v>
      </c>
      <c r="N2354">
        <f t="shared" si="110"/>
        <v>0</v>
      </c>
    </row>
    <row r="2355" spans="12:14" x14ac:dyDescent="0.25">
      <c r="L2355" s="20" t="e">
        <f t="shared" si="108"/>
        <v>#VALUE!</v>
      </c>
      <c r="M2355" t="e">
        <f t="shared" si="109"/>
        <v>#VALUE!</v>
      </c>
      <c r="N2355">
        <f t="shared" si="110"/>
        <v>0</v>
      </c>
    </row>
    <row r="2356" spans="12:14" x14ac:dyDescent="0.25">
      <c r="L2356" s="20" t="e">
        <f t="shared" si="108"/>
        <v>#VALUE!</v>
      </c>
      <c r="M2356" t="e">
        <f t="shared" si="109"/>
        <v>#VALUE!</v>
      </c>
      <c r="N2356">
        <f t="shared" si="110"/>
        <v>0</v>
      </c>
    </row>
    <row r="2357" spans="12:14" x14ac:dyDescent="0.25">
      <c r="L2357" s="20" t="e">
        <f t="shared" si="108"/>
        <v>#VALUE!</v>
      </c>
      <c r="M2357" t="e">
        <f t="shared" si="109"/>
        <v>#VALUE!</v>
      </c>
      <c r="N2357">
        <f t="shared" si="110"/>
        <v>0</v>
      </c>
    </row>
    <row r="2358" spans="12:14" x14ac:dyDescent="0.25">
      <c r="L2358" s="20" t="e">
        <f t="shared" si="108"/>
        <v>#VALUE!</v>
      </c>
      <c r="M2358" t="e">
        <f t="shared" si="109"/>
        <v>#VALUE!</v>
      </c>
      <c r="N2358">
        <f t="shared" si="110"/>
        <v>0</v>
      </c>
    </row>
    <row r="2359" spans="12:14" x14ac:dyDescent="0.25">
      <c r="L2359" s="20" t="e">
        <f t="shared" si="108"/>
        <v>#VALUE!</v>
      </c>
      <c r="M2359" t="e">
        <f t="shared" si="109"/>
        <v>#VALUE!</v>
      </c>
      <c r="N2359">
        <f t="shared" si="110"/>
        <v>0</v>
      </c>
    </row>
    <row r="2360" spans="12:14" x14ac:dyDescent="0.25">
      <c r="L2360" s="20" t="e">
        <f t="shared" si="108"/>
        <v>#VALUE!</v>
      </c>
      <c r="M2360" t="e">
        <f t="shared" si="109"/>
        <v>#VALUE!</v>
      </c>
      <c r="N2360">
        <f t="shared" si="110"/>
        <v>0</v>
      </c>
    </row>
    <row r="2361" spans="12:14" x14ac:dyDescent="0.25">
      <c r="L2361" s="20" t="e">
        <f t="shared" si="108"/>
        <v>#VALUE!</v>
      </c>
      <c r="M2361" t="e">
        <f t="shared" si="109"/>
        <v>#VALUE!</v>
      </c>
      <c r="N2361">
        <f t="shared" si="110"/>
        <v>0</v>
      </c>
    </row>
    <row r="2362" spans="12:14" x14ac:dyDescent="0.25">
      <c r="L2362" s="20" t="e">
        <f t="shared" si="108"/>
        <v>#VALUE!</v>
      </c>
      <c r="M2362" t="e">
        <f t="shared" si="109"/>
        <v>#VALUE!</v>
      </c>
      <c r="N2362">
        <f t="shared" si="110"/>
        <v>0</v>
      </c>
    </row>
    <row r="2363" spans="12:14" x14ac:dyDescent="0.25">
      <c r="L2363" s="20" t="e">
        <f t="shared" si="108"/>
        <v>#VALUE!</v>
      </c>
      <c r="M2363" t="e">
        <f t="shared" si="109"/>
        <v>#VALUE!</v>
      </c>
      <c r="N2363">
        <f t="shared" si="110"/>
        <v>0</v>
      </c>
    </row>
    <row r="2364" spans="12:14" x14ac:dyDescent="0.25">
      <c r="L2364" s="20" t="e">
        <f t="shared" si="108"/>
        <v>#VALUE!</v>
      </c>
      <c r="M2364" t="e">
        <f t="shared" si="109"/>
        <v>#VALUE!</v>
      </c>
      <c r="N2364">
        <f t="shared" si="110"/>
        <v>0</v>
      </c>
    </row>
    <row r="2365" spans="12:14" x14ac:dyDescent="0.25">
      <c r="L2365" s="20" t="e">
        <f t="shared" si="108"/>
        <v>#VALUE!</v>
      </c>
      <c r="M2365" t="e">
        <f t="shared" si="109"/>
        <v>#VALUE!</v>
      </c>
      <c r="N2365">
        <f t="shared" si="110"/>
        <v>0</v>
      </c>
    </row>
    <row r="2366" spans="12:14" x14ac:dyDescent="0.25">
      <c r="L2366" s="20" t="e">
        <f t="shared" si="108"/>
        <v>#VALUE!</v>
      </c>
      <c r="M2366" t="e">
        <f t="shared" si="109"/>
        <v>#VALUE!</v>
      </c>
      <c r="N2366">
        <f t="shared" si="110"/>
        <v>0</v>
      </c>
    </row>
    <row r="2367" spans="12:14" x14ac:dyDescent="0.25">
      <c r="L2367" s="20" t="e">
        <f t="shared" si="108"/>
        <v>#VALUE!</v>
      </c>
      <c r="M2367" t="e">
        <f t="shared" si="109"/>
        <v>#VALUE!</v>
      </c>
      <c r="N2367">
        <f t="shared" si="110"/>
        <v>0</v>
      </c>
    </row>
    <row r="2368" spans="12:14" x14ac:dyDescent="0.25">
      <c r="L2368" s="20" t="e">
        <f t="shared" si="108"/>
        <v>#VALUE!</v>
      </c>
      <c r="M2368" t="e">
        <f t="shared" si="109"/>
        <v>#VALUE!</v>
      </c>
      <c r="N2368">
        <f t="shared" si="110"/>
        <v>0</v>
      </c>
    </row>
    <row r="2369" spans="12:14" x14ac:dyDescent="0.25">
      <c r="L2369" s="20" t="e">
        <f t="shared" si="108"/>
        <v>#VALUE!</v>
      </c>
      <c r="M2369" t="e">
        <f t="shared" si="109"/>
        <v>#VALUE!</v>
      </c>
      <c r="N2369">
        <f t="shared" si="110"/>
        <v>0</v>
      </c>
    </row>
    <row r="2370" spans="12:14" x14ac:dyDescent="0.25">
      <c r="L2370" s="20" t="e">
        <f t="shared" si="108"/>
        <v>#VALUE!</v>
      </c>
      <c r="M2370" t="e">
        <f t="shared" si="109"/>
        <v>#VALUE!</v>
      </c>
      <c r="N2370">
        <f t="shared" si="110"/>
        <v>0</v>
      </c>
    </row>
    <row r="2371" spans="12:14" x14ac:dyDescent="0.25">
      <c r="L2371" s="20" t="e">
        <f t="shared" ref="L2371:L2434" si="111">DATEVALUE(LEFT(F2371,10))</f>
        <v>#VALUE!</v>
      </c>
      <c r="M2371" t="e">
        <f t="shared" ref="M2371:M2434" si="112">TEXT(L2371,"mm-yyyy")</f>
        <v>#VALUE!</v>
      </c>
      <c r="N2371">
        <f t="shared" ref="N2371:N2434" si="113">H2371*I2371</f>
        <v>0</v>
      </c>
    </row>
    <row r="2372" spans="12:14" x14ac:dyDescent="0.25">
      <c r="L2372" s="20" t="e">
        <f t="shared" si="111"/>
        <v>#VALUE!</v>
      </c>
      <c r="M2372" t="e">
        <f t="shared" si="112"/>
        <v>#VALUE!</v>
      </c>
      <c r="N2372">
        <f t="shared" si="113"/>
        <v>0</v>
      </c>
    </row>
    <row r="2373" spans="12:14" x14ac:dyDescent="0.25">
      <c r="L2373" s="20" t="e">
        <f t="shared" si="111"/>
        <v>#VALUE!</v>
      </c>
      <c r="M2373" t="e">
        <f t="shared" si="112"/>
        <v>#VALUE!</v>
      </c>
      <c r="N2373">
        <f t="shared" si="113"/>
        <v>0</v>
      </c>
    </row>
    <row r="2374" spans="12:14" x14ac:dyDescent="0.25">
      <c r="L2374" s="20" t="e">
        <f t="shared" si="111"/>
        <v>#VALUE!</v>
      </c>
      <c r="M2374" t="e">
        <f t="shared" si="112"/>
        <v>#VALUE!</v>
      </c>
      <c r="N2374">
        <f t="shared" si="113"/>
        <v>0</v>
      </c>
    </row>
    <row r="2375" spans="12:14" x14ac:dyDescent="0.25">
      <c r="L2375" s="20" t="e">
        <f t="shared" si="111"/>
        <v>#VALUE!</v>
      </c>
      <c r="M2375" t="e">
        <f t="shared" si="112"/>
        <v>#VALUE!</v>
      </c>
      <c r="N2375">
        <f t="shared" si="113"/>
        <v>0</v>
      </c>
    </row>
    <row r="2376" spans="12:14" x14ac:dyDescent="0.25">
      <c r="L2376" s="20" t="e">
        <f t="shared" si="111"/>
        <v>#VALUE!</v>
      </c>
      <c r="M2376" t="e">
        <f t="shared" si="112"/>
        <v>#VALUE!</v>
      </c>
      <c r="N2376">
        <f t="shared" si="113"/>
        <v>0</v>
      </c>
    </row>
    <row r="2377" spans="12:14" x14ac:dyDescent="0.25">
      <c r="L2377" s="20" t="e">
        <f t="shared" si="111"/>
        <v>#VALUE!</v>
      </c>
      <c r="M2377" t="e">
        <f t="shared" si="112"/>
        <v>#VALUE!</v>
      </c>
      <c r="N2377">
        <f t="shared" si="113"/>
        <v>0</v>
      </c>
    </row>
    <row r="2378" spans="12:14" x14ac:dyDescent="0.25">
      <c r="L2378" s="20" t="e">
        <f t="shared" si="111"/>
        <v>#VALUE!</v>
      </c>
      <c r="M2378" t="e">
        <f t="shared" si="112"/>
        <v>#VALUE!</v>
      </c>
      <c r="N2378">
        <f t="shared" si="113"/>
        <v>0</v>
      </c>
    </row>
    <row r="2379" spans="12:14" x14ac:dyDescent="0.25">
      <c r="L2379" s="20" t="e">
        <f t="shared" si="111"/>
        <v>#VALUE!</v>
      </c>
      <c r="M2379" t="e">
        <f t="shared" si="112"/>
        <v>#VALUE!</v>
      </c>
      <c r="N2379">
        <f t="shared" si="113"/>
        <v>0</v>
      </c>
    </row>
    <row r="2380" spans="12:14" x14ac:dyDescent="0.25">
      <c r="L2380" s="20" t="e">
        <f t="shared" si="111"/>
        <v>#VALUE!</v>
      </c>
      <c r="M2380" t="e">
        <f t="shared" si="112"/>
        <v>#VALUE!</v>
      </c>
      <c r="N2380">
        <f t="shared" si="113"/>
        <v>0</v>
      </c>
    </row>
    <row r="2381" spans="12:14" x14ac:dyDescent="0.25">
      <c r="L2381" s="20" t="e">
        <f t="shared" si="111"/>
        <v>#VALUE!</v>
      </c>
      <c r="M2381" t="e">
        <f t="shared" si="112"/>
        <v>#VALUE!</v>
      </c>
      <c r="N2381">
        <f t="shared" si="113"/>
        <v>0</v>
      </c>
    </row>
    <row r="2382" spans="12:14" x14ac:dyDescent="0.25">
      <c r="L2382" s="20" t="e">
        <f t="shared" si="111"/>
        <v>#VALUE!</v>
      </c>
      <c r="M2382" t="e">
        <f t="shared" si="112"/>
        <v>#VALUE!</v>
      </c>
      <c r="N2382">
        <f t="shared" si="113"/>
        <v>0</v>
      </c>
    </row>
    <row r="2383" spans="12:14" x14ac:dyDescent="0.25">
      <c r="L2383" s="20" t="e">
        <f t="shared" si="111"/>
        <v>#VALUE!</v>
      </c>
      <c r="M2383" t="e">
        <f t="shared" si="112"/>
        <v>#VALUE!</v>
      </c>
      <c r="N2383">
        <f t="shared" si="113"/>
        <v>0</v>
      </c>
    </row>
    <row r="2384" spans="12:14" x14ac:dyDescent="0.25">
      <c r="L2384" s="20" t="e">
        <f t="shared" si="111"/>
        <v>#VALUE!</v>
      </c>
      <c r="M2384" t="e">
        <f t="shared" si="112"/>
        <v>#VALUE!</v>
      </c>
      <c r="N2384">
        <f t="shared" si="113"/>
        <v>0</v>
      </c>
    </row>
    <row r="2385" spans="12:14" x14ac:dyDescent="0.25">
      <c r="L2385" s="20" t="e">
        <f t="shared" si="111"/>
        <v>#VALUE!</v>
      </c>
      <c r="M2385" t="e">
        <f t="shared" si="112"/>
        <v>#VALUE!</v>
      </c>
      <c r="N2385">
        <f t="shared" si="113"/>
        <v>0</v>
      </c>
    </row>
    <row r="2386" spans="12:14" x14ac:dyDescent="0.25">
      <c r="L2386" s="20" t="e">
        <f t="shared" si="111"/>
        <v>#VALUE!</v>
      </c>
      <c r="M2386" t="e">
        <f t="shared" si="112"/>
        <v>#VALUE!</v>
      </c>
      <c r="N2386">
        <f t="shared" si="113"/>
        <v>0</v>
      </c>
    </row>
    <row r="2387" spans="12:14" x14ac:dyDescent="0.25">
      <c r="L2387" s="20" t="e">
        <f t="shared" si="111"/>
        <v>#VALUE!</v>
      </c>
      <c r="M2387" t="e">
        <f t="shared" si="112"/>
        <v>#VALUE!</v>
      </c>
      <c r="N2387">
        <f t="shared" si="113"/>
        <v>0</v>
      </c>
    </row>
    <row r="2388" spans="12:14" x14ac:dyDescent="0.25">
      <c r="L2388" s="20" t="e">
        <f t="shared" si="111"/>
        <v>#VALUE!</v>
      </c>
      <c r="M2388" t="e">
        <f t="shared" si="112"/>
        <v>#VALUE!</v>
      </c>
      <c r="N2388">
        <f t="shared" si="113"/>
        <v>0</v>
      </c>
    </row>
    <row r="2389" spans="12:14" x14ac:dyDescent="0.25">
      <c r="L2389" s="20" t="e">
        <f t="shared" si="111"/>
        <v>#VALUE!</v>
      </c>
      <c r="M2389" t="e">
        <f t="shared" si="112"/>
        <v>#VALUE!</v>
      </c>
      <c r="N2389">
        <f t="shared" si="113"/>
        <v>0</v>
      </c>
    </row>
    <row r="2390" spans="12:14" x14ac:dyDescent="0.25">
      <c r="L2390" s="20" t="e">
        <f t="shared" si="111"/>
        <v>#VALUE!</v>
      </c>
      <c r="M2390" t="e">
        <f t="shared" si="112"/>
        <v>#VALUE!</v>
      </c>
      <c r="N2390">
        <f t="shared" si="113"/>
        <v>0</v>
      </c>
    </row>
    <row r="2391" spans="12:14" x14ac:dyDescent="0.25">
      <c r="L2391" s="20" t="e">
        <f t="shared" si="111"/>
        <v>#VALUE!</v>
      </c>
      <c r="M2391" t="e">
        <f t="shared" si="112"/>
        <v>#VALUE!</v>
      </c>
      <c r="N2391">
        <f t="shared" si="113"/>
        <v>0</v>
      </c>
    </row>
    <row r="2392" spans="12:14" x14ac:dyDescent="0.25">
      <c r="L2392" s="20" t="e">
        <f t="shared" si="111"/>
        <v>#VALUE!</v>
      </c>
      <c r="M2392" t="e">
        <f t="shared" si="112"/>
        <v>#VALUE!</v>
      </c>
      <c r="N2392">
        <f t="shared" si="113"/>
        <v>0</v>
      </c>
    </row>
    <row r="2393" spans="12:14" x14ac:dyDescent="0.25">
      <c r="L2393" s="20" t="e">
        <f t="shared" si="111"/>
        <v>#VALUE!</v>
      </c>
      <c r="M2393" t="e">
        <f t="shared" si="112"/>
        <v>#VALUE!</v>
      </c>
      <c r="N2393">
        <f t="shared" si="113"/>
        <v>0</v>
      </c>
    </row>
    <row r="2394" spans="12:14" x14ac:dyDescent="0.25">
      <c r="L2394" s="20" t="e">
        <f t="shared" si="111"/>
        <v>#VALUE!</v>
      </c>
      <c r="M2394" t="e">
        <f t="shared" si="112"/>
        <v>#VALUE!</v>
      </c>
      <c r="N2394">
        <f t="shared" si="113"/>
        <v>0</v>
      </c>
    </row>
    <row r="2395" spans="12:14" x14ac:dyDescent="0.25">
      <c r="L2395" s="20" t="e">
        <f t="shared" si="111"/>
        <v>#VALUE!</v>
      </c>
      <c r="M2395" t="e">
        <f t="shared" si="112"/>
        <v>#VALUE!</v>
      </c>
      <c r="N2395">
        <f t="shared" si="113"/>
        <v>0</v>
      </c>
    </row>
    <row r="2396" spans="12:14" x14ac:dyDescent="0.25">
      <c r="L2396" s="20" t="e">
        <f t="shared" si="111"/>
        <v>#VALUE!</v>
      </c>
      <c r="M2396" t="e">
        <f t="shared" si="112"/>
        <v>#VALUE!</v>
      </c>
      <c r="N2396">
        <f t="shared" si="113"/>
        <v>0</v>
      </c>
    </row>
    <row r="2397" spans="12:14" x14ac:dyDescent="0.25">
      <c r="L2397" s="20" t="e">
        <f t="shared" si="111"/>
        <v>#VALUE!</v>
      </c>
      <c r="M2397" t="e">
        <f t="shared" si="112"/>
        <v>#VALUE!</v>
      </c>
      <c r="N2397">
        <f t="shared" si="113"/>
        <v>0</v>
      </c>
    </row>
    <row r="2398" spans="12:14" x14ac:dyDescent="0.25">
      <c r="L2398" s="20" t="e">
        <f t="shared" si="111"/>
        <v>#VALUE!</v>
      </c>
      <c r="M2398" t="e">
        <f t="shared" si="112"/>
        <v>#VALUE!</v>
      </c>
      <c r="N2398">
        <f t="shared" si="113"/>
        <v>0</v>
      </c>
    </row>
    <row r="2399" spans="12:14" x14ac:dyDescent="0.25">
      <c r="L2399" s="20" t="e">
        <f t="shared" si="111"/>
        <v>#VALUE!</v>
      </c>
      <c r="M2399" t="e">
        <f t="shared" si="112"/>
        <v>#VALUE!</v>
      </c>
      <c r="N2399">
        <f t="shared" si="113"/>
        <v>0</v>
      </c>
    </row>
    <row r="2400" spans="12:14" x14ac:dyDescent="0.25">
      <c r="L2400" s="20" t="e">
        <f t="shared" si="111"/>
        <v>#VALUE!</v>
      </c>
      <c r="M2400" t="e">
        <f t="shared" si="112"/>
        <v>#VALUE!</v>
      </c>
      <c r="N2400">
        <f t="shared" si="113"/>
        <v>0</v>
      </c>
    </row>
    <row r="2401" spans="12:14" x14ac:dyDescent="0.25">
      <c r="L2401" s="20" t="e">
        <f t="shared" si="111"/>
        <v>#VALUE!</v>
      </c>
      <c r="M2401" t="e">
        <f t="shared" si="112"/>
        <v>#VALUE!</v>
      </c>
      <c r="N2401">
        <f t="shared" si="113"/>
        <v>0</v>
      </c>
    </row>
    <row r="2402" spans="12:14" x14ac:dyDescent="0.25">
      <c r="L2402" s="20" t="e">
        <f t="shared" si="111"/>
        <v>#VALUE!</v>
      </c>
      <c r="M2402" t="e">
        <f t="shared" si="112"/>
        <v>#VALUE!</v>
      </c>
      <c r="N2402">
        <f t="shared" si="113"/>
        <v>0</v>
      </c>
    </row>
    <row r="2403" spans="12:14" x14ac:dyDescent="0.25">
      <c r="L2403" s="20" t="e">
        <f t="shared" si="111"/>
        <v>#VALUE!</v>
      </c>
      <c r="M2403" t="e">
        <f t="shared" si="112"/>
        <v>#VALUE!</v>
      </c>
      <c r="N2403">
        <f t="shared" si="113"/>
        <v>0</v>
      </c>
    </row>
    <row r="2404" spans="12:14" x14ac:dyDescent="0.25">
      <c r="L2404" s="20" t="e">
        <f t="shared" si="111"/>
        <v>#VALUE!</v>
      </c>
      <c r="M2404" t="e">
        <f t="shared" si="112"/>
        <v>#VALUE!</v>
      </c>
      <c r="N2404">
        <f t="shared" si="113"/>
        <v>0</v>
      </c>
    </row>
    <row r="2405" spans="12:14" x14ac:dyDescent="0.25">
      <c r="L2405" s="20" t="e">
        <f t="shared" si="111"/>
        <v>#VALUE!</v>
      </c>
      <c r="M2405" t="e">
        <f t="shared" si="112"/>
        <v>#VALUE!</v>
      </c>
      <c r="N2405">
        <f t="shared" si="113"/>
        <v>0</v>
      </c>
    </row>
    <row r="2406" spans="12:14" x14ac:dyDescent="0.25">
      <c r="L2406" s="20" t="e">
        <f t="shared" si="111"/>
        <v>#VALUE!</v>
      </c>
      <c r="M2406" t="e">
        <f t="shared" si="112"/>
        <v>#VALUE!</v>
      </c>
      <c r="N2406">
        <f t="shared" si="113"/>
        <v>0</v>
      </c>
    </row>
    <row r="2407" spans="12:14" x14ac:dyDescent="0.25">
      <c r="L2407" s="20" t="e">
        <f t="shared" si="111"/>
        <v>#VALUE!</v>
      </c>
      <c r="M2407" t="e">
        <f t="shared" si="112"/>
        <v>#VALUE!</v>
      </c>
      <c r="N2407">
        <f t="shared" si="113"/>
        <v>0</v>
      </c>
    </row>
    <row r="2408" spans="12:14" x14ac:dyDescent="0.25">
      <c r="L2408" s="20" t="e">
        <f t="shared" si="111"/>
        <v>#VALUE!</v>
      </c>
      <c r="M2408" t="e">
        <f t="shared" si="112"/>
        <v>#VALUE!</v>
      </c>
      <c r="N2408">
        <f t="shared" si="113"/>
        <v>0</v>
      </c>
    </row>
    <row r="2409" spans="12:14" x14ac:dyDescent="0.25">
      <c r="L2409" s="20" t="e">
        <f t="shared" si="111"/>
        <v>#VALUE!</v>
      </c>
      <c r="M2409" t="e">
        <f t="shared" si="112"/>
        <v>#VALUE!</v>
      </c>
      <c r="N2409">
        <f t="shared" si="113"/>
        <v>0</v>
      </c>
    </row>
    <row r="2410" spans="12:14" x14ac:dyDescent="0.25">
      <c r="L2410" s="20" t="e">
        <f t="shared" si="111"/>
        <v>#VALUE!</v>
      </c>
      <c r="M2410" t="e">
        <f t="shared" si="112"/>
        <v>#VALUE!</v>
      </c>
      <c r="N2410">
        <f t="shared" si="113"/>
        <v>0</v>
      </c>
    </row>
    <row r="2411" spans="12:14" x14ac:dyDescent="0.25">
      <c r="L2411" s="20" t="e">
        <f t="shared" si="111"/>
        <v>#VALUE!</v>
      </c>
      <c r="M2411" t="e">
        <f t="shared" si="112"/>
        <v>#VALUE!</v>
      </c>
      <c r="N2411">
        <f t="shared" si="113"/>
        <v>0</v>
      </c>
    </row>
    <row r="2412" spans="12:14" x14ac:dyDescent="0.25">
      <c r="L2412" s="20" t="e">
        <f t="shared" si="111"/>
        <v>#VALUE!</v>
      </c>
      <c r="M2412" t="e">
        <f t="shared" si="112"/>
        <v>#VALUE!</v>
      </c>
      <c r="N2412">
        <f t="shared" si="113"/>
        <v>0</v>
      </c>
    </row>
    <row r="2413" spans="12:14" x14ac:dyDescent="0.25">
      <c r="L2413" s="20" t="e">
        <f t="shared" si="111"/>
        <v>#VALUE!</v>
      </c>
      <c r="M2413" t="e">
        <f t="shared" si="112"/>
        <v>#VALUE!</v>
      </c>
      <c r="N2413">
        <f t="shared" si="113"/>
        <v>0</v>
      </c>
    </row>
    <row r="2414" spans="12:14" x14ac:dyDescent="0.25">
      <c r="L2414" s="20" t="e">
        <f t="shared" si="111"/>
        <v>#VALUE!</v>
      </c>
      <c r="M2414" t="e">
        <f t="shared" si="112"/>
        <v>#VALUE!</v>
      </c>
      <c r="N2414">
        <f t="shared" si="113"/>
        <v>0</v>
      </c>
    </row>
    <row r="2415" spans="12:14" x14ac:dyDescent="0.25">
      <c r="L2415" s="20" t="e">
        <f t="shared" si="111"/>
        <v>#VALUE!</v>
      </c>
      <c r="M2415" t="e">
        <f t="shared" si="112"/>
        <v>#VALUE!</v>
      </c>
      <c r="N2415">
        <f t="shared" si="113"/>
        <v>0</v>
      </c>
    </row>
    <row r="2416" spans="12:14" x14ac:dyDescent="0.25">
      <c r="L2416" s="20" t="e">
        <f t="shared" si="111"/>
        <v>#VALUE!</v>
      </c>
      <c r="M2416" t="e">
        <f t="shared" si="112"/>
        <v>#VALUE!</v>
      </c>
      <c r="N2416">
        <f t="shared" si="113"/>
        <v>0</v>
      </c>
    </row>
    <row r="2417" spans="12:14" x14ac:dyDescent="0.25">
      <c r="L2417" s="20" t="e">
        <f t="shared" si="111"/>
        <v>#VALUE!</v>
      </c>
      <c r="M2417" t="e">
        <f t="shared" si="112"/>
        <v>#VALUE!</v>
      </c>
      <c r="N2417">
        <f t="shared" si="113"/>
        <v>0</v>
      </c>
    </row>
    <row r="2418" spans="12:14" x14ac:dyDescent="0.25">
      <c r="L2418" s="20" t="e">
        <f t="shared" si="111"/>
        <v>#VALUE!</v>
      </c>
      <c r="M2418" t="e">
        <f t="shared" si="112"/>
        <v>#VALUE!</v>
      </c>
      <c r="N2418">
        <f t="shared" si="113"/>
        <v>0</v>
      </c>
    </row>
    <row r="2419" spans="12:14" x14ac:dyDescent="0.25">
      <c r="L2419" s="20" t="e">
        <f t="shared" si="111"/>
        <v>#VALUE!</v>
      </c>
      <c r="M2419" t="e">
        <f t="shared" si="112"/>
        <v>#VALUE!</v>
      </c>
      <c r="N2419">
        <f t="shared" si="113"/>
        <v>0</v>
      </c>
    </row>
    <row r="2420" spans="12:14" x14ac:dyDescent="0.25">
      <c r="L2420" s="20" t="e">
        <f t="shared" si="111"/>
        <v>#VALUE!</v>
      </c>
      <c r="M2420" t="e">
        <f t="shared" si="112"/>
        <v>#VALUE!</v>
      </c>
      <c r="N2420">
        <f t="shared" si="113"/>
        <v>0</v>
      </c>
    </row>
    <row r="2421" spans="12:14" x14ac:dyDescent="0.25">
      <c r="L2421" s="20" t="e">
        <f t="shared" si="111"/>
        <v>#VALUE!</v>
      </c>
      <c r="M2421" t="e">
        <f t="shared" si="112"/>
        <v>#VALUE!</v>
      </c>
      <c r="N2421">
        <f t="shared" si="113"/>
        <v>0</v>
      </c>
    </row>
    <row r="2422" spans="12:14" x14ac:dyDescent="0.25">
      <c r="L2422" s="20" t="e">
        <f t="shared" si="111"/>
        <v>#VALUE!</v>
      </c>
      <c r="M2422" t="e">
        <f t="shared" si="112"/>
        <v>#VALUE!</v>
      </c>
      <c r="N2422">
        <f t="shared" si="113"/>
        <v>0</v>
      </c>
    </row>
    <row r="2423" spans="12:14" x14ac:dyDescent="0.25">
      <c r="L2423" s="20" t="e">
        <f t="shared" si="111"/>
        <v>#VALUE!</v>
      </c>
      <c r="M2423" t="e">
        <f t="shared" si="112"/>
        <v>#VALUE!</v>
      </c>
      <c r="N2423">
        <f t="shared" si="113"/>
        <v>0</v>
      </c>
    </row>
    <row r="2424" spans="12:14" x14ac:dyDescent="0.25">
      <c r="L2424" s="20" t="e">
        <f t="shared" si="111"/>
        <v>#VALUE!</v>
      </c>
      <c r="M2424" t="e">
        <f t="shared" si="112"/>
        <v>#VALUE!</v>
      </c>
      <c r="N2424">
        <f t="shared" si="113"/>
        <v>0</v>
      </c>
    </row>
    <row r="2425" spans="12:14" x14ac:dyDescent="0.25">
      <c r="L2425" s="20" t="e">
        <f t="shared" si="111"/>
        <v>#VALUE!</v>
      </c>
      <c r="M2425" t="e">
        <f t="shared" si="112"/>
        <v>#VALUE!</v>
      </c>
      <c r="N2425">
        <f t="shared" si="113"/>
        <v>0</v>
      </c>
    </row>
    <row r="2426" spans="12:14" x14ac:dyDescent="0.25">
      <c r="L2426" s="20" t="e">
        <f t="shared" si="111"/>
        <v>#VALUE!</v>
      </c>
      <c r="M2426" t="e">
        <f t="shared" si="112"/>
        <v>#VALUE!</v>
      </c>
      <c r="N2426">
        <f t="shared" si="113"/>
        <v>0</v>
      </c>
    </row>
    <row r="2427" spans="12:14" x14ac:dyDescent="0.25">
      <c r="L2427" s="20" t="e">
        <f t="shared" si="111"/>
        <v>#VALUE!</v>
      </c>
      <c r="M2427" t="e">
        <f t="shared" si="112"/>
        <v>#VALUE!</v>
      </c>
      <c r="N2427">
        <f t="shared" si="113"/>
        <v>0</v>
      </c>
    </row>
    <row r="2428" spans="12:14" x14ac:dyDescent="0.25">
      <c r="L2428" s="20" t="e">
        <f t="shared" si="111"/>
        <v>#VALUE!</v>
      </c>
      <c r="M2428" t="e">
        <f t="shared" si="112"/>
        <v>#VALUE!</v>
      </c>
      <c r="N2428">
        <f t="shared" si="113"/>
        <v>0</v>
      </c>
    </row>
    <row r="2429" spans="12:14" x14ac:dyDescent="0.25">
      <c r="L2429" s="20" t="e">
        <f t="shared" si="111"/>
        <v>#VALUE!</v>
      </c>
      <c r="M2429" t="e">
        <f t="shared" si="112"/>
        <v>#VALUE!</v>
      </c>
      <c r="N2429">
        <f t="shared" si="113"/>
        <v>0</v>
      </c>
    </row>
    <row r="2430" spans="12:14" x14ac:dyDescent="0.25">
      <c r="L2430" s="20" t="e">
        <f t="shared" si="111"/>
        <v>#VALUE!</v>
      </c>
      <c r="M2430" t="e">
        <f t="shared" si="112"/>
        <v>#VALUE!</v>
      </c>
      <c r="N2430">
        <f t="shared" si="113"/>
        <v>0</v>
      </c>
    </row>
    <row r="2431" spans="12:14" x14ac:dyDescent="0.25">
      <c r="L2431" s="20" t="e">
        <f t="shared" si="111"/>
        <v>#VALUE!</v>
      </c>
      <c r="M2431" t="e">
        <f t="shared" si="112"/>
        <v>#VALUE!</v>
      </c>
      <c r="N2431">
        <f t="shared" si="113"/>
        <v>0</v>
      </c>
    </row>
    <row r="2432" spans="12:14" x14ac:dyDescent="0.25">
      <c r="L2432" s="20" t="e">
        <f t="shared" si="111"/>
        <v>#VALUE!</v>
      </c>
      <c r="M2432" t="e">
        <f t="shared" si="112"/>
        <v>#VALUE!</v>
      </c>
      <c r="N2432">
        <f t="shared" si="113"/>
        <v>0</v>
      </c>
    </row>
    <row r="2433" spans="12:14" x14ac:dyDescent="0.25">
      <c r="L2433" s="20" t="e">
        <f t="shared" si="111"/>
        <v>#VALUE!</v>
      </c>
      <c r="M2433" t="e">
        <f t="shared" si="112"/>
        <v>#VALUE!</v>
      </c>
      <c r="N2433">
        <f t="shared" si="113"/>
        <v>0</v>
      </c>
    </row>
    <row r="2434" spans="12:14" x14ac:dyDescent="0.25">
      <c r="L2434" s="20" t="e">
        <f t="shared" si="111"/>
        <v>#VALUE!</v>
      </c>
      <c r="M2434" t="e">
        <f t="shared" si="112"/>
        <v>#VALUE!</v>
      </c>
      <c r="N2434">
        <f t="shared" si="113"/>
        <v>0</v>
      </c>
    </row>
    <row r="2435" spans="12:14" x14ac:dyDescent="0.25">
      <c r="L2435" s="20" t="e">
        <f t="shared" ref="L2435:L2498" si="114">DATEVALUE(LEFT(F2435,10))</f>
        <v>#VALUE!</v>
      </c>
      <c r="M2435" t="e">
        <f t="shared" ref="M2435:M2498" si="115">TEXT(L2435,"mm-yyyy")</f>
        <v>#VALUE!</v>
      </c>
      <c r="N2435">
        <f t="shared" ref="N2435:N2498" si="116">H2435*I2435</f>
        <v>0</v>
      </c>
    </row>
    <row r="2436" spans="12:14" x14ac:dyDescent="0.25">
      <c r="L2436" s="20" t="e">
        <f t="shared" si="114"/>
        <v>#VALUE!</v>
      </c>
      <c r="M2436" t="e">
        <f t="shared" si="115"/>
        <v>#VALUE!</v>
      </c>
      <c r="N2436">
        <f t="shared" si="116"/>
        <v>0</v>
      </c>
    </row>
    <row r="2437" spans="12:14" x14ac:dyDescent="0.25">
      <c r="L2437" s="20" t="e">
        <f t="shared" si="114"/>
        <v>#VALUE!</v>
      </c>
      <c r="M2437" t="e">
        <f t="shared" si="115"/>
        <v>#VALUE!</v>
      </c>
      <c r="N2437">
        <f t="shared" si="116"/>
        <v>0</v>
      </c>
    </row>
    <row r="2438" spans="12:14" x14ac:dyDescent="0.25">
      <c r="L2438" s="20" t="e">
        <f t="shared" si="114"/>
        <v>#VALUE!</v>
      </c>
      <c r="M2438" t="e">
        <f t="shared" si="115"/>
        <v>#VALUE!</v>
      </c>
      <c r="N2438">
        <f t="shared" si="116"/>
        <v>0</v>
      </c>
    </row>
    <row r="2439" spans="12:14" x14ac:dyDescent="0.25">
      <c r="L2439" s="20" t="e">
        <f t="shared" si="114"/>
        <v>#VALUE!</v>
      </c>
      <c r="M2439" t="e">
        <f t="shared" si="115"/>
        <v>#VALUE!</v>
      </c>
      <c r="N2439">
        <f t="shared" si="116"/>
        <v>0</v>
      </c>
    </row>
    <row r="2440" spans="12:14" x14ac:dyDescent="0.25">
      <c r="L2440" s="20" t="e">
        <f t="shared" si="114"/>
        <v>#VALUE!</v>
      </c>
      <c r="M2440" t="e">
        <f t="shared" si="115"/>
        <v>#VALUE!</v>
      </c>
      <c r="N2440">
        <f t="shared" si="116"/>
        <v>0</v>
      </c>
    </row>
    <row r="2441" spans="12:14" x14ac:dyDescent="0.25">
      <c r="L2441" s="20" t="e">
        <f t="shared" si="114"/>
        <v>#VALUE!</v>
      </c>
      <c r="M2441" t="e">
        <f t="shared" si="115"/>
        <v>#VALUE!</v>
      </c>
      <c r="N2441">
        <f t="shared" si="116"/>
        <v>0</v>
      </c>
    </row>
    <row r="2442" spans="12:14" x14ac:dyDescent="0.25">
      <c r="L2442" s="20" t="e">
        <f t="shared" si="114"/>
        <v>#VALUE!</v>
      </c>
      <c r="M2442" t="e">
        <f t="shared" si="115"/>
        <v>#VALUE!</v>
      </c>
      <c r="N2442">
        <f t="shared" si="116"/>
        <v>0</v>
      </c>
    </row>
    <row r="2443" spans="12:14" x14ac:dyDescent="0.25">
      <c r="L2443" s="20" t="e">
        <f t="shared" si="114"/>
        <v>#VALUE!</v>
      </c>
      <c r="M2443" t="e">
        <f t="shared" si="115"/>
        <v>#VALUE!</v>
      </c>
      <c r="N2443">
        <f t="shared" si="116"/>
        <v>0</v>
      </c>
    </row>
    <row r="2444" spans="12:14" x14ac:dyDescent="0.25">
      <c r="L2444" s="20" t="e">
        <f t="shared" si="114"/>
        <v>#VALUE!</v>
      </c>
      <c r="M2444" t="e">
        <f t="shared" si="115"/>
        <v>#VALUE!</v>
      </c>
      <c r="N2444">
        <f t="shared" si="116"/>
        <v>0</v>
      </c>
    </row>
    <row r="2445" spans="12:14" x14ac:dyDescent="0.25">
      <c r="L2445" s="20" t="e">
        <f t="shared" si="114"/>
        <v>#VALUE!</v>
      </c>
      <c r="M2445" t="e">
        <f t="shared" si="115"/>
        <v>#VALUE!</v>
      </c>
      <c r="N2445">
        <f t="shared" si="116"/>
        <v>0</v>
      </c>
    </row>
    <row r="2446" spans="12:14" x14ac:dyDescent="0.25">
      <c r="L2446" s="20" t="e">
        <f t="shared" si="114"/>
        <v>#VALUE!</v>
      </c>
      <c r="M2446" t="e">
        <f t="shared" si="115"/>
        <v>#VALUE!</v>
      </c>
      <c r="N2446">
        <f t="shared" si="116"/>
        <v>0</v>
      </c>
    </row>
    <row r="2447" spans="12:14" x14ac:dyDescent="0.25">
      <c r="L2447" s="20" t="e">
        <f t="shared" si="114"/>
        <v>#VALUE!</v>
      </c>
      <c r="M2447" t="e">
        <f t="shared" si="115"/>
        <v>#VALUE!</v>
      </c>
      <c r="N2447">
        <f t="shared" si="116"/>
        <v>0</v>
      </c>
    </row>
    <row r="2448" spans="12:14" x14ac:dyDescent="0.25">
      <c r="L2448" s="20" t="e">
        <f t="shared" si="114"/>
        <v>#VALUE!</v>
      </c>
      <c r="M2448" t="e">
        <f t="shared" si="115"/>
        <v>#VALUE!</v>
      </c>
      <c r="N2448">
        <f t="shared" si="116"/>
        <v>0</v>
      </c>
    </row>
    <row r="2449" spans="12:14" x14ac:dyDescent="0.25">
      <c r="L2449" s="20" t="e">
        <f t="shared" si="114"/>
        <v>#VALUE!</v>
      </c>
      <c r="M2449" t="e">
        <f t="shared" si="115"/>
        <v>#VALUE!</v>
      </c>
      <c r="N2449">
        <f t="shared" si="116"/>
        <v>0</v>
      </c>
    </row>
    <row r="2450" spans="12:14" x14ac:dyDescent="0.25">
      <c r="L2450" s="20" t="e">
        <f t="shared" si="114"/>
        <v>#VALUE!</v>
      </c>
      <c r="M2450" t="e">
        <f t="shared" si="115"/>
        <v>#VALUE!</v>
      </c>
      <c r="N2450">
        <f t="shared" si="116"/>
        <v>0</v>
      </c>
    </row>
    <row r="2451" spans="12:14" x14ac:dyDescent="0.25">
      <c r="L2451" s="20" t="e">
        <f t="shared" si="114"/>
        <v>#VALUE!</v>
      </c>
      <c r="M2451" t="e">
        <f t="shared" si="115"/>
        <v>#VALUE!</v>
      </c>
      <c r="N2451">
        <f t="shared" si="116"/>
        <v>0</v>
      </c>
    </row>
    <row r="2452" spans="12:14" x14ac:dyDescent="0.25">
      <c r="L2452" s="20" t="e">
        <f t="shared" si="114"/>
        <v>#VALUE!</v>
      </c>
      <c r="M2452" t="e">
        <f t="shared" si="115"/>
        <v>#VALUE!</v>
      </c>
      <c r="N2452">
        <f t="shared" si="116"/>
        <v>0</v>
      </c>
    </row>
    <row r="2453" spans="12:14" x14ac:dyDescent="0.25">
      <c r="L2453" s="20" t="e">
        <f t="shared" si="114"/>
        <v>#VALUE!</v>
      </c>
      <c r="M2453" t="e">
        <f t="shared" si="115"/>
        <v>#VALUE!</v>
      </c>
      <c r="N2453">
        <f t="shared" si="116"/>
        <v>0</v>
      </c>
    </row>
    <row r="2454" spans="12:14" x14ac:dyDescent="0.25">
      <c r="L2454" s="20" t="e">
        <f t="shared" si="114"/>
        <v>#VALUE!</v>
      </c>
      <c r="M2454" t="e">
        <f t="shared" si="115"/>
        <v>#VALUE!</v>
      </c>
      <c r="N2454">
        <f t="shared" si="116"/>
        <v>0</v>
      </c>
    </row>
    <row r="2455" spans="12:14" x14ac:dyDescent="0.25">
      <c r="L2455" s="20" t="e">
        <f t="shared" si="114"/>
        <v>#VALUE!</v>
      </c>
      <c r="M2455" t="e">
        <f t="shared" si="115"/>
        <v>#VALUE!</v>
      </c>
      <c r="N2455">
        <f t="shared" si="116"/>
        <v>0</v>
      </c>
    </row>
    <row r="2456" spans="12:14" x14ac:dyDescent="0.25">
      <c r="L2456" s="20" t="e">
        <f t="shared" si="114"/>
        <v>#VALUE!</v>
      </c>
      <c r="M2456" t="e">
        <f t="shared" si="115"/>
        <v>#VALUE!</v>
      </c>
      <c r="N2456">
        <f t="shared" si="116"/>
        <v>0</v>
      </c>
    </row>
    <row r="2457" spans="12:14" x14ac:dyDescent="0.25">
      <c r="L2457" s="20" t="e">
        <f t="shared" si="114"/>
        <v>#VALUE!</v>
      </c>
      <c r="M2457" t="e">
        <f t="shared" si="115"/>
        <v>#VALUE!</v>
      </c>
      <c r="N2457">
        <f t="shared" si="116"/>
        <v>0</v>
      </c>
    </row>
    <row r="2458" spans="12:14" x14ac:dyDescent="0.25">
      <c r="L2458" s="20" t="e">
        <f t="shared" si="114"/>
        <v>#VALUE!</v>
      </c>
      <c r="M2458" t="e">
        <f t="shared" si="115"/>
        <v>#VALUE!</v>
      </c>
      <c r="N2458">
        <f t="shared" si="116"/>
        <v>0</v>
      </c>
    </row>
    <row r="2459" spans="12:14" x14ac:dyDescent="0.25">
      <c r="L2459" s="20" t="e">
        <f t="shared" si="114"/>
        <v>#VALUE!</v>
      </c>
      <c r="M2459" t="e">
        <f t="shared" si="115"/>
        <v>#VALUE!</v>
      </c>
      <c r="N2459">
        <f t="shared" si="116"/>
        <v>0</v>
      </c>
    </row>
    <row r="2460" spans="12:14" x14ac:dyDescent="0.25">
      <c r="L2460" s="20" t="e">
        <f t="shared" si="114"/>
        <v>#VALUE!</v>
      </c>
      <c r="M2460" t="e">
        <f t="shared" si="115"/>
        <v>#VALUE!</v>
      </c>
      <c r="N2460">
        <f t="shared" si="116"/>
        <v>0</v>
      </c>
    </row>
    <row r="2461" spans="12:14" x14ac:dyDescent="0.25">
      <c r="L2461" s="20" t="e">
        <f t="shared" si="114"/>
        <v>#VALUE!</v>
      </c>
      <c r="M2461" t="e">
        <f t="shared" si="115"/>
        <v>#VALUE!</v>
      </c>
      <c r="N2461">
        <f t="shared" si="116"/>
        <v>0</v>
      </c>
    </row>
    <row r="2462" spans="12:14" x14ac:dyDescent="0.25">
      <c r="L2462" s="20" t="e">
        <f t="shared" si="114"/>
        <v>#VALUE!</v>
      </c>
      <c r="M2462" t="e">
        <f t="shared" si="115"/>
        <v>#VALUE!</v>
      </c>
      <c r="N2462">
        <f t="shared" si="116"/>
        <v>0</v>
      </c>
    </row>
    <row r="2463" spans="12:14" x14ac:dyDescent="0.25">
      <c r="L2463" s="20" t="e">
        <f t="shared" si="114"/>
        <v>#VALUE!</v>
      </c>
      <c r="M2463" t="e">
        <f t="shared" si="115"/>
        <v>#VALUE!</v>
      </c>
      <c r="N2463">
        <f t="shared" si="116"/>
        <v>0</v>
      </c>
    </row>
    <row r="2464" spans="12:14" x14ac:dyDescent="0.25">
      <c r="L2464" s="20" t="e">
        <f t="shared" si="114"/>
        <v>#VALUE!</v>
      </c>
      <c r="M2464" t="e">
        <f t="shared" si="115"/>
        <v>#VALUE!</v>
      </c>
      <c r="N2464">
        <f t="shared" si="116"/>
        <v>0</v>
      </c>
    </row>
    <row r="2465" spans="12:14" x14ac:dyDescent="0.25">
      <c r="L2465" s="20" t="e">
        <f t="shared" si="114"/>
        <v>#VALUE!</v>
      </c>
      <c r="M2465" t="e">
        <f t="shared" si="115"/>
        <v>#VALUE!</v>
      </c>
      <c r="N2465">
        <f t="shared" si="116"/>
        <v>0</v>
      </c>
    </row>
    <row r="2466" spans="12:14" x14ac:dyDescent="0.25">
      <c r="L2466" s="20" t="e">
        <f t="shared" si="114"/>
        <v>#VALUE!</v>
      </c>
      <c r="M2466" t="e">
        <f t="shared" si="115"/>
        <v>#VALUE!</v>
      </c>
      <c r="N2466">
        <f t="shared" si="116"/>
        <v>0</v>
      </c>
    </row>
    <row r="2467" spans="12:14" x14ac:dyDescent="0.25">
      <c r="L2467" s="20" t="e">
        <f t="shared" si="114"/>
        <v>#VALUE!</v>
      </c>
      <c r="M2467" t="e">
        <f t="shared" si="115"/>
        <v>#VALUE!</v>
      </c>
      <c r="N2467">
        <f t="shared" si="116"/>
        <v>0</v>
      </c>
    </row>
    <row r="2468" spans="12:14" x14ac:dyDescent="0.25">
      <c r="L2468" s="20" t="e">
        <f t="shared" si="114"/>
        <v>#VALUE!</v>
      </c>
      <c r="M2468" t="e">
        <f t="shared" si="115"/>
        <v>#VALUE!</v>
      </c>
      <c r="N2468">
        <f t="shared" si="116"/>
        <v>0</v>
      </c>
    </row>
    <row r="2469" spans="12:14" x14ac:dyDescent="0.25">
      <c r="L2469" s="20" t="e">
        <f t="shared" si="114"/>
        <v>#VALUE!</v>
      </c>
      <c r="M2469" t="e">
        <f t="shared" si="115"/>
        <v>#VALUE!</v>
      </c>
      <c r="N2469">
        <f t="shared" si="116"/>
        <v>0</v>
      </c>
    </row>
    <row r="2470" spans="12:14" x14ac:dyDescent="0.25">
      <c r="L2470" s="20" t="e">
        <f t="shared" si="114"/>
        <v>#VALUE!</v>
      </c>
      <c r="M2470" t="e">
        <f t="shared" si="115"/>
        <v>#VALUE!</v>
      </c>
      <c r="N2470">
        <f t="shared" si="116"/>
        <v>0</v>
      </c>
    </row>
    <row r="2471" spans="12:14" x14ac:dyDescent="0.25">
      <c r="L2471" s="20" t="e">
        <f t="shared" si="114"/>
        <v>#VALUE!</v>
      </c>
      <c r="M2471" t="e">
        <f t="shared" si="115"/>
        <v>#VALUE!</v>
      </c>
      <c r="N2471">
        <f t="shared" si="116"/>
        <v>0</v>
      </c>
    </row>
    <row r="2472" spans="12:14" x14ac:dyDescent="0.25">
      <c r="L2472" s="20" t="e">
        <f t="shared" si="114"/>
        <v>#VALUE!</v>
      </c>
      <c r="M2472" t="e">
        <f t="shared" si="115"/>
        <v>#VALUE!</v>
      </c>
      <c r="N2472">
        <f t="shared" si="116"/>
        <v>0</v>
      </c>
    </row>
    <row r="2473" spans="12:14" x14ac:dyDescent="0.25">
      <c r="L2473" s="20" t="e">
        <f t="shared" si="114"/>
        <v>#VALUE!</v>
      </c>
      <c r="M2473" t="e">
        <f t="shared" si="115"/>
        <v>#VALUE!</v>
      </c>
      <c r="N2473">
        <f t="shared" si="116"/>
        <v>0</v>
      </c>
    </row>
    <row r="2474" spans="12:14" x14ac:dyDescent="0.25">
      <c r="L2474" s="20" t="e">
        <f t="shared" si="114"/>
        <v>#VALUE!</v>
      </c>
      <c r="M2474" t="e">
        <f t="shared" si="115"/>
        <v>#VALUE!</v>
      </c>
      <c r="N2474">
        <f t="shared" si="116"/>
        <v>0</v>
      </c>
    </row>
    <row r="2475" spans="12:14" x14ac:dyDescent="0.25">
      <c r="L2475" s="20" t="e">
        <f t="shared" si="114"/>
        <v>#VALUE!</v>
      </c>
      <c r="M2475" t="e">
        <f t="shared" si="115"/>
        <v>#VALUE!</v>
      </c>
      <c r="N2475">
        <f t="shared" si="116"/>
        <v>0</v>
      </c>
    </row>
    <row r="2476" spans="12:14" x14ac:dyDescent="0.25">
      <c r="L2476" s="20" t="e">
        <f t="shared" si="114"/>
        <v>#VALUE!</v>
      </c>
      <c r="M2476" t="e">
        <f t="shared" si="115"/>
        <v>#VALUE!</v>
      </c>
      <c r="N2476">
        <f t="shared" si="116"/>
        <v>0</v>
      </c>
    </row>
    <row r="2477" spans="12:14" x14ac:dyDescent="0.25">
      <c r="L2477" s="20" t="e">
        <f t="shared" si="114"/>
        <v>#VALUE!</v>
      </c>
      <c r="M2477" t="e">
        <f t="shared" si="115"/>
        <v>#VALUE!</v>
      </c>
      <c r="N2477">
        <f t="shared" si="116"/>
        <v>0</v>
      </c>
    </row>
    <row r="2478" spans="12:14" x14ac:dyDescent="0.25">
      <c r="L2478" s="20" t="e">
        <f t="shared" si="114"/>
        <v>#VALUE!</v>
      </c>
      <c r="M2478" t="e">
        <f t="shared" si="115"/>
        <v>#VALUE!</v>
      </c>
      <c r="N2478">
        <f t="shared" si="116"/>
        <v>0</v>
      </c>
    </row>
    <row r="2479" spans="12:14" x14ac:dyDescent="0.25">
      <c r="L2479" s="20" t="e">
        <f t="shared" si="114"/>
        <v>#VALUE!</v>
      </c>
      <c r="M2479" t="e">
        <f t="shared" si="115"/>
        <v>#VALUE!</v>
      </c>
      <c r="N2479">
        <f t="shared" si="116"/>
        <v>0</v>
      </c>
    </row>
    <row r="2480" spans="12:14" x14ac:dyDescent="0.25">
      <c r="L2480" s="20" t="e">
        <f t="shared" si="114"/>
        <v>#VALUE!</v>
      </c>
      <c r="M2480" t="e">
        <f t="shared" si="115"/>
        <v>#VALUE!</v>
      </c>
      <c r="N2480">
        <f t="shared" si="116"/>
        <v>0</v>
      </c>
    </row>
    <row r="2481" spans="12:14" x14ac:dyDescent="0.25">
      <c r="L2481" s="20" t="e">
        <f t="shared" si="114"/>
        <v>#VALUE!</v>
      </c>
      <c r="M2481" t="e">
        <f t="shared" si="115"/>
        <v>#VALUE!</v>
      </c>
      <c r="N2481">
        <f t="shared" si="116"/>
        <v>0</v>
      </c>
    </row>
    <row r="2482" spans="12:14" x14ac:dyDescent="0.25">
      <c r="L2482" s="20" t="e">
        <f t="shared" si="114"/>
        <v>#VALUE!</v>
      </c>
      <c r="M2482" t="e">
        <f t="shared" si="115"/>
        <v>#VALUE!</v>
      </c>
      <c r="N2482">
        <f t="shared" si="116"/>
        <v>0</v>
      </c>
    </row>
    <row r="2483" spans="12:14" x14ac:dyDescent="0.25">
      <c r="L2483" s="20" t="e">
        <f t="shared" si="114"/>
        <v>#VALUE!</v>
      </c>
      <c r="M2483" t="e">
        <f t="shared" si="115"/>
        <v>#VALUE!</v>
      </c>
      <c r="N2483">
        <f t="shared" si="116"/>
        <v>0</v>
      </c>
    </row>
    <row r="2484" spans="12:14" x14ac:dyDescent="0.25">
      <c r="L2484" s="20" t="e">
        <f t="shared" si="114"/>
        <v>#VALUE!</v>
      </c>
      <c r="M2484" t="e">
        <f t="shared" si="115"/>
        <v>#VALUE!</v>
      </c>
      <c r="N2484">
        <f t="shared" si="116"/>
        <v>0</v>
      </c>
    </row>
    <row r="2485" spans="12:14" x14ac:dyDescent="0.25">
      <c r="L2485" s="20" t="e">
        <f t="shared" si="114"/>
        <v>#VALUE!</v>
      </c>
      <c r="M2485" t="e">
        <f t="shared" si="115"/>
        <v>#VALUE!</v>
      </c>
      <c r="N2485">
        <f t="shared" si="116"/>
        <v>0</v>
      </c>
    </row>
    <row r="2486" spans="12:14" x14ac:dyDescent="0.25">
      <c r="L2486" s="20" t="e">
        <f t="shared" si="114"/>
        <v>#VALUE!</v>
      </c>
      <c r="M2486" t="e">
        <f t="shared" si="115"/>
        <v>#VALUE!</v>
      </c>
      <c r="N2486">
        <f t="shared" si="116"/>
        <v>0</v>
      </c>
    </row>
    <row r="2487" spans="12:14" x14ac:dyDescent="0.25">
      <c r="L2487" s="20" t="e">
        <f t="shared" si="114"/>
        <v>#VALUE!</v>
      </c>
      <c r="M2487" t="e">
        <f t="shared" si="115"/>
        <v>#VALUE!</v>
      </c>
      <c r="N2487">
        <f t="shared" si="116"/>
        <v>0</v>
      </c>
    </row>
    <row r="2488" spans="12:14" x14ac:dyDescent="0.25">
      <c r="L2488" s="20" t="e">
        <f t="shared" si="114"/>
        <v>#VALUE!</v>
      </c>
      <c r="M2488" t="e">
        <f t="shared" si="115"/>
        <v>#VALUE!</v>
      </c>
      <c r="N2488">
        <f t="shared" si="116"/>
        <v>0</v>
      </c>
    </row>
    <row r="2489" spans="12:14" x14ac:dyDescent="0.25">
      <c r="L2489" s="20" t="e">
        <f t="shared" si="114"/>
        <v>#VALUE!</v>
      </c>
      <c r="M2489" t="e">
        <f t="shared" si="115"/>
        <v>#VALUE!</v>
      </c>
      <c r="N2489">
        <f t="shared" si="116"/>
        <v>0</v>
      </c>
    </row>
    <row r="2490" spans="12:14" x14ac:dyDescent="0.25">
      <c r="L2490" s="20" t="e">
        <f t="shared" si="114"/>
        <v>#VALUE!</v>
      </c>
      <c r="M2490" t="e">
        <f t="shared" si="115"/>
        <v>#VALUE!</v>
      </c>
      <c r="N2490">
        <f t="shared" si="116"/>
        <v>0</v>
      </c>
    </row>
    <row r="2491" spans="12:14" x14ac:dyDescent="0.25">
      <c r="L2491" s="20" t="e">
        <f t="shared" si="114"/>
        <v>#VALUE!</v>
      </c>
      <c r="M2491" t="e">
        <f t="shared" si="115"/>
        <v>#VALUE!</v>
      </c>
      <c r="N2491">
        <f t="shared" si="116"/>
        <v>0</v>
      </c>
    </row>
    <row r="2492" spans="12:14" x14ac:dyDescent="0.25">
      <c r="L2492" s="20" t="e">
        <f t="shared" si="114"/>
        <v>#VALUE!</v>
      </c>
      <c r="M2492" t="e">
        <f t="shared" si="115"/>
        <v>#VALUE!</v>
      </c>
      <c r="N2492">
        <f t="shared" si="116"/>
        <v>0</v>
      </c>
    </row>
    <row r="2493" spans="12:14" x14ac:dyDescent="0.25">
      <c r="L2493" s="20" t="e">
        <f t="shared" si="114"/>
        <v>#VALUE!</v>
      </c>
      <c r="M2493" t="e">
        <f t="shared" si="115"/>
        <v>#VALUE!</v>
      </c>
      <c r="N2493">
        <f t="shared" si="116"/>
        <v>0</v>
      </c>
    </row>
    <row r="2494" spans="12:14" x14ac:dyDescent="0.25">
      <c r="L2494" s="20" t="e">
        <f t="shared" si="114"/>
        <v>#VALUE!</v>
      </c>
      <c r="M2494" t="e">
        <f t="shared" si="115"/>
        <v>#VALUE!</v>
      </c>
      <c r="N2494">
        <f t="shared" si="116"/>
        <v>0</v>
      </c>
    </row>
    <row r="2495" spans="12:14" x14ac:dyDescent="0.25">
      <c r="L2495" s="20" t="e">
        <f t="shared" si="114"/>
        <v>#VALUE!</v>
      </c>
      <c r="M2495" t="e">
        <f t="shared" si="115"/>
        <v>#VALUE!</v>
      </c>
      <c r="N2495">
        <f t="shared" si="116"/>
        <v>0</v>
      </c>
    </row>
    <row r="2496" spans="12:14" x14ac:dyDescent="0.25">
      <c r="L2496" s="20" t="e">
        <f t="shared" si="114"/>
        <v>#VALUE!</v>
      </c>
      <c r="M2496" t="e">
        <f t="shared" si="115"/>
        <v>#VALUE!</v>
      </c>
      <c r="N2496">
        <f t="shared" si="116"/>
        <v>0</v>
      </c>
    </row>
    <row r="2497" spans="12:14" x14ac:dyDescent="0.25">
      <c r="L2497" s="20" t="e">
        <f t="shared" si="114"/>
        <v>#VALUE!</v>
      </c>
      <c r="M2497" t="e">
        <f t="shared" si="115"/>
        <v>#VALUE!</v>
      </c>
      <c r="N2497">
        <f t="shared" si="116"/>
        <v>0</v>
      </c>
    </row>
    <row r="2498" spans="12:14" x14ac:dyDescent="0.25">
      <c r="L2498" s="20" t="e">
        <f t="shared" si="114"/>
        <v>#VALUE!</v>
      </c>
      <c r="M2498" t="e">
        <f t="shared" si="115"/>
        <v>#VALUE!</v>
      </c>
      <c r="N2498">
        <f t="shared" si="116"/>
        <v>0</v>
      </c>
    </row>
    <row r="2499" spans="12:14" x14ac:dyDescent="0.25">
      <c r="L2499" s="20" t="e">
        <f t="shared" ref="L2499:L2562" si="117">DATEVALUE(LEFT(F2499,10))</f>
        <v>#VALUE!</v>
      </c>
      <c r="M2499" t="e">
        <f t="shared" ref="M2499:M2562" si="118">TEXT(L2499,"mm-yyyy")</f>
        <v>#VALUE!</v>
      </c>
      <c r="N2499">
        <f t="shared" ref="N2499:N2562" si="119">H2499*I2499</f>
        <v>0</v>
      </c>
    </row>
    <row r="2500" spans="12:14" x14ac:dyDescent="0.25">
      <c r="L2500" s="20" t="e">
        <f t="shared" si="117"/>
        <v>#VALUE!</v>
      </c>
      <c r="M2500" t="e">
        <f t="shared" si="118"/>
        <v>#VALUE!</v>
      </c>
      <c r="N2500">
        <f t="shared" si="119"/>
        <v>0</v>
      </c>
    </row>
    <row r="2501" spans="12:14" x14ac:dyDescent="0.25">
      <c r="L2501" s="20" t="e">
        <f t="shared" si="117"/>
        <v>#VALUE!</v>
      </c>
      <c r="M2501" t="e">
        <f t="shared" si="118"/>
        <v>#VALUE!</v>
      </c>
      <c r="N2501">
        <f t="shared" si="119"/>
        <v>0</v>
      </c>
    </row>
    <row r="2502" spans="12:14" x14ac:dyDescent="0.25">
      <c r="L2502" s="20" t="e">
        <f t="shared" si="117"/>
        <v>#VALUE!</v>
      </c>
      <c r="M2502" t="e">
        <f t="shared" si="118"/>
        <v>#VALUE!</v>
      </c>
      <c r="N2502">
        <f t="shared" si="119"/>
        <v>0</v>
      </c>
    </row>
    <row r="2503" spans="12:14" x14ac:dyDescent="0.25">
      <c r="L2503" s="20" t="e">
        <f t="shared" si="117"/>
        <v>#VALUE!</v>
      </c>
      <c r="M2503" t="e">
        <f t="shared" si="118"/>
        <v>#VALUE!</v>
      </c>
      <c r="N2503">
        <f t="shared" si="119"/>
        <v>0</v>
      </c>
    </row>
    <row r="2504" spans="12:14" x14ac:dyDescent="0.25">
      <c r="L2504" s="20" t="e">
        <f t="shared" si="117"/>
        <v>#VALUE!</v>
      </c>
      <c r="M2504" t="e">
        <f t="shared" si="118"/>
        <v>#VALUE!</v>
      </c>
      <c r="N2504">
        <f t="shared" si="119"/>
        <v>0</v>
      </c>
    </row>
    <row r="2505" spans="12:14" x14ac:dyDescent="0.25">
      <c r="L2505" s="20" t="e">
        <f t="shared" si="117"/>
        <v>#VALUE!</v>
      </c>
      <c r="M2505" t="e">
        <f t="shared" si="118"/>
        <v>#VALUE!</v>
      </c>
      <c r="N2505">
        <f t="shared" si="119"/>
        <v>0</v>
      </c>
    </row>
    <row r="2506" spans="12:14" x14ac:dyDescent="0.25">
      <c r="L2506" s="20" t="e">
        <f t="shared" si="117"/>
        <v>#VALUE!</v>
      </c>
      <c r="M2506" t="e">
        <f t="shared" si="118"/>
        <v>#VALUE!</v>
      </c>
      <c r="N2506">
        <f t="shared" si="119"/>
        <v>0</v>
      </c>
    </row>
    <row r="2507" spans="12:14" x14ac:dyDescent="0.25">
      <c r="L2507" s="20" t="e">
        <f t="shared" si="117"/>
        <v>#VALUE!</v>
      </c>
      <c r="M2507" t="e">
        <f t="shared" si="118"/>
        <v>#VALUE!</v>
      </c>
      <c r="N2507">
        <f t="shared" si="119"/>
        <v>0</v>
      </c>
    </row>
    <row r="2508" spans="12:14" x14ac:dyDescent="0.25">
      <c r="L2508" s="20" t="e">
        <f t="shared" si="117"/>
        <v>#VALUE!</v>
      </c>
      <c r="M2508" t="e">
        <f t="shared" si="118"/>
        <v>#VALUE!</v>
      </c>
      <c r="N2508">
        <f t="shared" si="119"/>
        <v>0</v>
      </c>
    </row>
    <row r="2509" spans="12:14" x14ac:dyDescent="0.25">
      <c r="L2509" s="20" t="e">
        <f t="shared" si="117"/>
        <v>#VALUE!</v>
      </c>
      <c r="M2509" t="e">
        <f t="shared" si="118"/>
        <v>#VALUE!</v>
      </c>
      <c r="N2509">
        <f t="shared" si="119"/>
        <v>0</v>
      </c>
    </row>
    <row r="2510" spans="12:14" x14ac:dyDescent="0.25">
      <c r="L2510" s="20" t="e">
        <f t="shared" si="117"/>
        <v>#VALUE!</v>
      </c>
      <c r="M2510" t="e">
        <f t="shared" si="118"/>
        <v>#VALUE!</v>
      </c>
      <c r="N2510">
        <f t="shared" si="119"/>
        <v>0</v>
      </c>
    </row>
    <row r="2511" spans="12:14" x14ac:dyDescent="0.25">
      <c r="L2511" s="20" t="e">
        <f t="shared" si="117"/>
        <v>#VALUE!</v>
      </c>
      <c r="M2511" t="e">
        <f t="shared" si="118"/>
        <v>#VALUE!</v>
      </c>
      <c r="N2511">
        <f t="shared" si="119"/>
        <v>0</v>
      </c>
    </row>
    <row r="2512" spans="12:14" x14ac:dyDescent="0.25">
      <c r="L2512" s="20" t="e">
        <f t="shared" si="117"/>
        <v>#VALUE!</v>
      </c>
      <c r="M2512" t="e">
        <f t="shared" si="118"/>
        <v>#VALUE!</v>
      </c>
      <c r="N2512">
        <f t="shared" si="119"/>
        <v>0</v>
      </c>
    </row>
    <row r="2513" spans="12:14" x14ac:dyDescent="0.25">
      <c r="L2513" s="20" t="e">
        <f t="shared" si="117"/>
        <v>#VALUE!</v>
      </c>
      <c r="M2513" t="e">
        <f t="shared" si="118"/>
        <v>#VALUE!</v>
      </c>
      <c r="N2513">
        <f t="shared" si="119"/>
        <v>0</v>
      </c>
    </row>
    <row r="2514" spans="12:14" x14ac:dyDescent="0.25">
      <c r="L2514" s="20" t="e">
        <f t="shared" si="117"/>
        <v>#VALUE!</v>
      </c>
      <c r="M2514" t="e">
        <f t="shared" si="118"/>
        <v>#VALUE!</v>
      </c>
      <c r="N2514">
        <f t="shared" si="119"/>
        <v>0</v>
      </c>
    </row>
    <row r="2515" spans="12:14" x14ac:dyDescent="0.25">
      <c r="L2515" s="20" t="e">
        <f t="shared" si="117"/>
        <v>#VALUE!</v>
      </c>
      <c r="M2515" t="e">
        <f t="shared" si="118"/>
        <v>#VALUE!</v>
      </c>
      <c r="N2515">
        <f t="shared" si="119"/>
        <v>0</v>
      </c>
    </row>
    <row r="2516" spans="12:14" x14ac:dyDescent="0.25">
      <c r="L2516" s="20" t="e">
        <f t="shared" si="117"/>
        <v>#VALUE!</v>
      </c>
      <c r="M2516" t="e">
        <f t="shared" si="118"/>
        <v>#VALUE!</v>
      </c>
      <c r="N2516">
        <f t="shared" si="119"/>
        <v>0</v>
      </c>
    </row>
    <row r="2517" spans="12:14" x14ac:dyDescent="0.25">
      <c r="L2517" s="20" t="e">
        <f t="shared" si="117"/>
        <v>#VALUE!</v>
      </c>
      <c r="M2517" t="e">
        <f t="shared" si="118"/>
        <v>#VALUE!</v>
      </c>
      <c r="N2517">
        <f t="shared" si="119"/>
        <v>0</v>
      </c>
    </row>
    <row r="2518" spans="12:14" x14ac:dyDescent="0.25">
      <c r="L2518" s="20" t="e">
        <f t="shared" si="117"/>
        <v>#VALUE!</v>
      </c>
      <c r="M2518" t="e">
        <f t="shared" si="118"/>
        <v>#VALUE!</v>
      </c>
      <c r="N2518">
        <f t="shared" si="119"/>
        <v>0</v>
      </c>
    </row>
    <row r="2519" spans="12:14" x14ac:dyDescent="0.25">
      <c r="L2519" s="20" t="e">
        <f t="shared" si="117"/>
        <v>#VALUE!</v>
      </c>
      <c r="M2519" t="e">
        <f t="shared" si="118"/>
        <v>#VALUE!</v>
      </c>
      <c r="N2519">
        <f t="shared" si="119"/>
        <v>0</v>
      </c>
    </row>
    <row r="2520" spans="12:14" x14ac:dyDescent="0.25">
      <c r="L2520" s="20" t="e">
        <f t="shared" si="117"/>
        <v>#VALUE!</v>
      </c>
      <c r="M2520" t="e">
        <f t="shared" si="118"/>
        <v>#VALUE!</v>
      </c>
      <c r="N2520">
        <f t="shared" si="119"/>
        <v>0</v>
      </c>
    </row>
    <row r="2521" spans="12:14" x14ac:dyDescent="0.25">
      <c r="L2521" s="20" t="e">
        <f t="shared" si="117"/>
        <v>#VALUE!</v>
      </c>
      <c r="M2521" t="e">
        <f t="shared" si="118"/>
        <v>#VALUE!</v>
      </c>
      <c r="N2521">
        <f t="shared" si="119"/>
        <v>0</v>
      </c>
    </row>
    <row r="2522" spans="12:14" x14ac:dyDescent="0.25">
      <c r="L2522" s="20" t="e">
        <f t="shared" si="117"/>
        <v>#VALUE!</v>
      </c>
      <c r="M2522" t="e">
        <f t="shared" si="118"/>
        <v>#VALUE!</v>
      </c>
      <c r="N2522">
        <f t="shared" si="119"/>
        <v>0</v>
      </c>
    </row>
    <row r="2523" spans="12:14" x14ac:dyDescent="0.25">
      <c r="L2523" s="20" t="e">
        <f t="shared" si="117"/>
        <v>#VALUE!</v>
      </c>
      <c r="M2523" t="e">
        <f t="shared" si="118"/>
        <v>#VALUE!</v>
      </c>
      <c r="N2523">
        <f t="shared" si="119"/>
        <v>0</v>
      </c>
    </row>
    <row r="2524" spans="12:14" x14ac:dyDescent="0.25">
      <c r="L2524" s="20" t="e">
        <f t="shared" si="117"/>
        <v>#VALUE!</v>
      </c>
      <c r="M2524" t="e">
        <f t="shared" si="118"/>
        <v>#VALUE!</v>
      </c>
      <c r="N2524">
        <f t="shared" si="119"/>
        <v>0</v>
      </c>
    </row>
    <row r="2525" spans="12:14" x14ac:dyDescent="0.25">
      <c r="L2525" s="20" t="e">
        <f t="shared" si="117"/>
        <v>#VALUE!</v>
      </c>
      <c r="M2525" t="e">
        <f t="shared" si="118"/>
        <v>#VALUE!</v>
      </c>
      <c r="N2525">
        <f t="shared" si="119"/>
        <v>0</v>
      </c>
    </row>
    <row r="2526" spans="12:14" x14ac:dyDescent="0.25">
      <c r="L2526" s="20" t="e">
        <f t="shared" si="117"/>
        <v>#VALUE!</v>
      </c>
      <c r="M2526" t="e">
        <f t="shared" si="118"/>
        <v>#VALUE!</v>
      </c>
      <c r="N2526">
        <f t="shared" si="119"/>
        <v>0</v>
      </c>
    </row>
    <row r="2527" spans="12:14" x14ac:dyDescent="0.25">
      <c r="L2527" s="20" t="e">
        <f t="shared" si="117"/>
        <v>#VALUE!</v>
      </c>
      <c r="M2527" t="e">
        <f t="shared" si="118"/>
        <v>#VALUE!</v>
      </c>
      <c r="N2527">
        <f t="shared" si="119"/>
        <v>0</v>
      </c>
    </row>
    <row r="2528" spans="12:14" x14ac:dyDescent="0.25">
      <c r="L2528" s="20" t="e">
        <f t="shared" si="117"/>
        <v>#VALUE!</v>
      </c>
      <c r="M2528" t="e">
        <f t="shared" si="118"/>
        <v>#VALUE!</v>
      </c>
      <c r="N2528">
        <f t="shared" si="119"/>
        <v>0</v>
      </c>
    </row>
    <row r="2529" spans="12:14" x14ac:dyDescent="0.25">
      <c r="L2529" s="20" t="e">
        <f t="shared" si="117"/>
        <v>#VALUE!</v>
      </c>
      <c r="M2529" t="e">
        <f t="shared" si="118"/>
        <v>#VALUE!</v>
      </c>
      <c r="N2529">
        <f t="shared" si="119"/>
        <v>0</v>
      </c>
    </row>
    <row r="2530" spans="12:14" x14ac:dyDescent="0.25">
      <c r="L2530" s="20" t="e">
        <f t="shared" si="117"/>
        <v>#VALUE!</v>
      </c>
      <c r="M2530" t="e">
        <f t="shared" si="118"/>
        <v>#VALUE!</v>
      </c>
      <c r="N2530">
        <f t="shared" si="119"/>
        <v>0</v>
      </c>
    </row>
    <row r="2531" spans="12:14" x14ac:dyDescent="0.25">
      <c r="L2531" s="20" t="e">
        <f t="shared" si="117"/>
        <v>#VALUE!</v>
      </c>
      <c r="M2531" t="e">
        <f t="shared" si="118"/>
        <v>#VALUE!</v>
      </c>
      <c r="N2531">
        <f t="shared" si="119"/>
        <v>0</v>
      </c>
    </row>
    <row r="2532" spans="12:14" x14ac:dyDescent="0.25">
      <c r="L2532" s="20" t="e">
        <f t="shared" si="117"/>
        <v>#VALUE!</v>
      </c>
      <c r="M2532" t="e">
        <f t="shared" si="118"/>
        <v>#VALUE!</v>
      </c>
      <c r="N2532">
        <f t="shared" si="119"/>
        <v>0</v>
      </c>
    </row>
    <row r="2533" spans="12:14" x14ac:dyDescent="0.25">
      <c r="L2533" s="20" t="e">
        <f t="shared" si="117"/>
        <v>#VALUE!</v>
      </c>
      <c r="M2533" t="e">
        <f t="shared" si="118"/>
        <v>#VALUE!</v>
      </c>
      <c r="N2533">
        <f t="shared" si="119"/>
        <v>0</v>
      </c>
    </row>
    <row r="2534" spans="12:14" x14ac:dyDescent="0.25">
      <c r="L2534" s="20" t="e">
        <f t="shared" si="117"/>
        <v>#VALUE!</v>
      </c>
      <c r="M2534" t="e">
        <f t="shared" si="118"/>
        <v>#VALUE!</v>
      </c>
      <c r="N2534">
        <f t="shared" si="119"/>
        <v>0</v>
      </c>
    </row>
    <row r="2535" spans="12:14" x14ac:dyDescent="0.25">
      <c r="L2535" s="20" t="e">
        <f t="shared" si="117"/>
        <v>#VALUE!</v>
      </c>
      <c r="M2535" t="e">
        <f t="shared" si="118"/>
        <v>#VALUE!</v>
      </c>
      <c r="N2535">
        <f t="shared" si="119"/>
        <v>0</v>
      </c>
    </row>
    <row r="2536" spans="12:14" x14ac:dyDescent="0.25">
      <c r="L2536" s="20" t="e">
        <f t="shared" si="117"/>
        <v>#VALUE!</v>
      </c>
      <c r="M2536" t="e">
        <f t="shared" si="118"/>
        <v>#VALUE!</v>
      </c>
      <c r="N2536">
        <f t="shared" si="119"/>
        <v>0</v>
      </c>
    </row>
    <row r="2537" spans="12:14" x14ac:dyDescent="0.25">
      <c r="L2537" s="20" t="e">
        <f t="shared" si="117"/>
        <v>#VALUE!</v>
      </c>
      <c r="M2537" t="e">
        <f t="shared" si="118"/>
        <v>#VALUE!</v>
      </c>
      <c r="N2537">
        <f t="shared" si="119"/>
        <v>0</v>
      </c>
    </row>
    <row r="2538" spans="12:14" x14ac:dyDescent="0.25">
      <c r="L2538" s="20" t="e">
        <f t="shared" si="117"/>
        <v>#VALUE!</v>
      </c>
      <c r="M2538" t="e">
        <f t="shared" si="118"/>
        <v>#VALUE!</v>
      </c>
      <c r="N2538">
        <f t="shared" si="119"/>
        <v>0</v>
      </c>
    </row>
    <row r="2539" spans="12:14" x14ac:dyDescent="0.25">
      <c r="L2539" s="20" t="e">
        <f t="shared" si="117"/>
        <v>#VALUE!</v>
      </c>
      <c r="M2539" t="e">
        <f t="shared" si="118"/>
        <v>#VALUE!</v>
      </c>
      <c r="N2539">
        <f t="shared" si="119"/>
        <v>0</v>
      </c>
    </row>
    <row r="2540" spans="12:14" x14ac:dyDescent="0.25">
      <c r="L2540" s="20" t="e">
        <f t="shared" si="117"/>
        <v>#VALUE!</v>
      </c>
      <c r="M2540" t="e">
        <f t="shared" si="118"/>
        <v>#VALUE!</v>
      </c>
      <c r="N2540">
        <f t="shared" si="119"/>
        <v>0</v>
      </c>
    </row>
    <row r="2541" spans="12:14" x14ac:dyDescent="0.25">
      <c r="L2541" s="20" t="e">
        <f t="shared" si="117"/>
        <v>#VALUE!</v>
      </c>
      <c r="M2541" t="e">
        <f t="shared" si="118"/>
        <v>#VALUE!</v>
      </c>
      <c r="N2541">
        <f t="shared" si="119"/>
        <v>0</v>
      </c>
    </row>
    <row r="2542" spans="12:14" x14ac:dyDescent="0.25">
      <c r="L2542" s="20" t="e">
        <f t="shared" si="117"/>
        <v>#VALUE!</v>
      </c>
      <c r="M2542" t="e">
        <f t="shared" si="118"/>
        <v>#VALUE!</v>
      </c>
      <c r="N2542">
        <f t="shared" si="119"/>
        <v>0</v>
      </c>
    </row>
    <row r="2543" spans="12:14" x14ac:dyDescent="0.25">
      <c r="L2543" s="20" t="e">
        <f t="shared" si="117"/>
        <v>#VALUE!</v>
      </c>
      <c r="M2543" t="e">
        <f t="shared" si="118"/>
        <v>#VALUE!</v>
      </c>
      <c r="N2543">
        <f t="shared" si="119"/>
        <v>0</v>
      </c>
    </row>
    <row r="2544" spans="12:14" x14ac:dyDescent="0.25">
      <c r="L2544" s="20" t="e">
        <f t="shared" si="117"/>
        <v>#VALUE!</v>
      </c>
      <c r="M2544" t="e">
        <f t="shared" si="118"/>
        <v>#VALUE!</v>
      </c>
      <c r="N2544">
        <f t="shared" si="119"/>
        <v>0</v>
      </c>
    </row>
    <row r="2545" spans="12:14" x14ac:dyDescent="0.25">
      <c r="L2545" s="20" t="e">
        <f t="shared" si="117"/>
        <v>#VALUE!</v>
      </c>
      <c r="M2545" t="e">
        <f t="shared" si="118"/>
        <v>#VALUE!</v>
      </c>
      <c r="N2545">
        <f t="shared" si="119"/>
        <v>0</v>
      </c>
    </row>
    <row r="2546" spans="12:14" x14ac:dyDescent="0.25">
      <c r="L2546" s="20" t="e">
        <f t="shared" si="117"/>
        <v>#VALUE!</v>
      </c>
      <c r="M2546" t="e">
        <f t="shared" si="118"/>
        <v>#VALUE!</v>
      </c>
      <c r="N2546">
        <f t="shared" si="119"/>
        <v>0</v>
      </c>
    </row>
    <row r="2547" spans="12:14" x14ac:dyDescent="0.25">
      <c r="L2547" s="20" t="e">
        <f t="shared" si="117"/>
        <v>#VALUE!</v>
      </c>
      <c r="M2547" t="e">
        <f t="shared" si="118"/>
        <v>#VALUE!</v>
      </c>
      <c r="N2547">
        <f t="shared" si="119"/>
        <v>0</v>
      </c>
    </row>
    <row r="2548" spans="12:14" x14ac:dyDescent="0.25">
      <c r="L2548" s="20" t="e">
        <f t="shared" si="117"/>
        <v>#VALUE!</v>
      </c>
      <c r="M2548" t="e">
        <f t="shared" si="118"/>
        <v>#VALUE!</v>
      </c>
      <c r="N2548">
        <f t="shared" si="119"/>
        <v>0</v>
      </c>
    </row>
    <row r="2549" spans="12:14" x14ac:dyDescent="0.25">
      <c r="L2549" s="20" t="e">
        <f t="shared" si="117"/>
        <v>#VALUE!</v>
      </c>
      <c r="M2549" t="e">
        <f t="shared" si="118"/>
        <v>#VALUE!</v>
      </c>
      <c r="N2549">
        <f t="shared" si="119"/>
        <v>0</v>
      </c>
    </row>
    <row r="2550" spans="12:14" x14ac:dyDescent="0.25">
      <c r="L2550" s="20" t="e">
        <f t="shared" si="117"/>
        <v>#VALUE!</v>
      </c>
      <c r="M2550" t="e">
        <f t="shared" si="118"/>
        <v>#VALUE!</v>
      </c>
      <c r="N2550">
        <f t="shared" si="119"/>
        <v>0</v>
      </c>
    </row>
    <row r="2551" spans="12:14" x14ac:dyDescent="0.25">
      <c r="L2551" s="20" t="e">
        <f t="shared" si="117"/>
        <v>#VALUE!</v>
      </c>
      <c r="M2551" t="e">
        <f t="shared" si="118"/>
        <v>#VALUE!</v>
      </c>
      <c r="N2551">
        <f t="shared" si="119"/>
        <v>0</v>
      </c>
    </row>
    <row r="2552" spans="12:14" x14ac:dyDescent="0.25">
      <c r="L2552" s="20" t="e">
        <f t="shared" si="117"/>
        <v>#VALUE!</v>
      </c>
      <c r="M2552" t="e">
        <f t="shared" si="118"/>
        <v>#VALUE!</v>
      </c>
      <c r="N2552">
        <f t="shared" si="119"/>
        <v>0</v>
      </c>
    </row>
    <row r="2553" spans="12:14" x14ac:dyDescent="0.25">
      <c r="L2553" s="20" t="e">
        <f t="shared" si="117"/>
        <v>#VALUE!</v>
      </c>
      <c r="M2553" t="e">
        <f t="shared" si="118"/>
        <v>#VALUE!</v>
      </c>
      <c r="N2553">
        <f t="shared" si="119"/>
        <v>0</v>
      </c>
    </row>
    <row r="2554" spans="12:14" x14ac:dyDescent="0.25">
      <c r="L2554" s="20" t="e">
        <f t="shared" si="117"/>
        <v>#VALUE!</v>
      </c>
      <c r="M2554" t="e">
        <f t="shared" si="118"/>
        <v>#VALUE!</v>
      </c>
      <c r="N2554">
        <f t="shared" si="119"/>
        <v>0</v>
      </c>
    </row>
    <row r="2555" spans="12:14" x14ac:dyDescent="0.25">
      <c r="L2555" s="20" t="e">
        <f t="shared" si="117"/>
        <v>#VALUE!</v>
      </c>
      <c r="M2555" t="e">
        <f t="shared" si="118"/>
        <v>#VALUE!</v>
      </c>
      <c r="N2555">
        <f t="shared" si="119"/>
        <v>0</v>
      </c>
    </row>
    <row r="2556" spans="12:14" x14ac:dyDescent="0.25">
      <c r="L2556" s="20" t="e">
        <f t="shared" si="117"/>
        <v>#VALUE!</v>
      </c>
      <c r="M2556" t="e">
        <f t="shared" si="118"/>
        <v>#VALUE!</v>
      </c>
      <c r="N2556">
        <f t="shared" si="119"/>
        <v>0</v>
      </c>
    </row>
    <row r="2557" spans="12:14" x14ac:dyDescent="0.25">
      <c r="L2557" s="20" t="e">
        <f t="shared" si="117"/>
        <v>#VALUE!</v>
      </c>
      <c r="M2557" t="e">
        <f t="shared" si="118"/>
        <v>#VALUE!</v>
      </c>
      <c r="N2557">
        <f t="shared" si="119"/>
        <v>0</v>
      </c>
    </row>
    <row r="2558" spans="12:14" x14ac:dyDescent="0.25">
      <c r="L2558" s="20" t="e">
        <f t="shared" si="117"/>
        <v>#VALUE!</v>
      </c>
      <c r="M2558" t="e">
        <f t="shared" si="118"/>
        <v>#VALUE!</v>
      </c>
      <c r="N2558">
        <f t="shared" si="119"/>
        <v>0</v>
      </c>
    </row>
    <row r="2559" spans="12:14" x14ac:dyDescent="0.25">
      <c r="L2559" s="20" t="e">
        <f t="shared" si="117"/>
        <v>#VALUE!</v>
      </c>
      <c r="M2559" t="e">
        <f t="shared" si="118"/>
        <v>#VALUE!</v>
      </c>
      <c r="N2559">
        <f t="shared" si="119"/>
        <v>0</v>
      </c>
    </row>
    <row r="2560" spans="12:14" x14ac:dyDescent="0.25">
      <c r="L2560" s="20" t="e">
        <f t="shared" si="117"/>
        <v>#VALUE!</v>
      </c>
      <c r="M2560" t="e">
        <f t="shared" si="118"/>
        <v>#VALUE!</v>
      </c>
      <c r="N2560">
        <f t="shared" si="119"/>
        <v>0</v>
      </c>
    </row>
    <row r="2561" spans="12:14" x14ac:dyDescent="0.25">
      <c r="L2561" s="20" t="e">
        <f t="shared" si="117"/>
        <v>#VALUE!</v>
      </c>
      <c r="M2561" t="e">
        <f t="shared" si="118"/>
        <v>#VALUE!</v>
      </c>
      <c r="N2561">
        <f t="shared" si="119"/>
        <v>0</v>
      </c>
    </row>
    <row r="2562" spans="12:14" x14ac:dyDescent="0.25">
      <c r="L2562" s="20" t="e">
        <f t="shared" si="117"/>
        <v>#VALUE!</v>
      </c>
      <c r="M2562" t="e">
        <f t="shared" si="118"/>
        <v>#VALUE!</v>
      </c>
      <c r="N2562">
        <f t="shared" si="119"/>
        <v>0</v>
      </c>
    </row>
    <row r="2563" spans="12:14" x14ac:dyDescent="0.25">
      <c r="L2563" s="20" t="e">
        <f t="shared" ref="L2563:L2626" si="120">DATEVALUE(LEFT(F2563,10))</f>
        <v>#VALUE!</v>
      </c>
      <c r="M2563" t="e">
        <f t="shared" ref="M2563:M2626" si="121">TEXT(L2563,"mm-yyyy")</f>
        <v>#VALUE!</v>
      </c>
      <c r="N2563">
        <f t="shared" ref="N2563:N2626" si="122">H2563*I2563</f>
        <v>0</v>
      </c>
    </row>
    <row r="2564" spans="12:14" x14ac:dyDescent="0.25">
      <c r="L2564" s="20" t="e">
        <f t="shared" si="120"/>
        <v>#VALUE!</v>
      </c>
      <c r="M2564" t="e">
        <f t="shared" si="121"/>
        <v>#VALUE!</v>
      </c>
      <c r="N2564">
        <f t="shared" si="122"/>
        <v>0</v>
      </c>
    </row>
    <row r="2565" spans="12:14" x14ac:dyDescent="0.25">
      <c r="L2565" s="20" t="e">
        <f t="shared" si="120"/>
        <v>#VALUE!</v>
      </c>
      <c r="M2565" t="e">
        <f t="shared" si="121"/>
        <v>#VALUE!</v>
      </c>
      <c r="N2565">
        <f t="shared" si="122"/>
        <v>0</v>
      </c>
    </row>
    <row r="2566" spans="12:14" x14ac:dyDescent="0.25">
      <c r="L2566" s="20" t="e">
        <f t="shared" si="120"/>
        <v>#VALUE!</v>
      </c>
      <c r="M2566" t="e">
        <f t="shared" si="121"/>
        <v>#VALUE!</v>
      </c>
      <c r="N2566">
        <f t="shared" si="122"/>
        <v>0</v>
      </c>
    </row>
    <row r="2567" spans="12:14" x14ac:dyDescent="0.25">
      <c r="L2567" s="20" t="e">
        <f t="shared" si="120"/>
        <v>#VALUE!</v>
      </c>
      <c r="M2567" t="e">
        <f t="shared" si="121"/>
        <v>#VALUE!</v>
      </c>
      <c r="N2567">
        <f t="shared" si="122"/>
        <v>0</v>
      </c>
    </row>
    <row r="2568" spans="12:14" x14ac:dyDescent="0.25">
      <c r="L2568" s="20" t="e">
        <f t="shared" si="120"/>
        <v>#VALUE!</v>
      </c>
      <c r="M2568" t="e">
        <f t="shared" si="121"/>
        <v>#VALUE!</v>
      </c>
      <c r="N2568">
        <f t="shared" si="122"/>
        <v>0</v>
      </c>
    </row>
    <row r="2569" spans="12:14" x14ac:dyDescent="0.25">
      <c r="L2569" s="20" t="e">
        <f t="shared" si="120"/>
        <v>#VALUE!</v>
      </c>
      <c r="M2569" t="e">
        <f t="shared" si="121"/>
        <v>#VALUE!</v>
      </c>
      <c r="N2569">
        <f t="shared" si="122"/>
        <v>0</v>
      </c>
    </row>
    <row r="2570" spans="12:14" x14ac:dyDescent="0.25">
      <c r="L2570" s="20" t="e">
        <f t="shared" si="120"/>
        <v>#VALUE!</v>
      </c>
      <c r="M2570" t="e">
        <f t="shared" si="121"/>
        <v>#VALUE!</v>
      </c>
      <c r="N2570">
        <f t="shared" si="122"/>
        <v>0</v>
      </c>
    </row>
    <row r="2571" spans="12:14" x14ac:dyDescent="0.25">
      <c r="L2571" s="20" t="e">
        <f t="shared" si="120"/>
        <v>#VALUE!</v>
      </c>
      <c r="M2571" t="e">
        <f t="shared" si="121"/>
        <v>#VALUE!</v>
      </c>
      <c r="N2571">
        <f t="shared" si="122"/>
        <v>0</v>
      </c>
    </row>
    <row r="2572" spans="12:14" x14ac:dyDescent="0.25">
      <c r="L2572" s="20" t="e">
        <f t="shared" si="120"/>
        <v>#VALUE!</v>
      </c>
      <c r="M2572" t="e">
        <f t="shared" si="121"/>
        <v>#VALUE!</v>
      </c>
      <c r="N2572">
        <f t="shared" si="122"/>
        <v>0</v>
      </c>
    </row>
    <row r="2573" spans="12:14" x14ac:dyDescent="0.25">
      <c r="L2573" s="20" t="e">
        <f t="shared" si="120"/>
        <v>#VALUE!</v>
      </c>
      <c r="M2573" t="e">
        <f t="shared" si="121"/>
        <v>#VALUE!</v>
      </c>
      <c r="N2573">
        <f t="shared" si="122"/>
        <v>0</v>
      </c>
    </row>
    <row r="2574" spans="12:14" x14ac:dyDescent="0.25">
      <c r="L2574" s="20" t="e">
        <f t="shared" si="120"/>
        <v>#VALUE!</v>
      </c>
      <c r="M2574" t="e">
        <f t="shared" si="121"/>
        <v>#VALUE!</v>
      </c>
      <c r="N2574">
        <f t="shared" si="122"/>
        <v>0</v>
      </c>
    </row>
    <row r="2575" spans="12:14" x14ac:dyDescent="0.25">
      <c r="L2575" s="20" t="e">
        <f t="shared" si="120"/>
        <v>#VALUE!</v>
      </c>
      <c r="M2575" t="e">
        <f t="shared" si="121"/>
        <v>#VALUE!</v>
      </c>
      <c r="N2575">
        <f t="shared" si="122"/>
        <v>0</v>
      </c>
    </row>
    <row r="2576" spans="12:14" x14ac:dyDescent="0.25">
      <c r="L2576" s="20" t="e">
        <f t="shared" si="120"/>
        <v>#VALUE!</v>
      </c>
      <c r="M2576" t="e">
        <f t="shared" si="121"/>
        <v>#VALUE!</v>
      </c>
      <c r="N2576">
        <f t="shared" si="122"/>
        <v>0</v>
      </c>
    </row>
    <row r="2577" spans="12:14" x14ac:dyDescent="0.25">
      <c r="L2577" s="20" t="e">
        <f t="shared" si="120"/>
        <v>#VALUE!</v>
      </c>
      <c r="M2577" t="e">
        <f t="shared" si="121"/>
        <v>#VALUE!</v>
      </c>
      <c r="N2577">
        <f t="shared" si="122"/>
        <v>0</v>
      </c>
    </row>
    <row r="2578" spans="12:14" x14ac:dyDescent="0.25">
      <c r="L2578" s="20" t="e">
        <f t="shared" si="120"/>
        <v>#VALUE!</v>
      </c>
      <c r="M2578" t="e">
        <f t="shared" si="121"/>
        <v>#VALUE!</v>
      </c>
      <c r="N2578">
        <f t="shared" si="122"/>
        <v>0</v>
      </c>
    </row>
    <row r="2579" spans="12:14" x14ac:dyDescent="0.25">
      <c r="L2579" s="20" t="e">
        <f t="shared" si="120"/>
        <v>#VALUE!</v>
      </c>
      <c r="M2579" t="e">
        <f t="shared" si="121"/>
        <v>#VALUE!</v>
      </c>
      <c r="N2579">
        <f t="shared" si="122"/>
        <v>0</v>
      </c>
    </row>
    <row r="2580" spans="12:14" x14ac:dyDescent="0.25">
      <c r="L2580" s="20" t="e">
        <f t="shared" si="120"/>
        <v>#VALUE!</v>
      </c>
      <c r="M2580" t="e">
        <f t="shared" si="121"/>
        <v>#VALUE!</v>
      </c>
      <c r="N2580">
        <f t="shared" si="122"/>
        <v>0</v>
      </c>
    </row>
    <row r="2581" spans="12:14" x14ac:dyDescent="0.25">
      <c r="L2581" s="20" t="e">
        <f t="shared" si="120"/>
        <v>#VALUE!</v>
      </c>
      <c r="M2581" t="e">
        <f t="shared" si="121"/>
        <v>#VALUE!</v>
      </c>
      <c r="N2581">
        <f t="shared" si="122"/>
        <v>0</v>
      </c>
    </row>
    <row r="2582" spans="12:14" x14ac:dyDescent="0.25">
      <c r="L2582" s="20" t="e">
        <f t="shared" si="120"/>
        <v>#VALUE!</v>
      </c>
      <c r="M2582" t="e">
        <f t="shared" si="121"/>
        <v>#VALUE!</v>
      </c>
      <c r="N2582">
        <f t="shared" si="122"/>
        <v>0</v>
      </c>
    </row>
    <row r="2583" spans="12:14" x14ac:dyDescent="0.25">
      <c r="L2583" s="20" t="e">
        <f t="shared" si="120"/>
        <v>#VALUE!</v>
      </c>
      <c r="M2583" t="e">
        <f t="shared" si="121"/>
        <v>#VALUE!</v>
      </c>
      <c r="N2583">
        <f t="shared" si="122"/>
        <v>0</v>
      </c>
    </row>
    <row r="2584" spans="12:14" x14ac:dyDescent="0.25">
      <c r="L2584" s="20" t="e">
        <f t="shared" si="120"/>
        <v>#VALUE!</v>
      </c>
      <c r="M2584" t="e">
        <f t="shared" si="121"/>
        <v>#VALUE!</v>
      </c>
      <c r="N2584">
        <f t="shared" si="122"/>
        <v>0</v>
      </c>
    </row>
    <row r="2585" spans="12:14" x14ac:dyDescent="0.25">
      <c r="L2585" s="20" t="e">
        <f t="shared" si="120"/>
        <v>#VALUE!</v>
      </c>
      <c r="M2585" t="e">
        <f t="shared" si="121"/>
        <v>#VALUE!</v>
      </c>
      <c r="N2585">
        <f t="shared" si="122"/>
        <v>0</v>
      </c>
    </row>
    <row r="2586" spans="12:14" x14ac:dyDescent="0.25">
      <c r="L2586" s="20" t="e">
        <f t="shared" si="120"/>
        <v>#VALUE!</v>
      </c>
      <c r="M2586" t="e">
        <f t="shared" si="121"/>
        <v>#VALUE!</v>
      </c>
      <c r="N2586">
        <f t="shared" si="122"/>
        <v>0</v>
      </c>
    </row>
    <row r="2587" spans="12:14" x14ac:dyDescent="0.25">
      <c r="L2587" s="20" t="e">
        <f t="shared" si="120"/>
        <v>#VALUE!</v>
      </c>
      <c r="M2587" t="e">
        <f t="shared" si="121"/>
        <v>#VALUE!</v>
      </c>
      <c r="N2587">
        <f t="shared" si="122"/>
        <v>0</v>
      </c>
    </row>
    <row r="2588" spans="12:14" x14ac:dyDescent="0.25">
      <c r="L2588" s="20" t="e">
        <f t="shared" si="120"/>
        <v>#VALUE!</v>
      </c>
      <c r="M2588" t="e">
        <f t="shared" si="121"/>
        <v>#VALUE!</v>
      </c>
      <c r="N2588">
        <f t="shared" si="122"/>
        <v>0</v>
      </c>
    </row>
    <row r="2589" spans="12:14" x14ac:dyDescent="0.25">
      <c r="L2589" s="20" t="e">
        <f t="shared" si="120"/>
        <v>#VALUE!</v>
      </c>
      <c r="M2589" t="e">
        <f t="shared" si="121"/>
        <v>#VALUE!</v>
      </c>
      <c r="N2589">
        <f t="shared" si="122"/>
        <v>0</v>
      </c>
    </row>
    <row r="2590" spans="12:14" x14ac:dyDescent="0.25">
      <c r="L2590" s="20" t="e">
        <f t="shared" si="120"/>
        <v>#VALUE!</v>
      </c>
      <c r="M2590" t="e">
        <f t="shared" si="121"/>
        <v>#VALUE!</v>
      </c>
      <c r="N2590">
        <f t="shared" si="122"/>
        <v>0</v>
      </c>
    </row>
    <row r="2591" spans="12:14" x14ac:dyDescent="0.25">
      <c r="L2591" s="20" t="e">
        <f t="shared" si="120"/>
        <v>#VALUE!</v>
      </c>
      <c r="M2591" t="e">
        <f t="shared" si="121"/>
        <v>#VALUE!</v>
      </c>
      <c r="N2591">
        <f t="shared" si="122"/>
        <v>0</v>
      </c>
    </row>
    <row r="2592" spans="12:14" x14ac:dyDescent="0.25">
      <c r="L2592" s="20" t="e">
        <f t="shared" si="120"/>
        <v>#VALUE!</v>
      </c>
      <c r="M2592" t="e">
        <f t="shared" si="121"/>
        <v>#VALUE!</v>
      </c>
      <c r="N2592">
        <f t="shared" si="122"/>
        <v>0</v>
      </c>
    </row>
    <row r="2593" spans="12:14" x14ac:dyDescent="0.25">
      <c r="L2593" s="20" t="e">
        <f t="shared" si="120"/>
        <v>#VALUE!</v>
      </c>
      <c r="M2593" t="e">
        <f t="shared" si="121"/>
        <v>#VALUE!</v>
      </c>
      <c r="N2593">
        <f t="shared" si="122"/>
        <v>0</v>
      </c>
    </row>
    <row r="2594" spans="12:14" x14ac:dyDescent="0.25">
      <c r="L2594" s="20" t="e">
        <f t="shared" si="120"/>
        <v>#VALUE!</v>
      </c>
      <c r="M2594" t="e">
        <f t="shared" si="121"/>
        <v>#VALUE!</v>
      </c>
      <c r="N2594">
        <f t="shared" si="122"/>
        <v>0</v>
      </c>
    </row>
    <row r="2595" spans="12:14" x14ac:dyDescent="0.25">
      <c r="L2595" s="20" t="e">
        <f t="shared" si="120"/>
        <v>#VALUE!</v>
      </c>
      <c r="M2595" t="e">
        <f t="shared" si="121"/>
        <v>#VALUE!</v>
      </c>
      <c r="N2595">
        <f t="shared" si="122"/>
        <v>0</v>
      </c>
    </row>
    <row r="2596" spans="12:14" x14ac:dyDescent="0.25">
      <c r="L2596" s="20" t="e">
        <f t="shared" si="120"/>
        <v>#VALUE!</v>
      </c>
      <c r="M2596" t="e">
        <f t="shared" si="121"/>
        <v>#VALUE!</v>
      </c>
      <c r="N2596">
        <f t="shared" si="122"/>
        <v>0</v>
      </c>
    </row>
    <row r="2597" spans="12:14" x14ac:dyDescent="0.25">
      <c r="L2597" s="20" t="e">
        <f t="shared" si="120"/>
        <v>#VALUE!</v>
      </c>
      <c r="M2597" t="e">
        <f t="shared" si="121"/>
        <v>#VALUE!</v>
      </c>
      <c r="N2597">
        <f t="shared" si="122"/>
        <v>0</v>
      </c>
    </row>
    <row r="2598" spans="12:14" x14ac:dyDescent="0.25">
      <c r="L2598" s="20" t="e">
        <f t="shared" si="120"/>
        <v>#VALUE!</v>
      </c>
      <c r="M2598" t="e">
        <f t="shared" si="121"/>
        <v>#VALUE!</v>
      </c>
      <c r="N2598">
        <f t="shared" si="122"/>
        <v>0</v>
      </c>
    </row>
    <row r="2599" spans="12:14" x14ac:dyDescent="0.25">
      <c r="L2599" s="20" t="e">
        <f t="shared" si="120"/>
        <v>#VALUE!</v>
      </c>
      <c r="M2599" t="e">
        <f t="shared" si="121"/>
        <v>#VALUE!</v>
      </c>
      <c r="N2599">
        <f t="shared" si="122"/>
        <v>0</v>
      </c>
    </row>
    <row r="2600" spans="12:14" x14ac:dyDescent="0.25">
      <c r="L2600" s="20" t="e">
        <f t="shared" si="120"/>
        <v>#VALUE!</v>
      </c>
      <c r="M2600" t="e">
        <f t="shared" si="121"/>
        <v>#VALUE!</v>
      </c>
      <c r="N2600">
        <f t="shared" si="122"/>
        <v>0</v>
      </c>
    </row>
    <row r="2601" spans="12:14" x14ac:dyDescent="0.25">
      <c r="L2601" s="20" t="e">
        <f t="shared" si="120"/>
        <v>#VALUE!</v>
      </c>
      <c r="M2601" t="e">
        <f t="shared" si="121"/>
        <v>#VALUE!</v>
      </c>
      <c r="N2601">
        <f t="shared" si="122"/>
        <v>0</v>
      </c>
    </row>
    <row r="2602" spans="12:14" x14ac:dyDescent="0.25">
      <c r="L2602" s="20" t="e">
        <f t="shared" si="120"/>
        <v>#VALUE!</v>
      </c>
      <c r="M2602" t="e">
        <f t="shared" si="121"/>
        <v>#VALUE!</v>
      </c>
      <c r="N2602">
        <f t="shared" si="122"/>
        <v>0</v>
      </c>
    </row>
    <row r="2603" spans="12:14" x14ac:dyDescent="0.25">
      <c r="L2603" s="20" t="e">
        <f t="shared" si="120"/>
        <v>#VALUE!</v>
      </c>
      <c r="M2603" t="e">
        <f t="shared" si="121"/>
        <v>#VALUE!</v>
      </c>
      <c r="N2603">
        <f t="shared" si="122"/>
        <v>0</v>
      </c>
    </row>
    <row r="2604" spans="12:14" x14ac:dyDescent="0.25">
      <c r="L2604" s="20" t="e">
        <f t="shared" si="120"/>
        <v>#VALUE!</v>
      </c>
      <c r="M2604" t="e">
        <f t="shared" si="121"/>
        <v>#VALUE!</v>
      </c>
      <c r="N2604">
        <f t="shared" si="122"/>
        <v>0</v>
      </c>
    </row>
    <row r="2605" spans="12:14" x14ac:dyDescent="0.25">
      <c r="L2605" s="20" t="e">
        <f t="shared" si="120"/>
        <v>#VALUE!</v>
      </c>
      <c r="M2605" t="e">
        <f t="shared" si="121"/>
        <v>#VALUE!</v>
      </c>
      <c r="N2605">
        <f t="shared" si="122"/>
        <v>0</v>
      </c>
    </row>
    <row r="2606" spans="12:14" x14ac:dyDescent="0.25">
      <c r="L2606" s="20" t="e">
        <f t="shared" si="120"/>
        <v>#VALUE!</v>
      </c>
      <c r="M2606" t="e">
        <f t="shared" si="121"/>
        <v>#VALUE!</v>
      </c>
      <c r="N2606">
        <f t="shared" si="122"/>
        <v>0</v>
      </c>
    </row>
    <row r="2607" spans="12:14" x14ac:dyDescent="0.25">
      <c r="L2607" s="20" t="e">
        <f t="shared" si="120"/>
        <v>#VALUE!</v>
      </c>
      <c r="M2607" t="e">
        <f t="shared" si="121"/>
        <v>#VALUE!</v>
      </c>
      <c r="N2607">
        <f t="shared" si="122"/>
        <v>0</v>
      </c>
    </row>
    <row r="2608" spans="12:14" x14ac:dyDescent="0.25">
      <c r="L2608" s="20" t="e">
        <f t="shared" si="120"/>
        <v>#VALUE!</v>
      </c>
      <c r="M2608" t="e">
        <f t="shared" si="121"/>
        <v>#VALUE!</v>
      </c>
      <c r="N2608">
        <f t="shared" si="122"/>
        <v>0</v>
      </c>
    </row>
    <row r="2609" spans="12:14" x14ac:dyDescent="0.25">
      <c r="L2609" s="20" t="e">
        <f t="shared" si="120"/>
        <v>#VALUE!</v>
      </c>
      <c r="M2609" t="e">
        <f t="shared" si="121"/>
        <v>#VALUE!</v>
      </c>
      <c r="N2609">
        <f t="shared" si="122"/>
        <v>0</v>
      </c>
    </row>
    <row r="2610" spans="12:14" x14ac:dyDescent="0.25">
      <c r="L2610" s="20" t="e">
        <f t="shared" si="120"/>
        <v>#VALUE!</v>
      </c>
      <c r="M2610" t="e">
        <f t="shared" si="121"/>
        <v>#VALUE!</v>
      </c>
      <c r="N2610">
        <f t="shared" si="122"/>
        <v>0</v>
      </c>
    </row>
    <row r="2611" spans="12:14" x14ac:dyDescent="0.25">
      <c r="L2611" s="20" t="e">
        <f t="shared" si="120"/>
        <v>#VALUE!</v>
      </c>
      <c r="M2611" t="e">
        <f t="shared" si="121"/>
        <v>#VALUE!</v>
      </c>
      <c r="N2611">
        <f t="shared" si="122"/>
        <v>0</v>
      </c>
    </row>
    <row r="2612" spans="12:14" x14ac:dyDescent="0.25">
      <c r="L2612" s="20" t="e">
        <f t="shared" si="120"/>
        <v>#VALUE!</v>
      </c>
      <c r="M2612" t="e">
        <f t="shared" si="121"/>
        <v>#VALUE!</v>
      </c>
      <c r="N2612">
        <f t="shared" si="122"/>
        <v>0</v>
      </c>
    </row>
    <row r="2613" spans="12:14" x14ac:dyDescent="0.25">
      <c r="L2613" s="20" t="e">
        <f t="shared" si="120"/>
        <v>#VALUE!</v>
      </c>
      <c r="M2613" t="e">
        <f t="shared" si="121"/>
        <v>#VALUE!</v>
      </c>
      <c r="N2613">
        <f t="shared" si="122"/>
        <v>0</v>
      </c>
    </row>
    <row r="2614" spans="12:14" x14ac:dyDescent="0.25">
      <c r="L2614" s="20" t="e">
        <f t="shared" si="120"/>
        <v>#VALUE!</v>
      </c>
      <c r="M2614" t="e">
        <f t="shared" si="121"/>
        <v>#VALUE!</v>
      </c>
      <c r="N2614">
        <f t="shared" si="122"/>
        <v>0</v>
      </c>
    </row>
    <row r="2615" spans="12:14" x14ac:dyDescent="0.25">
      <c r="L2615" s="20" t="e">
        <f t="shared" si="120"/>
        <v>#VALUE!</v>
      </c>
      <c r="M2615" t="e">
        <f t="shared" si="121"/>
        <v>#VALUE!</v>
      </c>
      <c r="N2615">
        <f t="shared" si="122"/>
        <v>0</v>
      </c>
    </row>
    <row r="2616" spans="12:14" x14ac:dyDescent="0.25">
      <c r="L2616" s="20" t="e">
        <f t="shared" si="120"/>
        <v>#VALUE!</v>
      </c>
      <c r="M2616" t="e">
        <f t="shared" si="121"/>
        <v>#VALUE!</v>
      </c>
      <c r="N2616">
        <f t="shared" si="122"/>
        <v>0</v>
      </c>
    </row>
    <row r="2617" spans="12:14" x14ac:dyDescent="0.25">
      <c r="L2617" s="20" t="e">
        <f t="shared" si="120"/>
        <v>#VALUE!</v>
      </c>
      <c r="M2617" t="e">
        <f t="shared" si="121"/>
        <v>#VALUE!</v>
      </c>
      <c r="N2617">
        <f t="shared" si="122"/>
        <v>0</v>
      </c>
    </row>
    <row r="2618" spans="12:14" x14ac:dyDescent="0.25">
      <c r="L2618" s="20" t="e">
        <f t="shared" si="120"/>
        <v>#VALUE!</v>
      </c>
      <c r="M2618" t="e">
        <f t="shared" si="121"/>
        <v>#VALUE!</v>
      </c>
      <c r="N2618">
        <f t="shared" si="122"/>
        <v>0</v>
      </c>
    </row>
    <row r="2619" spans="12:14" x14ac:dyDescent="0.25">
      <c r="L2619" s="20" t="e">
        <f t="shared" si="120"/>
        <v>#VALUE!</v>
      </c>
      <c r="M2619" t="e">
        <f t="shared" si="121"/>
        <v>#VALUE!</v>
      </c>
      <c r="N2619">
        <f t="shared" si="122"/>
        <v>0</v>
      </c>
    </row>
    <row r="2620" spans="12:14" x14ac:dyDescent="0.25">
      <c r="L2620" s="20" t="e">
        <f t="shared" si="120"/>
        <v>#VALUE!</v>
      </c>
      <c r="M2620" t="e">
        <f t="shared" si="121"/>
        <v>#VALUE!</v>
      </c>
      <c r="N2620">
        <f t="shared" si="122"/>
        <v>0</v>
      </c>
    </row>
    <row r="2621" spans="12:14" x14ac:dyDescent="0.25">
      <c r="L2621" s="20" t="e">
        <f t="shared" si="120"/>
        <v>#VALUE!</v>
      </c>
      <c r="M2621" t="e">
        <f t="shared" si="121"/>
        <v>#VALUE!</v>
      </c>
      <c r="N2621">
        <f t="shared" si="122"/>
        <v>0</v>
      </c>
    </row>
    <row r="2622" spans="12:14" x14ac:dyDescent="0.25">
      <c r="L2622" s="20" t="e">
        <f t="shared" si="120"/>
        <v>#VALUE!</v>
      </c>
      <c r="M2622" t="e">
        <f t="shared" si="121"/>
        <v>#VALUE!</v>
      </c>
      <c r="N2622">
        <f t="shared" si="122"/>
        <v>0</v>
      </c>
    </row>
    <row r="2623" spans="12:14" x14ac:dyDescent="0.25">
      <c r="L2623" s="20" t="e">
        <f t="shared" si="120"/>
        <v>#VALUE!</v>
      </c>
      <c r="M2623" t="e">
        <f t="shared" si="121"/>
        <v>#VALUE!</v>
      </c>
      <c r="N2623">
        <f t="shared" si="122"/>
        <v>0</v>
      </c>
    </row>
    <row r="2624" spans="12:14" x14ac:dyDescent="0.25">
      <c r="L2624" s="20" t="e">
        <f t="shared" si="120"/>
        <v>#VALUE!</v>
      </c>
      <c r="M2624" t="e">
        <f t="shared" si="121"/>
        <v>#VALUE!</v>
      </c>
      <c r="N2624">
        <f t="shared" si="122"/>
        <v>0</v>
      </c>
    </row>
    <row r="2625" spans="12:14" x14ac:dyDescent="0.25">
      <c r="L2625" s="20" t="e">
        <f t="shared" si="120"/>
        <v>#VALUE!</v>
      </c>
      <c r="M2625" t="e">
        <f t="shared" si="121"/>
        <v>#VALUE!</v>
      </c>
      <c r="N2625">
        <f t="shared" si="122"/>
        <v>0</v>
      </c>
    </row>
    <row r="2626" spans="12:14" x14ac:dyDescent="0.25">
      <c r="L2626" s="20" t="e">
        <f t="shared" si="120"/>
        <v>#VALUE!</v>
      </c>
      <c r="M2626" t="e">
        <f t="shared" si="121"/>
        <v>#VALUE!</v>
      </c>
      <c r="N2626">
        <f t="shared" si="122"/>
        <v>0</v>
      </c>
    </row>
    <row r="2627" spans="12:14" x14ac:dyDescent="0.25">
      <c r="L2627" s="20" t="e">
        <f t="shared" ref="L2627:L2690" si="123">DATEVALUE(LEFT(F2627,10))</f>
        <v>#VALUE!</v>
      </c>
      <c r="M2627" t="e">
        <f t="shared" ref="M2627:M2690" si="124">TEXT(L2627,"mm-yyyy")</f>
        <v>#VALUE!</v>
      </c>
      <c r="N2627">
        <f t="shared" ref="N2627:N2690" si="125">H2627*I2627</f>
        <v>0</v>
      </c>
    </row>
    <row r="2628" spans="12:14" x14ac:dyDescent="0.25">
      <c r="L2628" s="20" t="e">
        <f t="shared" si="123"/>
        <v>#VALUE!</v>
      </c>
      <c r="M2628" t="e">
        <f t="shared" si="124"/>
        <v>#VALUE!</v>
      </c>
      <c r="N2628">
        <f t="shared" si="125"/>
        <v>0</v>
      </c>
    </row>
    <row r="2629" spans="12:14" x14ac:dyDescent="0.25">
      <c r="L2629" s="20" t="e">
        <f t="shared" si="123"/>
        <v>#VALUE!</v>
      </c>
      <c r="M2629" t="e">
        <f t="shared" si="124"/>
        <v>#VALUE!</v>
      </c>
      <c r="N2629">
        <f t="shared" si="125"/>
        <v>0</v>
      </c>
    </row>
    <row r="2630" spans="12:14" x14ac:dyDescent="0.25">
      <c r="L2630" s="20" t="e">
        <f t="shared" si="123"/>
        <v>#VALUE!</v>
      </c>
      <c r="M2630" t="e">
        <f t="shared" si="124"/>
        <v>#VALUE!</v>
      </c>
      <c r="N2630">
        <f t="shared" si="125"/>
        <v>0</v>
      </c>
    </row>
    <row r="2631" spans="12:14" x14ac:dyDescent="0.25">
      <c r="L2631" s="20" t="e">
        <f t="shared" si="123"/>
        <v>#VALUE!</v>
      </c>
      <c r="M2631" t="e">
        <f t="shared" si="124"/>
        <v>#VALUE!</v>
      </c>
      <c r="N2631">
        <f t="shared" si="125"/>
        <v>0</v>
      </c>
    </row>
    <row r="2632" spans="12:14" x14ac:dyDescent="0.25">
      <c r="L2632" s="20" t="e">
        <f t="shared" si="123"/>
        <v>#VALUE!</v>
      </c>
      <c r="M2632" t="e">
        <f t="shared" si="124"/>
        <v>#VALUE!</v>
      </c>
      <c r="N2632">
        <f t="shared" si="125"/>
        <v>0</v>
      </c>
    </row>
    <row r="2633" spans="12:14" x14ac:dyDescent="0.25">
      <c r="L2633" s="20" t="e">
        <f t="shared" si="123"/>
        <v>#VALUE!</v>
      </c>
      <c r="M2633" t="e">
        <f t="shared" si="124"/>
        <v>#VALUE!</v>
      </c>
      <c r="N2633">
        <f t="shared" si="125"/>
        <v>0</v>
      </c>
    </row>
    <row r="2634" spans="12:14" x14ac:dyDescent="0.25">
      <c r="L2634" s="20" t="e">
        <f t="shared" si="123"/>
        <v>#VALUE!</v>
      </c>
      <c r="M2634" t="e">
        <f t="shared" si="124"/>
        <v>#VALUE!</v>
      </c>
      <c r="N2634">
        <f t="shared" si="125"/>
        <v>0</v>
      </c>
    </row>
    <row r="2635" spans="12:14" x14ac:dyDescent="0.25">
      <c r="L2635" s="20" t="e">
        <f t="shared" si="123"/>
        <v>#VALUE!</v>
      </c>
      <c r="M2635" t="e">
        <f t="shared" si="124"/>
        <v>#VALUE!</v>
      </c>
      <c r="N2635">
        <f t="shared" si="125"/>
        <v>0</v>
      </c>
    </row>
    <row r="2636" spans="12:14" x14ac:dyDescent="0.25">
      <c r="L2636" s="20" t="e">
        <f t="shared" si="123"/>
        <v>#VALUE!</v>
      </c>
      <c r="M2636" t="e">
        <f t="shared" si="124"/>
        <v>#VALUE!</v>
      </c>
      <c r="N2636">
        <f t="shared" si="125"/>
        <v>0</v>
      </c>
    </row>
    <row r="2637" spans="12:14" x14ac:dyDescent="0.25">
      <c r="L2637" s="20" t="e">
        <f t="shared" si="123"/>
        <v>#VALUE!</v>
      </c>
      <c r="M2637" t="e">
        <f t="shared" si="124"/>
        <v>#VALUE!</v>
      </c>
      <c r="N2637">
        <f t="shared" si="125"/>
        <v>0</v>
      </c>
    </row>
    <row r="2638" spans="12:14" x14ac:dyDescent="0.25">
      <c r="L2638" s="20" t="e">
        <f t="shared" si="123"/>
        <v>#VALUE!</v>
      </c>
      <c r="M2638" t="e">
        <f t="shared" si="124"/>
        <v>#VALUE!</v>
      </c>
      <c r="N2638">
        <f t="shared" si="125"/>
        <v>0</v>
      </c>
    </row>
    <row r="2639" spans="12:14" x14ac:dyDescent="0.25">
      <c r="L2639" s="20" t="e">
        <f t="shared" si="123"/>
        <v>#VALUE!</v>
      </c>
      <c r="M2639" t="e">
        <f t="shared" si="124"/>
        <v>#VALUE!</v>
      </c>
      <c r="N2639">
        <f t="shared" si="125"/>
        <v>0</v>
      </c>
    </row>
    <row r="2640" spans="12:14" x14ac:dyDescent="0.25">
      <c r="L2640" s="20" t="e">
        <f t="shared" si="123"/>
        <v>#VALUE!</v>
      </c>
      <c r="M2640" t="e">
        <f t="shared" si="124"/>
        <v>#VALUE!</v>
      </c>
      <c r="N2640">
        <f t="shared" si="125"/>
        <v>0</v>
      </c>
    </row>
    <row r="2641" spans="12:14" x14ac:dyDescent="0.25">
      <c r="L2641" s="20" t="e">
        <f t="shared" si="123"/>
        <v>#VALUE!</v>
      </c>
      <c r="M2641" t="e">
        <f t="shared" si="124"/>
        <v>#VALUE!</v>
      </c>
      <c r="N2641">
        <f t="shared" si="125"/>
        <v>0</v>
      </c>
    </row>
    <row r="2642" spans="12:14" x14ac:dyDescent="0.25">
      <c r="L2642" s="20" t="e">
        <f t="shared" si="123"/>
        <v>#VALUE!</v>
      </c>
      <c r="M2642" t="e">
        <f t="shared" si="124"/>
        <v>#VALUE!</v>
      </c>
      <c r="N2642">
        <f t="shared" si="125"/>
        <v>0</v>
      </c>
    </row>
    <row r="2643" spans="12:14" x14ac:dyDescent="0.25">
      <c r="L2643" s="20" t="e">
        <f t="shared" si="123"/>
        <v>#VALUE!</v>
      </c>
      <c r="M2643" t="e">
        <f t="shared" si="124"/>
        <v>#VALUE!</v>
      </c>
      <c r="N2643">
        <f t="shared" si="125"/>
        <v>0</v>
      </c>
    </row>
    <row r="2644" spans="12:14" x14ac:dyDescent="0.25">
      <c r="L2644" s="20" t="e">
        <f t="shared" si="123"/>
        <v>#VALUE!</v>
      </c>
      <c r="M2644" t="e">
        <f t="shared" si="124"/>
        <v>#VALUE!</v>
      </c>
      <c r="N2644">
        <f t="shared" si="125"/>
        <v>0</v>
      </c>
    </row>
    <row r="2645" spans="12:14" x14ac:dyDescent="0.25">
      <c r="L2645" s="20" t="e">
        <f t="shared" si="123"/>
        <v>#VALUE!</v>
      </c>
      <c r="M2645" t="e">
        <f t="shared" si="124"/>
        <v>#VALUE!</v>
      </c>
      <c r="N2645">
        <f t="shared" si="125"/>
        <v>0</v>
      </c>
    </row>
    <row r="2646" spans="12:14" x14ac:dyDescent="0.25">
      <c r="L2646" s="20" t="e">
        <f t="shared" si="123"/>
        <v>#VALUE!</v>
      </c>
      <c r="M2646" t="e">
        <f t="shared" si="124"/>
        <v>#VALUE!</v>
      </c>
      <c r="N2646">
        <f t="shared" si="125"/>
        <v>0</v>
      </c>
    </row>
    <row r="2647" spans="12:14" x14ac:dyDescent="0.25">
      <c r="L2647" s="20" t="e">
        <f t="shared" si="123"/>
        <v>#VALUE!</v>
      </c>
      <c r="M2647" t="e">
        <f t="shared" si="124"/>
        <v>#VALUE!</v>
      </c>
      <c r="N2647">
        <f t="shared" si="125"/>
        <v>0</v>
      </c>
    </row>
    <row r="2648" spans="12:14" x14ac:dyDescent="0.25">
      <c r="L2648" s="20" t="e">
        <f t="shared" si="123"/>
        <v>#VALUE!</v>
      </c>
      <c r="M2648" t="e">
        <f t="shared" si="124"/>
        <v>#VALUE!</v>
      </c>
      <c r="N2648">
        <f t="shared" si="125"/>
        <v>0</v>
      </c>
    </row>
    <row r="2649" spans="12:14" x14ac:dyDescent="0.25">
      <c r="L2649" s="20" t="e">
        <f t="shared" si="123"/>
        <v>#VALUE!</v>
      </c>
      <c r="M2649" t="e">
        <f t="shared" si="124"/>
        <v>#VALUE!</v>
      </c>
      <c r="N2649">
        <f t="shared" si="125"/>
        <v>0</v>
      </c>
    </row>
    <row r="2650" spans="12:14" x14ac:dyDescent="0.25">
      <c r="L2650" s="20" t="e">
        <f t="shared" si="123"/>
        <v>#VALUE!</v>
      </c>
      <c r="M2650" t="e">
        <f t="shared" si="124"/>
        <v>#VALUE!</v>
      </c>
      <c r="N2650">
        <f t="shared" si="125"/>
        <v>0</v>
      </c>
    </row>
    <row r="2651" spans="12:14" x14ac:dyDescent="0.25">
      <c r="L2651" s="20" t="e">
        <f t="shared" si="123"/>
        <v>#VALUE!</v>
      </c>
      <c r="M2651" t="e">
        <f t="shared" si="124"/>
        <v>#VALUE!</v>
      </c>
      <c r="N2651">
        <f t="shared" si="125"/>
        <v>0</v>
      </c>
    </row>
    <row r="2652" spans="12:14" x14ac:dyDescent="0.25">
      <c r="L2652" s="20" t="e">
        <f t="shared" si="123"/>
        <v>#VALUE!</v>
      </c>
      <c r="M2652" t="e">
        <f t="shared" si="124"/>
        <v>#VALUE!</v>
      </c>
      <c r="N2652">
        <f t="shared" si="125"/>
        <v>0</v>
      </c>
    </row>
    <row r="2653" spans="12:14" x14ac:dyDescent="0.25">
      <c r="L2653" s="20" t="e">
        <f t="shared" si="123"/>
        <v>#VALUE!</v>
      </c>
      <c r="M2653" t="e">
        <f t="shared" si="124"/>
        <v>#VALUE!</v>
      </c>
      <c r="N2653">
        <f t="shared" si="125"/>
        <v>0</v>
      </c>
    </row>
    <row r="2654" spans="12:14" x14ac:dyDescent="0.25">
      <c r="L2654" s="20" t="e">
        <f t="shared" si="123"/>
        <v>#VALUE!</v>
      </c>
      <c r="M2654" t="e">
        <f t="shared" si="124"/>
        <v>#VALUE!</v>
      </c>
      <c r="N2654">
        <f t="shared" si="125"/>
        <v>0</v>
      </c>
    </row>
    <row r="2655" spans="12:14" x14ac:dyDescent="0.25">
      <c r="L2655" s="20" t="e">
        <f t="shared" si="123"/>
        <v>#VALUE!</v>
      </c>
      <c r="M2655" t="e">
        <f t="shared" si="124"/>
        <v>#VALUE!</v>
      </c>
      <c r="N2655">
        <f t="shared" si="125"/>
        <v>0</v>
      </c>
    </row>
    <row r="2656" spans="12:14" x14ac:dyDescent="0.25">
      <c r="L2656" s="20" t="e">
        <f t="shared" si="123"/>
        <v>#VALUE!</v>
      </c>
      <c r="M2656" t="e">
        <f t="shared" si="124"/>
        <v>#VALUE!</v>
      </c>
      <c r="N2656">
        <f t="shared" si="125"/>
        <v>0</v>
      </c>
    </row>
    <row r="2657" spans="12:14" x14ac:dyDescent="0.25">
      <c r="L2657" s="20" t="e">
        <f t="shared" si="123"/>
        <v>#VALUE!</v>
      </c>
      <c r="M2657" t="e">
        <f t="shared" si="124"/>
        <v>#VALUE!</v>
      </c>
      <c r="N2657">
        <f t="shared" si="125"/>
        <v>0</v>
      </c>
    </row>
    <row r="2658" spans="12:14" x14ac:dyDescent="0.25">
      <c r="L2658" s="20" t="e">
        <f t="shared" si="123"/>
        <v>#VALUE!</v>
      </c>
      <c r="M2658" t="e">
        <f t="shared" si="124"/>
        <v>#VALUE!</v>
      </c>
      <c r="N2658">
        <f t="shared" si="125"/>
        <v>0</v>
      </c>
    </row>
    <row r="2659" spans="12:14" x14ac:dyDescent="0.25">
      <c r="L2659" s="20" t="e">
        <f t="shared" si="123"/>
        <v>#VALUE!</v>
      </c>
      <c r="M2659" t="e">
        <f t="shared" si="124"/>
        <v>#VALUE!</v>
      </c>
      <c r="N2659">
        <f t="shared" si="125"/>
        <v>0</v>
      </c>
    </row>
    <row r="2660" spans="12:14" x14ac:dyDescent="0.25">
      <c r="L2660" s="20" t="e">
        <f t="shared" si="123"/>
        <v>#VALUE!</v>
      </c>
      <c r="M2660" t="e">
        <f t="shared" si="124"/>
        <v>#VALUE!</v>
      </c>
      <c r="N2660">
        <f t="shared" si="125"/>
        <v>0</v>
      </c>
    </row>
    <row r="2661" spans="12:14" x14ac:dyDescent="0.25">
      <c r="L2661" s="20" t="e">
        <f t="shared" si="123"/>
        <v>#VALUE!</v>
      </c>
      <c r="M2661" t="e">
        <f t="shared" si="124"/>
        <v>#VALUE!</v>
      </c>
      <c r="N2661">
        <f t="shared" si="125"/>
        <v>0</v>
      </c>
    </row>
    <row r="2662" spans="12:14" x14ac:dyDescent="0.25">
      <c r="L2662" s="20" t="e">
        <f t="shared" si="123"/>
        <v>#VALUE!</v>
      </c>
      <c r="M2662" t="e">
        <f t="shared" si="124"/>
        <v>#VALUE!</v>
      </c>
      <c r="N2662">
        <f t="shared" si="125"/>
        <v>0</v>
      </c>
    </row>
    <row r="2663" spans="12:14" x14ac:dyDescent="0.25">
      <c r="L2663" s="20" t="e">
        <f t="shared" si="123"/>
        <v>#VALUE!</v>
      </c>
      <c r="M2663" t="e">
        <f t="shared" si="124"/>
        <v>#VALUE!</v>
      </c>
      <c r="N2663">
        <f t="shared" si="125"/>
        <v>0</v>
      </c>
    </row>
    <row r="2664" spans="12:14" x14ac:dyDescent="0.25">
      <c r="L2664" s="20" t="e">
        <f t="shared" si="123"/>
        <v>#VALUE!</v>
      </c>
      <c r="M2664" t="e">
        <f t="shared" si="124"/>
        <v>#VALUE!</v>
      </c>
      <c r="N2664">
        <f t="shared" si="125"/>
        <v>0</v>
      </c>
    </row>
    <row r="2665" spans="12:14" x14ac:dyDescent="0.25">
      <c r="L2665" s="20" t="e">
        <f t="shared" si="123"/>
        <v>#VALUE!</v>
      </c>
      <c r="M2665" t="e">
        <f t="shared" si="124"/>
        <v>#VALUE!</v>
      </c>
      <c r="N2665">
        <f t="shared" si="125"/>
        <v>0</v>
      </c>
    </row>
    <row r="2666" spans="12:14" x14ac:dyDescent="0.25">
      <c r="L2666" s="20" t="e">
        <f t="shared" si="123"/>
        <v>#VALUE!</v>
      </c>
      <c r="M2666" t="e">
        <f t="shared" si="124"/>
        <v>#VALUE!</v>
      </c>
      <c r="N2666">
        <f t="shared" si="125"/>
        <v>0</v>
      </c>
    </row>
    <row r="2667" spans="12:14" x14ac:dyDescent="0.25">
      <c r="L2667" s="20" t="e">
        <f t="shared" si="123"/>
        <v>#VALUE!</v>
      </c>
      <c r="M2667" t="e">
        <f t="shared" si="124"/>
        <v>#VALUE!</v>
      </c>
      <c r="N2667">
        <f t="shared" si="125"/>
        <v>0</v>
      </c>
    </row>
    <row r="2668" spans="12:14" x14ac:dyDescent="0.25">
      <c r="L2668" s="20" t="e">
        <f t="shared" si="123"/>
        <v>#VALUE!</v>
      </c>
      <c r="M2668" t="e">
        <f t="shared" si="124"/>
        <v>#VALUE!</v>
      </c>
      <c r="N2668">
        <f t="shared" si="125"/>
        <v>0</v>
      </c>
    </row>
    <row r="2669" spans="12:14" x14ac:dyDescent="0.25">
      <c r="L2669" s="20" t="e">
        <f t="shared" si="123"/>
        <v>#VALUE!</v>
      </c>
      <c r="M2669" t="e">
        <f t="shared" si="124"/>
        <v>#VALUE!</v>
      </c>
      <c r="N2669">
        <f t="shared" si="125"/>
        <v>0</v>
      </c>
    </row>
    <row r="2670" spans="12:14" x14ac:dyDescent="0.25">
      <c r="L2670" s="20" t="e">
        <f t="shared" si="123"/>
        <v>#VALUE!</v>
      </c>
      <c r="M2670" t="e">
        <f t="shared" si="124"/>
        <v>#VALUE!</v>
      </c>
      <c r="N2670">
        <f t="shared" si="125"/>
        <v>0</v>
      </c>
    </row>
    <row r="2671" spans="12:14" x14ac:dyDescent="0.25">
      <c r="L2671" s="20" t="e">
        <f t="shared" si="123"/>
        <v>#VALUE!</v>
      </c>
      <c r="M2671" t="e">
        <f t="shared" si="124"/>
        <v>#VALUE!</v>
      </c>
      <c r="N2671">
        <f t="shared" si="125"/>
        <v>0</v>
      </c>
    </row>
    <row r="2672" spans="12:14" x14ac:dyDescent="0.25">
      <c r="L2672" s="20" t="e">
        <f t="shared" si="123"/>
        <v>#VALUE!</v>
      </c>
      <c r="M2672" t="e">
        <f t="shared" si="124"/>
        <v>#VALUE!</v>
      </c>
      <c r="N2672">
        <f t="shared" si="125"/>
        <v>0</v>
      </c>
    </row>
    <row r="2673" spans="12:14" x14ac:dyDescent="0.25">
      <c r="L2673" s="20" t="e">
        <f t="shared" si="123"/>
        <v>#VALUE!</v>
      </c>
      <c r="M2673" t="e">
        <f t="shared" si="124"/>
        <v>#VALUE!</v>
      </c>
      <c r="N2673">
        <f t="shared" si="125"/>
        <v>0</v>
      </c>
    </row>
    <row r="2674" spans="12:14" x14ac:dyDescent="0.25">
      <c r="L2674" s="20" t="e">
        <f t="shared" si="123"/>
        <v>#VALUE!</v>
      </c>
      <c r="M2674" t="e">
        <f t="shared" si="124"/>
        <v>#VALUE!</v>
      </c>
      <c r="N2674">
        <f t="shared" si="125"/>
        <v>0</v>
      </c>
    </row>
    <row r="2675" spans="12:14" x14ac:dyDescent="0.25">
      <c r="L2675" s="20" t="e">
        <f t="shared" si="123"/>
        <v>#VALUE!</v>
      </c>
      <c r="M2675" t="e">
        <f t="shared" si="124"/>
        <v>#VALUE!</v>
      </c>
      <c r="N2675">
        <f t="shared" si="125"/>
        <v>0</v>
      </c>
    </row>
    <row r="2676" spans="12:14" x14ac:dyDescent="0.25">
      <c r="L2676" s="20" t="e">
        <f t="shared" si="123"/>
        <v>#VALUE!</v>
      </c>
      <c r="M2676" t="e">
        <f t="shared" si="124"/>
        <v>#VALUE!</v>
      </c>
      <c r="N2676">
        <f t="shared" si="125"/>
        <v>0</v>
      </c>
    </row>
    <row r="2677" spans="12:14" x14ac:dyDescent="0.25">
      <c r="L2677" s="20" t="e">
        <f t="shared" si="123"/>
        <v>#VALUE!</v>
      </c>
      <c r="M2677" t="e">
        <f t="shared" si="124"/>
        <v>#VALUE!</v>
      </c>
      <c r="N2677">
        <f t="shared" si="125"/>
        <v>0</v>
      </c>
    </row>
    <row r="2678" spans="12:14" x14ac:dyDescent="0.25">
      <c r="L2678" s="20" t="e">
        <f t="shared" si="123"/>
        <v>#VALUE!</v>
      </c>
      <c r="M2678" t="e">
        <f t="shared" si="124"/>
        <v>#VALUE!</v>
      </c>
      <c r="N2678">
        <f t="shared" si="125"/>
        <v>0</v>
      </c>
    </row>
    <row r="2679" spans="12:14" x14ac:dyDescent="0.25">
      <c r="L2679" s="20" t="e">
        <f t="shared" si="123"/>
        <v>#VALUE!</v>
      </c>
      <c r="M2679" t="e">
        <f t="shared" si="124"/>
        <v>#VALUE!</v>
      </c>
      <c r="N2679">
        <f t="shared" si="125"/>
        <v>0</v>
      </c>
    </row>
    <row r="2680" spans="12:14" x14ac:dyDescent="0.25">
      <c r="L2680" s="20" t="e">
        <f t="shared" si="123"/>
        <v>#VALUE!</v>
      </c>
      <c r="M2680" t="e">
        <f t="shared" si="124"/>
        <v>#VALUE!</v>
      </c>
      <c r="N2680">
        <f t="shared" si="125"/>
        <v>0</v>
      </c>
    </row>
    <row r="2681" spans="12:14" x14ac:dyDescent="0.25">
      <c r="L2681" s="20" t="e">
        <f t="shared" si="123"/>
        <v>#VALUE!</v>
      </c>
      <c r="M2681" t="e">
        <f t="shared" si="124"/>
        <v>#VALUE!</v>
      </c>
      <c r="N2681">
        <f t="shared" si="125"/>
        <v>0</v>
      </c>
    </row>
    <row r="2682" spans="12:14" x14ac:dyDescent="0.25">
      <c r="L2682" s="20" t="e">
        <f t="shared" si="123"/>
        <v>#VALUE!</v>
      </c>
      <c r="M2682" t="e">
        <f t="shared" si="124"/>
        <v>#VALUE!</v>
      </c>
      <c r="N2682">
        <f t="shared" si="125"/>
        <v>0</v>
      </c>
    </row>
    <row r="2683" spans="12:14" x14ac:dyDescent="0.25">
      <c r="L2683" s="20" t="e">
        <f t="shared" si="123"/>
        <v>#VALUE!</v>
      </c>
      <c r="M2683" t="e">
        <f t="shared" si="124"/>
        <v>#VALUE!</v>
      </c>
      <c r="N2683">
        <f t="shared" si="125"/>
        <v>0</v>
      </c>
    </row>
    <row r="2684" spans="12:14" x14ac:dyDescent="0.25">
      <c r="L2684" s="20" t="e">
        <f t="shared" si="123"/>
        <v>#VALUE!</v>
      </c>
      <c r="M2684" t="e">
        <f t="shared" si="124"/>
        <v>#VALUE!</v>
      </c>
      <c r="N2684">
        <f t="shared" si="125"/>
        <v>0</v>
      </c>
    </row>
    <row r="2685" spans="12:14" x14ac:dyDescent="0.25">
      <c r="L2685" s="20" t="e">
        <f t="shared" si="123"/>
        <v>#VALUE!</v>
      </c>
      <c r="M2685" t="e">
        <f t="shared" si="124"/>
        <v>#VALUE!</v>
      </c>
      <c r="N2685">
        <f t="shared" si="125"/>
        <v>0</v>
      </c>
    </row>
    <row r="2686" spans="12:14" x14ac:dyDescent="0.25">
      <c r="L2686" s="20" t="e">
        <f t="shared" si="123"/>
        <v>#VALUE!</v>
      </c>
      <c r="M2686" t="e">
        <f t="shared" si="124"/>
        <v>#VALUE!</v>
      </c>
      <c r="N2686">
        <f t="shared" si="125"/>
        <v>0</v>
      </c>
    </row>
    <row r="2687" spans="12:14" x14ac:dyDescent="0.25">
      <c r="L2687" s="20" t="e">
        <f t="shared" si="123"/>
        <v>#VALUE!</v>
      </c>
      <c r="M2687" t="e">
        <f t="shared" si="124"/>
        <v>#VALUE!</v>
      </c>
      <c r="N2687">
        <f t="shared" si="125"/>
        <v>0</v>
      </c>
    </row>
    <row r="2688" spans="12:14" x14ac:dyDescent="0.25">
      <c r="L2688" s="20" t="e">
        <f t="shared" si="123"/>
        <v>#VALUE!</v>
      </c>
      <c r="M2688" t="e">
        <f t="shared" si="124"/>
        <v>#VALUE!</v>
      </c>
      <c r="N2688">
        <f t="shared" si="125"/>
        <v>0</v>
      </c>
    </row>
    <row r="2689" spans="12:14" x14ac:dyDescent="0.25">
      <c r="L2689" s="20" t="e">
        <f t="shared" si="123"/>
        <v>#VALUE!</v>
      </c>
      <c r="M2689" t="e">
        <f t="shared" si="124"/>
        <v>#VALUE!</v>
      </c>
      <c r="N2689">
        <f t="shared" si="125"/>
        <v>0</v>
      </c>
    </row>
    <row r="2690" spans="12:14" x14ac:dyDescent="0.25">
      <c r="L2690" s="20" t="e">
        <f t="shared" si="123"/>
        <v>#VALUE!</v>
      </c>
      <c r="M2690" t="e">
        <f t="shared" si="124"/>
        <v>#VALUE!</v>
      </c>
      <c r="N2690">
        <f t="shared" si="125"/>
        <v>0</v>
      </c>
    </row>
    <row r="2691" spans="12:14" x14ac:dyDescent="0.25">
      <c r="L2691" s="20" t="e">
        <f t="shared" ref="L2691:L2754" si="126">DATEVALUE(LEFT(F2691,10))</f>
        <v>#VALUE!</v>
      </c>
      <c r="M2691" t="e">
        <f t="shared" ref="M2691:M2754" si="127">TEXT(L2691,"mm-yyyy")</f>
        <v>#VALUE!</v>
      </c>
      <c r="N2691">
        <f t="shared" ref="N2691:N2754" si="128">H2691*I2691</f>
        <v>0</v>
      </c>
    </row>
    <row r="2692" spans="12:14" x14ac:dyDescent="0.25">
      <c r="L2692" s="20" t="e">
        <f t="shared" si="126"/>
        <v>#VALUE!</v>
      </c>
      <c r="M2692" t="e">
        <f t="shared" si="127"/>
        <v>#VALUE!</v>
      </c>
      <c r="N2692">
        <f t="shared" si="128"/>
        <v>0</v>
      </c>
    </row>
    <row r="2693" spans="12:14" x14ac:dyDescent="0.25">
      <c r="L2693" s="20" t="e">
        <f t="shared" si="126"/>
        <v>#VALUE!</v>
      </c>
      <c r="M2693" t="e">
        <f t="shared" si="127"/>
        <v>#VALUE!</v>
      </c>
      <c r="N2693">
        <f t="shared" si="128"/>
        <v>0</v>
      </c>
    </row>
    <row r="2694" spans="12:14" x14ac:dyDescent="0.25">
      <c r="L2694" s="20" t="e">
        <f t="shared" si="126"/>
        <v>#VALUE!</v>
      </c>
      <c r="M2694" t="e">
        <f t="shared" si="127"/>
        <v>#VALUE!</v>
      </c>
      <c r="N2694">
        <f t="shared" si="128"/>
        <v>0</v>
      </c>
    </row>
    <row r="2695" spans="12:14" x14ac:dyDescent="0.25">
      <c r="L2695" s="20" t="e">
        <f t="shared" si="126"/>
        <v>#VALUE!</v>
      </c>
      <c r="M2695" t="e">
        <f t="shared" si="127"/>
        <v>#VALUE!</v>
      </c>
      <c r="N2695">
        <f t="shared" si="128"/>
        <v>0</v>
      </c>
    </row>
    <row r="2696" spans="12:14" x14ac:dyDescent="0.25">
      <c r="L2696" s="20" t="e">
        <f t="shared" si="126"/>
        <v>#VALUE!</v>
      </c>
      <c r="M2696" t="e">
        <f t="shared" si="127"/>
        <v>#VALUE!</v>
      </c>
      <c r="N2696">
        <f t="shared" si="128"/>
        <v>0</v>
      </c>
    </row>
    <row r="2697" spans="12:14" x14ac:dyDescent="0.25">
      <c r="L2697" s="20" t="e">
        <f t="shared" si="126"/>
        <v>#VALUE!</v>
      </c>
      <c r="M2697" t="e">
        <f t="shared" si="127"/>
        <v>#VALUE!</v>
      </c>
      <c r="N2697">
        <f t="shared" si="128"/>
        <v>0</v>
      </c>
    </row>
    <row r="2698" spans="12:14" x14ac:dyDescent="0.25">
      <c r="L2698" s="20" t="e">
        <f t="shared" si="126"/>
        <v>#VALUE!</v>
      </c>
      <c r="M2698" t="e">
        <f t="shared" si="127"/>
        <v>#VALUE!</v>
      </c>
      <c r="N2698">
        <f t="shared" si="128"/>
        <v>0</v>
      </c>
    </row>
    <row r="2699" spans="12:14" x14ac:dyDescent="0.25">
      <c r="L2699" s="20" t="e">
        <f t="shared" si="126"/>
        <v>#VALUE!</v>
      </c>
      <c r="M2699" t="e">
        <f t="shared" si="127"/>
        <v>#VALUE!</v>
      </c>
      <c r="N2699">
        <f t="shared" si="128"/>
        <v>0</v>
      </c>
    </row>
    <row r="2700" spans="12:14" x14ac:dyDescent="0.25">
      <c r="L2700" s="20" t="e">
        <f t="shared" si="126"/>
        <v>#VALUE!</v>
      </c>
      <c r="M2700" t="e">
        <f t="shared" si="127"/>
        <v>#VALUE!</v>
      </c>
      <c r="N2700">
        <f t="shared" si="128"/>
        <v>0</v>
      </c>
    </row>
    <row r="2701" spans="12:14" x14ac:dyDescent="0.25">
      <c r="L2701" s="20" t="e">
        <f t="shared" si="126"/>
        <v>#VALUE!</v>
      </c>
      <c r="M2701" t="e">
        <f t="shared" si="127"/>
        <v>#VALUE!</v>
      </c>
      <c r="N2701">
        <f t="shared" si="128"/>
        <v>0</v>
      </c>
    </row>
    <row r="2702" spans="12:14" x14ac:dyDescent="0.25">
      <c r="L2702" s="20" t="e">
        <f t="shared" si="126"/>
        <v>#VALUE!</v>
      </c>
      <c r="M2702" t="e">
        <f t="shared" si="127"/>
        <v>#VALUE!</v>
      </c>
      <c r="N2702">
        <f t="shared" si="128"/>
        <v>0</v>
      </c>
    </row>
    <row r="2703" spans="12:14" x14ac:dyDescent="0.25">
      <c r="L2703" s="20" t="e">
        <f t="shared" si="126"/>
        <v>#VALUE!</v>
      </c>
      <c r="M2703" t="e">
        <f t="shared" si="127"/>
        <v>#VALUE!</v>
      </c>
      <c r="N2703">
        <f t="shared" si="128"/>
        <v>0</v>
      </c>
    </row>
    <row r="2704" spans="12:14" x14ac:dyDescent="0.25">
      <c r="L2704" s="20" t="e">
        <f t="shared" si="126"/>
        <v>#VALUE!</v>
      </c>
      <c r="M2704" t="e">
        <f t="shared" si="127"/>
        <v>#VALUE!</v>
      </c>
      <c r="N2704">
        <f t="shared" si="128"/>
        <v>0</v>
      </c>
    </row>
    <row r="2705" spans="12:14" x14ac:dyDescent="0.25">
      <c r="L2705" s="20" t="e">
        <f t="shared" si="126"/>
        <v>#VALUE!</v>
      </c>
      <c r="M2705" t="e">
        <f t="shared" si="127"/>
        <v>#VALUE!</v>
      </c>
      <c r="N2705">
        <f t="shared" si="128"/>
        <v>0</v>
      </c>
    </row>
    <row r="2706" spans="12:14" x14ac:dyDescent="0.25">
      <c r="L2706" s="20" t="e">
        <f t="shared" si="126"/>
        <v>#VALUE!</v>
      </c>
      <c r="M2706" t="e">
        <f t="shared" si="127"/>
        <v>#VALUE!</v>
      </c>
      <c r="N2706">
        <f t="shared" si="128"/>
        <v>0</v>
      </c>
    </row>
    <row r="2707" spans="12:14" x14ac:dyDescent="0.25">
      <c r="L2707" s="20" t="e">
        <f t="shared" si="126"/>
        <v>#VALUE!</v>
      </c>
      <c r="M2707" t="e">
        <f t="shared" si="127"/>
        <v>#VALUE!</v>
      </c>
      <c r="N2707">
        <f t="shared" si="128"/>
        <v>0</v>
      </c>
    </row>
    <row r="2708" spans="12:14" x14ac:dyDescent="0.25">
      <c r="L2708" s="20" t="e">
        <f t="shared" si="126"/>
        <v>#VALUE!</v>
      </c>
      <c r="M2708" t="e">
        <f t="shared" si="127"/>
        <v>#VALUE!</v>
      </c>
      <c r="N2708">
        <f t="shared" si="128"/>
        <v>0</v>
      </c>
    </row>
    <row r="2709" spans="12:14" x14ac:dyDescent="0.25">
      <c r="L2709" s="20" t="e">
        <f t="shared" si="126"/>
        <v>#VALUE!</v>
      </c>
      <c r="M2709" t="e">
        <f t="shared" si="127"/>
        <v>#VALUE!</v>
      </c>
      <c r="N2709">
        <f t="shared" si="128"/>
        <v>0</v>
      </c>
    </row>
    <row r="2710" spans="12:14" x14ac:dyDescent="0.25">
      <c r="L2710" s="20" t="e">
        <f t="shared" si="126"/>
        <v>#VALUE!</v>
      </c>
      <c r="M2710" t="e">
        <f t="shared" si="127"/>
        <v>#VALUE!</v>
      </c>
      <c r="N2710">
        <f t="shared" si="128"/>
        <v>0</v>
      </c>
    </row>
    <row r="2711" spans="12:14" x14ac:dyDescent="0.25">
      <c r="L2711" s="20" t="e">
        <f t="shared" si="126"/>
        <v>#VALUE!</v>
      </c>
      <c r="M2711" t="e">
        <f t="shared" si="127"/>
        <v>#VALUE!</v>
      </c>
      <c r="N2711">
        <f t="shared" si="128"/>
        <v>0</v>
      </c>
    </row>
    <row r="2712" spans="12:14" x14ac:dyDescent="0.25">
      <c r="L2712" s="20" t="e">
        <f t="shared" si="126"/>
        <v>#VALUE!</v>
      </c>
      <c r="M2712" t="e">
        <f t="shared" si="127"/>
        <v>#VALUE!</v>
      </c>
      <c r="N2712">
        <f t="shared" si="128"/>
        <v>0</v>
      </c>
    </row>
    <row r="2713" spans="12:14" x14ac:dyDescent="0.25">
      <c r="L2713" s="20" t="e">
        <f t="shared" si="126"/>
        <v>#VALUE!</v>
      </c>
      <c r="M2713" t="e">
        <f t="shared" si="127"/>
        <v>#VALUE!</v>
      </c>
      <c r="N2713">
        <f t="shared" si="128"/>
        <v>0</v>
      </c>
    </row>
    <row r="2714" spans="12:14" x14ac:dyDescent="0.25">
      <c r="L2714" s="20" t="e">
        <f t="shared" si="126"/>
        <v>#VALUE!</v>
      </c>
      <c r="M2714" t="e">
        <f t="shared" si="127"/>
        <v>#VALUE!</v>
      </c>
      <c r="N2714">
        <f t="shared" si="128"/>
        <v>0</v>
      </c>
    </row>
    <row r="2715" spans="12:14" x14ac:dyDescent="0.25">
      <c r="L2715" s="20" t="e">
        <f t="shared" si="126"/>
        <v>#VALUE!</v>
      </c>
      <c r="M2715" t="e">
        <f t="shared" si="127"/>
        <v>#VALUE!</v>
      </c>
      <c r="N2715">
        <f t="shared" si="128"/>
        <v>0</v>
      </c>
    </row>
    <row r="2716" spans="12:14" x14ac:dyDescent="0.25">
      <c r="L2716" s="20" t="e">
        <f t="shared" si="126"/>
        <v>#VALUE!</v>
      </c>
      <c r="M2716" t="e">
        <f t="shared" si="127"/>
        <v>#VALUE!</v>
      </c>
      <c r="N2716">
        <f t="shared" si="128"/>
        <v>0</v>
      </c>
    </row>
    <row r="2717" spans="12:14" x14ac:dyDescent="0.25">
      <c r="L2717" s="20" t="e">
        <f t="shared" si="126"/>
        <v>#VALUE!</v>
      </c>
      <c r="M2717" t="e">
        <f t="shared" si="127"/>
        <v>#VALUE!</v>
      </c>
      <c r="N2717">
        <f t="shared" si="128"/>
        <v>0</v>
      </c>
    </row>
    <row r="2718" spans="12:14" x14ac:dyDescent="0.25">
      <c r="L2718" s="20" t="e">
        <f t="shared" si="126"/>
        <v>#VALUE!</v>
      </c>
      <c r="M2718" t="e">
        <f t="shared" si="127"/>
        <v>#VALUE!</v>
      </c>
      <c r="N2718">
        <f t="shared" si="128"/>
        <v>0</v>
      </c>
    </row>
    <row r="2719" spans="12:14" x14ac:dyDescent="0.25">
      <c r="L2719" s="20" t="e">
        <f t="shared" si="126"/>
        <v>#VALUE!</v>
      </c>
      <c r="M2719" t="e">
        <f t="shared" si="127"/>
        <v>#VALUE!</v>
      </c>
      <c r="N2719">
        <f t="shared" si="128"/>
        <v>0</v>
      </c>
    </row>
    <row r="2720" spans="12:14" x14ac:dyDescent="0.25">
      <c r="L2720" s="20" t="e">
        <f t="shared" si="126"/>
        <v>#VALUE!</v>
      </c>
      <c r="M2720" t="e">
        <f t="shared" si="127"/>
        <v>#VALUE!</v>
      </c>
      <c r="N2720">
        <f t="shared" si="128"/>
        <v>0</v>
      </c>
    </row>
    <row r="2721" spans="12:14" x14ac:dyDescent="0.25">
      <c r="L2721" s="20" t="e">
        <f t="shared" si="126"/>
        <v>#VALUE!</v>
      </c>
      <c r="M2721" t="e">
        <f t="shared" si="127"/>
        <v>#VALUE!</v>
      </c>
      <c r="N2721">
        <f t="shared" si="128"/>
        <v>0</v>
      </c>
    </row>
    <row r="2722" spans="12:14" x14ac:dyDescent="0.25">
      <c r="L2722" s="20" t="e">
        <f t="shared" si="126"/>
        <v>#VALUE!</v>
      </c>
      <c r="M2722" t="e">
        <f t="shared" si="127"/>
        <v>#VALUE!</v>
      </c>
      <c r="N2722">
        <f t="shared" si="128"/>
        <v>0</v>
      </c>
    </row>
    <row r="2723" spans="12:14" x14ac:dyDescent="0.25">
      <c r="L2723" s="20" t="e">
        <f t="shared" si="126"/>
        <v>#VALUE!</v>
      </c>
      <c r="M2723" t="e">
        <f t="shared" si="127"/>
        <v>#VALUE!</v>
      </c>
      <c r="N2723">
        <f t="shared" si="128"/>
        <v>0</v>
      </c>
    </row>
    <row r="2724" spans="12:14" x14ac:dyDescent="0.25">
      <c r="L2724" s="20" t="e">
        <f t="shared" si="126"/>
        <v>#VALUE!</v>
      </c>
      <c r="M2724" t="e">
        <f t="shared" si="127"/>
        <v>#VALUE!</v>
      </c>
      <c r="N2724">
        <f t="shared" si="128"/>
        <v>0</v>
      </c>
    </row>
    <row r="2725" spans="12:14" x14ac:dyDescent="0.25">
      <c r="L2725" s="20" t="e">
        <f t="shared" si="126"/>
        <v>#VALUE!</v>
      </c>
      <c r="M2725" t="e">
        <f t="shared" si="127"/>
        <v>#VALUE!</v>
      </c>
      <c r="N2725">
        <f t="shared" si="128"/>
        <v>0</v>
      </c>
    </row>
    <row r="2726" spans="12:14" x14ac:dyDescent="0.25">
      <c r="L2726" s="20" t="e">
        <f t="shared" si="126"/>
        <v>#VALUE!</v>
      </c>
      <c r="M2726" t="e">
        <f t="shared" si="127"/>
        <v>#VALUE!</v>
      </c>
      <c r="N2726">
        <f t="shared" si="128"/>
        <v>0</v>
      </c>
    </row>
    <row r="2727" spans="12:14" x14ac:dyDescent="0.25">
      <c r="L2727" s="20" t="e">
        <f t="shared" si="126"/>
        <v>#VALUE!</v>
      </c>
      <c r="M2727" t="e">
        <f t="shared" si="127"/>
        <v>#VALUE!</v>
      </c>
      <c r="N2727">
        <f t="shared" si="128"/>
        <v>0</v>
      </c>
    </row>
    <row r="2728" spans="12:14" x14ac:dyDescent="0.25">
      <c r="L2728" s="20" t="e">
        <f t="shared" si="126"/>
        <v>#VALUE!</v>
      </c>
      <c r="M2728" t="e">
        <f t="shared" si="127"/>
        <v>#VALUE!</v>
      </c>
      <c r="N2728">
        <f t="shared" si="128"/>
        <v>0</v>
      </c>
    </row>
    <row r="2729" spans="12:14" x14ac:dyDescent="0.25">
      <c r="L2729" s="20" t="e">
        <f t="shared" si="126"/>
        <v>#VALUE!</v>
      </c>
      <c r="M2729" t="e">
        <f t="shared" si="127"/>
        <v>#VALUE!</v>
      </c>
      <c r="N2729">
        <f t="shared" si="128"/>
        <v>0</v>
      </c>
    </row>
    <row r="2730" spans="12:14" x14ac:dyDescent="0.25">
      <c r="L2730" s="20" t="e">
        <f t="shared" si="126"/>
        <v>#VALUE!</v>
      </c>
      <c r="M2730" t="e">
        <f t="shared" si="127"/>
        <v>#VALUE!</v>
      </c>
      <c r="N2730">
        <f t="shared" si="128"/>
        <v>0</v>
      </c>
    </row>
    <row r="2731" spans="12:14" x14ac:dyDescent="0.25">
      <c r="L2731" s="20" t="e">
        <f t="shared" si="126"/>
        <v>#VALUE!</v>
      </c>
      <c r="M2731" t="e">
        <f t="shared" si="127"/>
        <v>#VALUE!</v>
      </c>
      <c r="N2731">
        <f t="shared" si="128"/>
        <v>0</v>
      </c>
    </row>
    <row r="2732" spans="12:14" x14ac:dyDescent="0.25">
      <c r="L2732" s="20" t="e">
        <f t="shared" si="126"/>
        <v>#VALUE!</v>
      </c>
      <c r="M2732" t="e">
        <f t="shared" si="127"/>
        <v>#VALUE!</v>
      </c>
      <c r="N2732">
        <f t="shared" si="128"/>
        <v>0</v>
      </c>
    </row>
    <row r="2733" spans="12:14" x14ac:dyDescent="0.25">
      <c r="L2733" s="20" t="e">
        <f t="shared" si="126"/>
        <v>#VALUE!</v>
      </c>
      <c r="M2733" t="e">
        <f t="shared" si="127"/>
        <v>#VALUE!</v>
      </c>
      <c r="N2733">
        <f t="shared" si="128"/>
        <v>0</v>
      </c>
    </row>
    <row r="2734" spans="12:14" x14ac:dyDescent="0.25">
      <c r="L2734" s="20" t="e">
        <f t="shared" si="126"/>
        <v>#VALUE!</v>
      </c>
      <c r="M2734" t="e">
        <f t="shared" si="127"/>
        <v>#VALUE!</v>
      </c>
      <c r="N2734">
        <f t="shared" si="128"/>
        <v>0</v>
      </c>
    </row>
    <row r="2735" spans="12:14" x14ac:dyDescent="0.25">
      <c r="L2735" s="20" t="e">
        <f t="shared" si="126"/>
        <v>#VALUE!</v>
      </c>
      <c r="M2735" t="e">
        <f t="shared" si="127"/>
        <v>#VALUE!</v>
      </c>
      <c r="N2735">
        <f t="shared" si="128"/>
        <v>0</v>
      </c>
    </row>
    <row r="2736" spans="12:14" x14ac:dyDescent="0.25">
      <c r="L2736" s="20" t="e">
        <f t="shared" si="126"/>
        <v>#VALUE!</v>
      </c>
      <c r="M2736" t="e">
        <f t="shared" si="127"/>
        <v>#VALUE!</v>
      </c>
      <c r="N2736">
        <f t="shared" si="128"/>
        <v>0</v>
      </c>
    </row>
    <row r="2737" spans="12:14" x14ac:dyDescent="0.25">
      <c r="L2737" s="20" t="e">
        <f t="shared" si="126"/>
        <v>#VALUE!</v>
      </c>
      <c r="M2737" t="e">
        <f t="shared" si="127"/>
        <v>#VALUE!</v>
      </c>
      <c r="N2737">
        <f t="shared" si="128"/>
        <v>0</v>
      </c>
    </row>
    <row r="2738" spans="12:14" x14ac:dyDescent="0.25">
      <c r="L2738" s="20" t="e">
        <f t="shared" si="126"/>
        <v>#VALUE!</v>
      </c>
      <c r="M2738" t="e">
        <f t="shared" si="127"/>
        <v>#VALUE!</v>
      </c>
      <c r="N2738">
        <f t="shared" si="128"/>
        <v>0</v>
      </c>
    </row>
    <row r="2739" spans="12:14" x14ac:dyDescent="0.25">
      <c r="L2739" s="20" t="e">
        <f t="shared" si="126"/>
        <v>#VALUE!</v>
      </c>
      <c r="M2739" t="e">
        <f t="shared" si="127"/>
        <v>#VALUE!</v>
      </c>
      <c r="N2739">
        <f t="shared" si="128"/>
        <v>0</v>
      </c>
    </row>
    <row r="2740" spans="12:14" x14ac:dyDescent="0.25">
      <c r="L2740" s="20" t="e">
        <f t="shared" si="126"/>
        <v>#VALUE!</v>
      </c>
      <c r="M2740" t="e">
        <f t="shared" si="127"/>
        <v>#VALUE!</v>
      </c>
      <c r="N2740">
        <f t="shared" si="128"/>
        <v>0</v>
      </c>
    </row>
    <row r="2741" spans="12:14" x14ac:dyDescent="0.25">
      <c r="L2741" s="20" t="e">
        <f t="shared" si="126"/>
        <v>#VALUE!</v>
      </c>
      <c r="M2741" t="e">
        <f t="shared" si="127"/>
        <v>#VALUE!</v>
      </c>
      <c r="N2741">
        <f t="shared" si="128"/>
        <v>0</v>
      </c>
    </row>
    <row r="2742" spans="12:14" x14ac:dyDescent="0.25">
      <c r="L2742" s="20" t="e">
        <f t="shared" si="126"/>
        <v>#VALUE!</v>
      </c>
      <c r="M2742" t="e">
        <f t="shared" si="127"/>
        <v>#VALUE!</v>
      </c>
      <c r="N2742">
        <f t="shared" si="128"/>
        <v>0</v>
      </c>
    </row>
    <row r="2743" spans="12:14" x14ac:dyDescent="0.25">
      <c r="L2743" s="20" t="e">
        <f t="shared" si="126"/>
        <v>#VALUE!</v>
      </c>
      <c r="M2743" t="e">
        <f t="shared" si="127"/>
        <v>#VALUE!</v>
      </c>
      <c r="N2743">
        <f t="shared" si="128"/>
        <v>0</v>
      </c>
    </row>
    <row r="2744" spans="12:14" x14ac:dyDescent="0.25">
      <c r="L2744" s="20" t="e">
        <f t="shared" si="126"/>
        <v>#VALUE!</v>
      </c>
      <c r="M2744" t="e">
        <f t="shared" si="127"/>
        <v>#VALUE!</v>
      </c>
      <c r="N2744">
        <f t="shared" si="128"/>
        <v>0</v>
      </c>
    </row>
    <row r="2745" spans="12:14" x14ac:dyDescent="0.25">
      <c r="L2745" s="20" t="e">
        <f t="shared" si="126"/>
        <v>#VALUE!</v>
      </c>
      <c r="M2745" t="e">
        <f t="shared" si="127"/>
        <v>#VALUE!</v>
      </c>
      <c r="N2745">
        <f t="shared" si="128"/>
        <v>0</v>
      </c>
    </row>
    <row r="2746" spans="12:14" x14ac:dyDescent="0.25">
      <c r="L2746" s="20" t="e">
        <f t="shared" si="126"/>
        <v>#VALUE!</v>
      </c>
      <c r="M2746" t="e">
        <f t="shared" si="127"/>
        <v>#VALUE!</v>
      </c>
      <c r="N2746">
        <f t="shared" si="128"/>
        <v>0</v>
      </c>
    </row>
    <row r="2747" spans="12:14" x14ac:dyDescent="0.25">
      <c r="L2747" s="20" t="e">
        <f t="shared" si="126"/>
        <v>#VALUE!</v>
      </c>
      <c r="M2747" t="e">
        <f t="shared" si="127"/>
        <v>#VALUE!</v>
      </c>
      <c r="N2747">
        <f t="shared" si="128"/>
        <v>0</v>
      </c>
    </row>
    <row r="2748" spans="12:14" x14ac:dyDescent="0.25">
      <c r="L2748" s="20" t="e">
        <f t="shared" si="126"/>
        <v>#VALUE!</v>
      </c>
      <c r="M2748" t="e">
        <f t="shared" si="127"/>
        <v>#VALUE!</v>
      </c>
      <c r="N2748">
        <f t="shared" si="128"/>
        <v>0</v>
      </c>
    </row>
    <row r="2749" spans="12:14" x14ac:dyDescent="0.25">
      <c r="L2749" s="20" t="e">
        <f t="shared" si="126"/>
        <v>#VALUE!</v>
      </c>
      <c r="M2749" t="e">
        <f t="shared" si="127"/>
        <v>#VALUE!</v>
      </c>
      <c r="N2749">
        <f t="shared" si="128"/>
        <v>0</v>
      </c>
    </row>
    <row r="2750" spans="12:14" x14ac:dyDescent="0.25">
      <c r="L2750" s="20" t="e">
        <f t="shared" si="126"/>
        <v>#VALUE!</v>
      </c>
      <c r="M2750" t="e">
        <f t="shared" si="127"/>
        <v>#VALUE!</v>
      </c>
      <c r="N2750">
        <f t="shared" si="128"/>
        <v>0</v>
      </c>
    </row>
    <row r="2751" spans="12:14" x14ac:dyDescent="0.25">
      <c r="L2751" s="20" t="e">
        <f t="shared" si="126"/>
        <v>#VALUE!</v>
      </c>
      <c r="M2751" t="e">
        <f t="shared" si="127"/>
        <v>#VALUE!</v>
      </c>
      <c r="N2751">
        <f t="shared" si="128"/>
        <v>0</v>
      </c>
    </row>
    <row r="2752" spans="12:14" x14ac:dyDescent="0.25">
      <c r="L2752" s="20" t="e">
        <f t="shared" si="126"/>
        <v>#VALUE!</v>
      </c>
      <c r="M2752" t="e">
        <f t="shared" si="127"/>
        <v>#VALUE!</v>
      </c>
      <c r="N2752">
        <f t="shared" si="128"/>
        <v>0</v>
      </c>
    </row>
    <row r="2753" spans="12:14" x14ac:dyDescent="0.25">
      <c r="L2753" s="20" t="e">
        <f t="shared" si="126"/>
        <v>#VALUE!</v>
      </c>
      <c r="M2753" t="e">
        <f t="shared" si="127"/>
        <v>#VALUE!</v>
      </c>
      <c r="N2753">
        <f t="shared" si="128"/>
        <v>0</v>
      </c>
    </row>
    <row r="2754" spans="12:14" x14ac:dyDescent="0.25">
      <c r="L2754" s="20" t="e">
        <f t="shared" si="126"/>
        <v>#VALUE!</v>
      </c>
      <c r="M2754" t="e">
        <f t="shared" si="127"/>
        <v>#VALUE!</v>
      </c>
      <c r="N2754">
        <f t="shared" si="128"/>
        <v>0</v>
      </c>
    </row>
    <row r="2755" spans="12:14" x14ac:dyDescent="0.25">
      <c r="L2755" s="20" t="e">
        <f t="shared" ref="L2755:L2818" si="129">DATEVALUE(LEFT(F2755,10))</f>
        <v>#VALUE!</v>
      </c>
      <c r="M2755" t="e">
        <f t="shared" ref="M2755:M2818" si="130">TEXT(L2755,"mm-yyyy")</f>
        <v>#VALUE!</v>
      </c>
      <c r="N2755">
        <f t="shared" ref="N2755:N2818" si="131">H2755*I2755</f>
        <v>0</v>
      </c>
    </row>
    <row r="2756" spans="12:14" x14ac:dyDescent="0.25">
      <c r="L2756" s="20" t="e">
        <f t="shared" si="129"/>
        <v>#VALUE!</v>
      </c>
      <c r="M2756" t="e">
        <f t="shared" si="130"/>
        <v>#VALUE!</v>
      </c>
      <c r="N2756">
        <f t="shared" si="131"/>
        <v>0</v>
      </c>
    </row>
    <row r="2757" spans="12:14" x14ac:dyDescent="0.25">
      <c r="L2757" s="20" t="e">
        <f t="shared" si="129"/>
        <v>#VALUE!</v>
      </c>
      <c r="M2757" t="e">
        <f t="shared" si="130"/>
        <v>#VALUE!</v>
      </c>
      <c r="N2757">
        <f t="shared" si="131"/>
        <v>0</v>
      </c>
    </row>
    <row r="2758" spans="12:14" x14ac:dyDescent="0.25">
      <c r="L2758" s="20" t="e">
        <f t="shared" si="129"/>
        <v>#VALUE!</v>
      </c>
      <c r="M2758" t="e">
        <f t="shared" si="130"/>
        <v>#VALUE!</v>
      </c>
      <c r="N2758">
        <f t="shared" si="131"/>
        <v>0</v>
      </c>
    </row>
    <row r="2759" spans="12:14" x14ac:dyDescent="0.25">
      <c r="L2759" s="20" t="e">
        <f t="shared" si="129"/>
        <v>#VALUE!</v>
      </c>
      <c r="M2759" t="e">
        <f t="shared" si="130"/>
        <v>#VALUE!</v>
      </c>
      <c r="N2759">
        <f t="shared" si="131"/>
        <v>0</v>
      </c>
    </row>
    <row r="2760" spans="12:14" x14ac:dyDescent="0.25">
      <c r="L2760" s="20" t="e">
        <f t="shared" si="129"/>
        <v>#VALUE!</v>
      </c>
      <c r="M2760" t="e">
        <f t="shared" si="130"/>
        <v>#VALUE!</v>
      </c>
      <c r="N2760">
        <f t="shared" si="131"/>
        <v>0</v>
      </c>
    </row>
    <row r="2761" spans="12:14" x14ac:dyDescent="0.25">
      <c r="L2761" s="20" t="e">
        <f t="shared" si="129"/>
        <v>#VALUE!</v>
      </c>
      <c r="M2761" t="e">
        <f t="shared" si="130"/>
        <v>#VALUE!</v>
      </c>
      <c r="N2761">
        <f t="shared" si="131"/>
        <v>0</v>
      </c>
    </row>
    <row r="2762" spans="12:14" x14ac:dyDescent="0.25">
      <c r="L2762" s="20" t="e">
        <f t="shared" si="129"/>
        <v>#VALUE!</v>
      </c>
      <c r="M2762" t="e">
        <f t="shared" si="130"/>
        <v>#VALUE!</v>
      </c>
      <c r="N2762">
        <f t="shared" si="131"/>
        <v>0</v>
      </c>
    </row>
    <row r="2763" spans="12:14" x14ac:dyDescent="0.25">
      <c r="L2763" s="20" t="e">
        <f t="shared" si="129"/>
        <v>#VALUE!</v>
      </c>
      <c r="M2763" t="e">
        <f t="shared" si="130"/>
        <v>#VALUE!</v>
      </c>
      <c r="N2763">
        <f t="shared" si="131"/>
        <v>0</v>
      </c>
    </row>
    <row r="2764" spans="12:14" x14ac:dyDescent="0.25">
      <c r="L2764" s="20" t="e">
        <f t="shared" si="129"/>
        <v>#VALUE!</v>
      </c>
      <c r="M2764" t="e">
        <f t="shared" si="130"/>
        <v>#VALUE!</v>
      </c>
      <c r="N2764">
        <f t="shared" si="131"/>
        <v>0</v>
      </c>
    </row>
    <row r="2765" spans="12:14" x14ac:dyDescent="0.25">
      <c r="L2765" s="20" t="e">
        <f t="shared" si="129"/>
        <v>#VALUE!</v>
      </c>
      <c r="M2765" t="e">
        <f t="shared" si="130"/>
        <v>#VALUE!</v>
      </c>
      <c r="N2765">
        <f t="shared" si="131"/>
        <v>0</v>
      </c>
    </row>
    <row r="2766" spans="12:14" x14ac:dyDescent="0.25">
      <c r="L2766" s="20" t="e">
        <f t="shared" si="129"/>
        <v>#VALUE!</v>
      </c>
      <c r="M2766" t="e">
        <f t="shared" si="130"/>
        <v>#VALUE!</v>
      </c>
      <c r="N2766">
        <f t="shared" si="131"/>
        <v>0</v>
      </c>
    </row>
    <row r="2767" spans="12:14" x14ac:dyDescent="0.25">
      <c r="L2767" s="20" t="e">
        <f t="shared" si="129"/>
        <v>#VALUE!</v>
      </c>
      <c r="M2767" t="e">
        <f t="shared" si="130"/>
        <v>#VALUE!</v>
      </c>
      <c r="N2767">
        <f t="shared" si="131"/>
        <v>0</v>
      </c>
    </row>
    <row r="2768" spans="12:14" x14ac:dyDescent="0.25">
      <c r="L2768" s="20" t="e">
        <f t="shared" si="129"/>
        <v>#VALUE!</v>
      </c>
      <c r="M2768" t="e">
        <f t="shared" si="130"/>
        <v>#VALUE!</v>
      </c>
      <c r="N2768">
        <f t="shared" si="131"/>
        <v>0</v>
      </c>
    </row>
    <row r="2769" spans="12:14" x14ac:dyDescent="0.25">
      <c r="L2769" s="20" t="e">
        <f t="shared" si="129"/>
        <v>#VALUE!</v>
      </c>
      <c r="M2769" t="e">
        <f t="shared" si="130"/>
        <v>#VALUE!</v>
      </c>
      <c r="N2769">
        <f t="shared" si="131"/>
        <v>0</v>
      </c>
    </row>
    <row r="2770" spans="12:14" x14ac:dyDescent="0.25">
      <c r="L2770" s="20" t="e">
        <f t="shared" si="129"/>
        <v>#VALUE!</v>
      </c>
      <c r="M2770" t="e">
        <f t="shared" si="130"/>
        <v>#VALUE!</v>
      </c>
      <c r="N2770">
        <f t="shared" si="131"/>
        <v>0</v>
      </c>
    </row>
    <row r="2771" spans="12:14" x14ac:dyDescent="0.25">
      <c r="L2771" s="20" t="e">
        <f t="shared" si="129"/>
        <v>#VALUE!</v>
      </c>
      <c r="M2771" t="e">
        <f t="shared" si="130"/>
        <v>#VALUE!</v>
      </c>
      <c r="N2771">
        <f t="shared" si="131"/>
        <v>0</v>
      </c>
    </row>
    <row r="2772" spans="12:14" x14ac:dyDescent="0.25">
      <c r="L2772" s="20" t="e">
        <f t="shared" si="129"/>
        <v>#VALUE!</v>
      </c>
      <c r="M2772" t="e">
        <f t="shared" si="130"/>
        <v>#VALUE!</v>
      </c>
      <c r="N2772">
        <f t="shared" si="131"/>
        <v>0</v>
      </c>
    </row>
    <row r="2773" spans="12:14" x14ac:dyDescent="0.25">
      <c r="L2773" s="20" t="e">
        <f t="shared" si="129"/>
        <v>#VALUE!</v>
      </c>
      <c r="M2773" t="e">
        <f t="shared" si="130"/>
        <v>#VALUE!</v>
      </c>
      <c r="N2773">
        <f t="shared" si="131"/>
        <v>0</v>
      </c>
    </row>
    <row r="2774" spans="12:14" x14ac:dyDescent="0.25">
      <c r="L2774" s="20" t="e">
        <f t="shared" si="129"/>
        <v>#VALUE!</v>
      </c>
      <c r="M2774" t="e">
        <f t="shared" si="130"/>
        <v>#VALUE!</v>
      </c>
      <c r="N2774">
        <f t="shared" si="131"/>
        <v>0</v>
      </c>
    </row>
    <row r="2775" spans="12:14" x14ac:dyDescent="0.25">
      <c r="L2775" s="20" t="e">
        <f t="shared" si="129"/>
        <v>#VALUE!</v>
      </c>
      <c r="M2775" t="e">
        <f t="shared" si="130"/>
        <v>#VALUE!</v>
      </c>
      <c r="N2775">
        <f t="shared" si="131"/>
        <v>0</v>
      </c>
    </row>
    <row r="2776" spans="12:14" x14ac:dyDescent="0.25">
      <c r="L2776" s="20" t="e">
        <f t="shared" si="129"/>
        <v>#VALUE!</v>
      </c>
      <c r="M2776" t="e">
        <f t="shared" si="130"/>
        <v>#VALUE!</v>
      </c>
      <c r="N2776">
        <f t="shared" si="131"/>
        <v>0</v>
      </c>
    </row>
    <row r="2777" spans="12:14" x14ac:dyDescent="0.25">
      <c r="L2777" s="20" t="e">
        <f t="shared" si="129"/>
        <v>#VALUE!</v>
      </c>
      <c r="M2777" t="e">
        <f t="shared" si="130"/>
        <v>#VALUE!</v>
      </c>
      <c r="N2777">
        <f t="shared" si="131"/>
        <v>0</v>
      </c>
    </row>
    <row r="2778" spans="12:14" x14ac:dyDescent="0.25">
      <c r="L2778" s="20" t="e">
        <f t="shared" si="129"/>
        <v>#VALUE!</v>
      </c>
      <c r="M2778" t="e">
        <f t="shared" si="130"/>
        <v>#VALUE!</v>
      </c>
      <c r="N2778">
        <f t="shared" si="131"/>
        <v>0</v>
      </c>
    </row>
    <row r="2779" spans="12:14" x14ac:dyDescent="0.25">
      <c r="L2779" s="20" t="e">
        <f t="shared" si="129"/>
        <v>#VALUE!</v>
      </c>
      <c r="M2779" t="e">
        <f t="shared" si="130"/>
        <v>#VALUE!</v>
      </c>
      <c r="N2779">
        <f t="shared" si="131"/>
        <v>0</v>
      </c>
    </row>
    <row r="2780" spans="12:14" x14ac:dyDescent="0.25">
      <c r="L2780" s="20" t="e">
        <f t="shared" si="129"/>
        <v>#VALUE!</v>
      </c>
      <c r="M2780" t="e">
        <f t="shared" si="130"/>
        <v>#VALUE!</v>
      </c>
      <c r="N2780">
        <f t="shared" si="131"/>
        <v>0</v>
      </c>
    </row>
    <row r="2781" spans="12:14" x14ac:dyDescent="0.25">
      <c r="L2781" s="20" t="e">
        <f t="shared" si="129"/>
        <v>#VALUE!</v>
      </c>
      <c r="M2781" t="e">
        <f t="shared" si="130"/>
        <v>#VALUE!</v>
      </c>
      <c r="N2781">
        <f t="shared" si="131"/>
        <v>0</v>
      </c>
    </row>
    <row r="2782" spans="12:14" x14ac:dyDescent="0.25">
      <c r="L2782" s="20" t="e">
        <f t="shared" si="129"/>
        <v>#VALUE!</v>
      </c>
      <c r="M2782" t="e">
        <f t="shared" si="130"/>
        <v>#VALUE!</v>
      </c>
      <c r="N2782">
        <f t="shared" si="131"/>
        <v>0</v>
      </c>
    </row>
    <row r="2783" spans="12:14" x14ac:dyDescent="0.25">
      <c r="L2783" s="20" t="e">
        <f t="shared" si="129"/>
        <v>#VALUE!</v>
      </c>
      <c r="M2783" t="e">
        <f t="shared" si="130"/>
        <v>#VALUE!</v>
      </c>
      <c r="N2783">
        <f t="shared" si="131"/>
        <v>0</v>
      </c>
    </row>
    <row r="2784" spans="12:14" x14ac:dyDescent="0.25">
      <c r="L2784" s="20" t="e">
        <f t="shared" si="129"/>
        <v>#VALUE!</v>
      </c>
      <c r="M2784" t="e">
        <f t="shared" si="130"/>
        <v>#VALUE!</v>
      </c>
      <c r="N2784">
        <f t="shared" si="131"/>
        <v>0</v>
      </c>
    </row>
    <row r="2785" spans="12:14" x14ac:dyDescent="0.25">
      <c r="L2785" s="20" t="e">
        <f t="shared" si="129"/>
        <v>#VALUE!</v>
      </c>
      <c r="M2785" t="e">
        <f t="shared" si="130"/>
        <v>#VALUE!</v>
      </c>
      <c r="N2785">
        <f t="shared" si="131"/>
        <v>0</v>
      </c>
    </row>
    <row r="2786" spans="12:14" x14ac:dyDescent="0.25">
      <c r="L2786" s="20" t="e">
        <f t="shared" si="129"/>
        <v>#VALUE!</v>
      </c>
      <c r="M2786" t="e">
        <f t="shared" si="130"/>
        <v>#VALUE!</v>
      </c>
      <c r="N2786">
        <f t="shared" si="131"/>
        <v>0</v>
      </c>
    </row>
    <row r="2787" spans="12:14" x14ac:dyDescent="0.25">
      <c r="L2787" s="20" t="e">
        <f t="shared" si="129"/>
        <v>#VALUE!</v>
      </c>
      <c r="M2787" t="e">
        <f t="shared" si="130"/>
        <v>#VALUE!</v>
      </c>
      <c r="N2787">
        <f t="shared" si="131"/>
        <v>0</v>
      </c>
    </row>
    <row r="2788" spans="12:14" x14ac:dyDescent="0.25">
      <c r="L2788" s="20" t="e">
        <f t="shared" si="129"/>
        <v>#VALUE!</v>
      </c>
      <c r="M2788" t="e">
        <f t="shared" si="130"/>
        <v>#VALUE!</v>
      </c>
      <c r="N2788">
        <f t="shared" si="131"/>
        <v>0</v>
      </c>
    </row>
    <row r="2789" spans="12:14" x14ac:dyDescent="0.25">
      <c r="L2789" s="20" t="e">
        <f t="shared" si="129"/>
        <v>#VALUE!</v>
      </c>
      <c r="M2789" t="e">
        <f t="shared" si="130"/>
        <v>#VALUE!</v>
      </c>
      <c r="N2789">
        <f t="shared" si="131"/>
        <v>0</v>
      </c>
    </row>
    <row r="2790" spans="12:14" x14ac:dyDescent="0.25">
      <c r="L2790" s="20" t="e">
        <f t="shared" si="129"/>
        <v>#VALUE!</v>
      </c>
      <c r="M2790" t="e">
        <f t="shared" si="130"/>
        <v>#VALUE!</v>
      </c>
      <c r="N2790">
        <f t="shared" si="131"/>
        <v>0</v>
      </c>
    </row>
    <row r="2791" spans="12:14" x14ac:dyDescent="0.25">
      <c r="L2791" s="20" t="e">
        <f t="shared" si="129"/>
        <v>#VALUE!</v>
      </c>
      <c r="M2791" t="e">
        <f t="shared" si="130"/>
        <v>#VALUE!</v>
      </c>
      <c r="N2791">
        <f t="shared" si="131"/>
        <v>0</v>
      </c>
    </row>
    <row r="2792" spans="12:14" x14ac:dyDescent="0.25">
      <c r="L2792" s="20" t="e">
        <f t="shared" si="129"/>
        <v>#VALUE!</v>
      </c>
      <c r="M2792" t="e">
        <f t="shared" si="130"/>
        <v>#VALUE!</v>
      </c>
      <c r="N2792">
        <f t="shared" si="131"/>
        <v>0</v>
      </c>
    </row>
    <row r="2793" spans="12:14" x14ac:dyDescent="0.25">
      <c r="L2793" s="20" t="e">
        <f t="shared" si="129"/>
        <v>#VALUE!</v>
      </c>
      <c r="M2793" t="e">
        <f t="shared" si="130"/>
        <v>#VALUE!</v>
      </c>
      <c r="N2793">
        <f t="shared" si="131"/>
        <v>0</v>
      </c>
    </row>
    <row r="2794" spans="12:14" x14ac:dyDescent="0.25">
      <c r="L2794" s="20" t="e">
        <f t="shared" si="129"/>
        <v>#VALUE!</v>
      </c>
      <c r="M2794" t="e">
        <f t="shared" si="130"/>
        <v>#VALUE!</v>
      </c>
      <c r="N2794">
        <f t="shared" si="131"/>
        <v>0</v>
      </c>
    </row>
    <row r="2795" spans="12:14" x14ac:dyDescent="0.25">
      <c r="L2795" s="20" t="e">
        <f t="shared" si="129"/>
        <v>#VALUE!</v>
      </c>
      <c r="M2795" t="e">
        <f t="shared" si="130"/>
        <v>#VALUE!</v>
      </c>
      <c r="N2795">
        <f t="shared" si="131"/>
        <v>0</v>
      </c>
    </row>
    <row r="2796" spans="12:14" x14ac:dyDescent="0.25">
      <c r="L2796" s="20" t="e">
        <f t="shared" si="129"/>
        <v>#VALUE!</v>
      </c>
      <c r="M2796" t="e">
        <f t="shared" si="130"/>
        <v>#VALUE!</v>
      </c>
      <c r="N2796">
        <f t="shared" si="131"/>
        <v>0</v>
      </c>
    </row>
    <row r="2797" spans="12:14" x14ac:dyDescent="0.25">
      <c r="L2797" s="20" t="e">
        <f t="shared" si="129"/>
        <v>#VALUE!</v>
      </c>
      <c r="M2797" t="e">
        <f t="shared" si="130"/>
        <v>#VALUE!</v>
      </c>
      <c r="N2797">
        <f t="shared" si="131"/>
        <v>0</v>
      </c>
    </row>
    <row r="2798" spans="12:14" x14ac:dyDescent="0.25">
      <c r="L2798" s="20" t="e">
        <f t="shared" si="129"/>
        <v>#VALUE!</v>
      </c>
      <c r="M2798" t="e">
        <f t="shared" si="130"/>
        <v>#VALUE!</v>
      </c>
      <c r="N2798">
        <f t="shared" si="131"/>
        <v>0</v>
      </c>
    </row>
    <row r="2799" spans="12:14" x14ac:dyDescent="0.25">
      <c r="L2799" s="20" t="e">
        <f t="shared" si="129"/>
        <v>#VALUE!</v>
      </c>
      <c r="M2799" t="e">
        <f t="shared" si="130"/>
        <v>#VALUE!</v>
      </c>
      <c r="N2799">
        <f t="shared" si="131"/>
        <v>0</v>
      </c>
    </row>
    <row r="2800" spans="12:14" x14ac:dyDescent="0.25">
      <c r="L2800" s="20" t="e">
        <f t="shared" si="129"/>
        <v>#VALUE!</v>
      </c>
      <c r="M2800" t="e">
        <f t="shared" si="130"/>
        <v>#VALUE!</v>
      </c>
      <c r="N2800">
        <f t="shared" si="131"/>
        <v>0</v>
      </c>
    </row>
    <row r="2801" spans="12:14" x14ac:dyDescent="0.25">
      <c r="L2801" s="20" t="e">
        <f t="shared" si="129"/>
        <v>#VALUE!</v>
      </c>
      <c r="M2801" t="e">
        <f t="shared" si="130"/>
        <v>#VALUE!</v>
      </c>
      <c r="N2801">
        <f t="shared" si="131"/>
        <v>0</v>
      </c>
    </row>
    <row r="2802" spans="12:14" x14ac:dyDescent="0.25">
      <c r="L2802" s="20" t="e">
        <f t="shared" si="129"/>
        <v>#VALUE!</v>
      </c>
      <c r="M2802" t="e">
        <f t="shared" si="130"/>
        <v>#VALUE!</v>
      </c>
      <c r="N2802">
        <f t="shared" si="131"/>
        <v>0</v>
      </c>
    </row>
    <row r="2803" spans="12:14" x14ac:dyDescent="0.25">
      <c r="L2803" s="20" t="e">
        <f t="shared" si="129"/>
        <v>#VALUE!</v>
      </c>
      <c r="M2803" t="e">
        <f t="shared" si="130"/>
        <v>#VALUE!</v>
      </c>
      <c r="N2803">
        <f t="shared" si="131"/>
        <v>0</v>
      </c>
    </row>
    <row r="2804" spans="12:14" x14ac:dyDescent="0.25">
      <c r="L2804" s="20" t="e">
        <f t="shared" si="129"/>
        <v>#VALUE!</v>
      </c>
      <c r="M2804" t="e">
        <f t="shared" si="130"/>
        <v>#VALUE!</v>
      </c>
      <c r="N2804">
        <f t="shared" si="131"/>
        <v>0</v>
      </c>
    </row>
    <row r="2805" spans="12:14" x14ac:dyDescent="0.25">
      <c r="L2805" s="20" t="e">
        <f t="shared" si="129"/>
        <v>#VALUE!</v>
      </c>
      <c r="M2805" t="e">
        <f t="shared" si="130"/>
        <v>#VALUE!</v>
      </c>
      <c r="N2805">
        <f t="shared" si="131"/>
        <v>0</v>
      </c>
    </row>
    <row r="2806" spans="12:14" x14ac:dyDescent="0.25">
      <c r="L2806" s="20" t="e">
        <f t="shared" si="129"/>
        <v>#VALUE!</v>
      </c>
      <c r="M2806" t="e">
        <f t="shared" si="130"/>
        <v>#VALUE!</v>
      </c>
      <c r="N2806">
        <f t="shared" si="131"/>
        <v>0</v>
      </c>
    </row>
    <row r="2807" spans="12:14" x14ac:dyDescent="0.25">
      <c r="L2807" s="20" t="e">
        <f t="shared" si="129"/>
        <v>#VALUE!</v>
      </c>
      <c r="M2807" t="e">
        <f t="shared" si="130"/>
        <v>#VALUE!</v>
      </c>
      <c r="N2807">
        <f t="shared" si="131"/>
        <v>0</v>
      </c>
    </row>
    <row r="2808" spans="12:14" x14ac:dyDescent="0.25">
      <c r="L2808" s="20" t="e">
        <f t="shared" si="129"/>
        <v>#VALUE!</v>
      </c>
      <c r="M2808" t="e">
        <f t="shared" si="130"/>
        <v>#VALUE!</v>
      </c>
      <c r="N2808">
        <f t="shared" si="131"/>
        <v>0</v>
      </c>
    </row>
    <row r="2809" spans="12:14" x14ac:dyDescent="0.25">
      <c r="L2809" s="20" t="e">
        <f t="shared" si="129"/>
        <v>#VALUE!</v>
      </c>
      <c r="M2809" t="e">
        <f t="shared" si="130"/>
        <v>#VALUE!</v>
      </c>
      <c r="N2809">
        <f t="shared" si="131"/>
        <v>0</v>
      </c>
    </row>
    <row r="2810" spans="12:14" x14ac:dyDescent="0.25">
      <c r="L2810" s="20" t="e">
        <f t="shared" si="129"/>
        <v>#VALUE!</v>
      </c>
      <c r="M2810" t="e">
        <f t="shared" si="130"/>
        <v>#VALUE!</v>
      </c>
      <c r="N2810">
        <f t="shared" si="131"/>
        <v>0</v>
      </c>
    </row>
    <row r="2811" spans="12:14" x14ac:dyDescent="0.25">
      <c r="L2811" s="20" t="e">
        <f t="shared" si="129"/>
        <v>#VALUE!</v>
      </c>
      <c r="M2811" t="e">
        <f t="shared" si="130"/>
        <v>#VALUE!</v>
      </c>
      <c r="N2811">
        <f t="shared" si="131"/>
        <v>0</v>
      </c>
    </row>
    <row r="2812" spans="12:14" x14ac:dyDescent="0.25">
      <c r="L2812" s="20" t="e">
        <f t="shared" si="129"/>
        <v>#VALUE!</v>
      </c>
      <c r="M2812" t="e">
        <f t="shared" si="130"/>
        <v>#VALUE!</v>
      </c>
      <c r="N2812">
        <f t="shared" si="131"/>
        <v>0</v>
      </c>
    </row>
    <row r="2813" spans="12:14" x14ac:dyDescent="0.25">
      <c r="L2813" s="20" t="e">
        <f t="shared" si="129"/>
        <v>#VALUE!</v>
      </c>
      <c r="M2813" t="e">
        <f t="shared" si="130"/>
        <v>#VALUE!</v>
      </c>
      <c r="N2813">
        <f t="shared" si="131"/>
        <v>0</v>
      </c>
    </row>
    <row r="2814" spans="12:14" x14ac:dyDescent="0.25">
      <c r="L2814" s="20" t="e">
        <f t="shared" si="129"/>
        <v>#VALUE!</v>
      </c>
      <c r="M2814" t="e">
        <f t="shared" si="130"/>
        <v>#VALUE!</v>
      </c>
      <c r="N2814">
        <f t="shared" si="131"/>
        <v>0</v>
      </c>
    </row>
    <row r="2815" spans="12:14" x14ac:dyDescent="0.25">
      <c r="L2815" s="20" t="e">
        <f t="shared" si="129"/>
        <v>#VALUE!</v>
      </c>
      <c r="M2815" t="e">
        <f t="shared" si="130"/>
        <v>#VALUE!</v>
      </c>
      <c r="N2815">
        <f t="shared" si="131"/>
        <v>0</v>
      </c>
    </row>
    <row r="2816" spans="12:14" x14ac:dyDescent="0.25">
      <c r="L2816" s="20" t="e">
        <f t="shared" si="129"/>
        <v>#VALUE!</v>
      </c>
      <c r="M2816" t="e">
        <f t="shared" si="130"/>
        <v>#VALUE!</v>
      </c>
      <c r="N2816">
        <f t="shared" si="131"/>
        <v>0</v>
      </c>
    </row>
    <row r="2817" spans="12:14" x14ac:dyDescent="0.25">
      <c r="L2817" s="20" t="e">
        <f t="shared" si="129"/>
        <v>#VALUE!</v>
      </c>
      <c r="M2817" t="e">
        <f t="shared" si="130"/>
        <v>#VALUE!</v>
      </c>
      <c r="N2817">
        <f t="shared" si="131"/>
        <v>0</v>
      </c>
    </row>
    <row r="2818" spans="12:14" x14ac:dyDescent="0.25">
      <c r="L2818" s="20" t="e">
        <f t="shared" si="129"/>
        <v>#VALUE!</v>
      </c>
      <c r="M2818" t="e">
        <f t="shared" si="130"/>
        <v>#VALUE!</v>
      </c>
      <c r="N2818">
        <f t="shared" si="131"/>
        <v>0</v>
      </c>
    </row>
    <row r="2819" spans="12:14" x14ac:dyDescent="0.25">
      <c r="L2819" s="20" t="e">
        <f t="shared" ref="L2819:L2882" si="132">DATEVALUE(LEFT(F2819,10))</f>
        <v>#VALUE!</v>
      </c>
      <c r="M2819" t="e">
        <f t="shared" ref="M2819:M2882" si="133">TEXT(L2819,"mm-yyyy")</f>
        <v>#VALUE!</v>
      </c>
      <c r="N2819">
        <f t="shared" ref="N2819:N2882" si="134">H2819*I2819</f>
        <v>0</v>
      </c>
    </row>
    <row r="2820" spans="12:14" x14ac:dyDescent="0.25">
      <c r="L2820" s="20" t="e">
        <f t="shared" si="132"/>
        <v>#VALUE!</v>
      </c>
      <c r="M2820" t="e">
        <f t="shared" si="133"/>
        <v>#VALUE!</v>
      </c>
      <c r="N2820">
        <f t="shared" si="134"/>
        <v>0</v>
      </c>
    </row>
    <row r="2821" spans="12:14" x14ac:dyDescent="0.25">
      <c r="L2821" s="20" t="e">
        <f t="shared" si="132"/>
        <v>#VALUE!</v>
      </c>
      <c r="M2821" t="e">
        <f t="shared" si="133"/>
        <v>#VALUE!</v>
      </c>
      <c r="N2821">
        <f t="shared" si="134"/>
        <v>0</v>
      </c>
    </row>
    <row r="2822" spans="12:14" x14ac:dyDescent="0.25">
      <c r="L2822" s="20" t="e">
        <f t="shared" si="132"/>
        <v>#VALUE!</v>
      </c>
      <c r="M2822" t="e">
        <f t="shared" si="133"/>
        <v>#VALUE!</v>
      </c>
      <c r="N2822">
        <f t="shared" si="134"/>
        <v>0</v>
      </c>
    </row>
    <row r="2823" spans="12:14" x14ac:dyDescent="0.25">
      <c r="L2823" s="20" t="e">
        <f t="shared" si="132"/>
        <v>#VALUE!</v>
      </c>
      <c r="M2823" t="e">
        <f t="shared" si="133"/>
        <v>#VALUE!</v>
      </c>
      <c r="N2823">
        <f t="shared" si="134"/>
        <v>0</v>
      </c>
    </row>
    <row r="2824" spans="12:14" x14ac:dyDescent="0.25">
      <c r="L2824" s="20" t="e">
        <f t="shared" si="132"/>
        <v>#VALUE!</v>
      </c>
      <c r="M2824" t="e">
        <f t="shared" si="133"/>
        <v>#VALUE!</v>
      </c>
      <c r="N2824">
        <f t="shared" si="134"/>
        <v>0</v>
      </c>
    </row>
    <row r="2825" spans="12:14" x14ac:dyDescent="0.25">
      <c r="L2825" s="20" t="e">
        <f t="shared" si="132"/>
        <v>#VALUE!</v>
      </c>
      <c r="M2825" t="e">
        <f t="shared" si="133"/>
        <v>#VALUE!</v>
      </c>
      <c r="N2825">
        <f t="shared" si="134"/>
        <v>0</v>
      </c>
    </row>
    <row r="2826" spans="12:14" x14ac:dyDescent="0.25">
      <c r="L2826" s="20" t="e">
        <f t="shared" si="132"/>
        <v>#VALUE!</v>
      </c>
      <c r="M2826" t="e">
        <f t="shared" si="133"/>
        <v>#VALUE!</v>
      </c>
      <c r="N2826">
        <f t="shared" si="134"/>
        <v>0</v>
      </c>
    </row>
    <row r="2827" spans="12:14" x14ac:dyDescent="0.25">
      <c r="L2827" s="20" t="e">
        <f t="shared" si="132"/>
        <v>#VALUE!</v>
      </c>
      <c r="M2827" t="e">
        <f t="shared" si="133"/>
        <v>#VALUE!</v>
      </c>
      <c r="N2827">
        <f t="shared" si="134"/>
        <v>0</v>
      </c>
    </row>
    <row r="2828" spans="12:14" x14ac:dyDescent="0.25">
      <c r="L2828" s="20" t="e">
        <f t="shared" si="132"/>
        <v>#VALUE!</v>
      </c>
      <c r="M2828" t="e">
        <f t="shared" si="133"/>
        <v>#VALUE!</v>
      </c>
      <c r="N2828">
        <f t="shared" si="134"/>
        <v>0</v>
      </c>
    </row>
    <row r="2829" spans="12:14" x14ac:dyDescent="0.25">
      <c r="L2829" s="20" t="e">
        <f t="shared" si="132"/>
        <v>#VALUE!</v>
      </c>
      <c r="M2829" t="e">
        <f t="shared" si="133"/>
        <v>#VALUE!</v>
      </c>
      <c r="N2829">
        <f t="shared" si="134"/>
        <v>0</v>
      </c>
    </row>
    <row r="2830" spans="12:14" x14ac:dyDescent="0.25">
      <c r="L2830" s="20" t="e">
        <f t="shared" si="132"/>
        <v>#VALUE!</v>
      </c>
      <c r="M2830" t="e">
        <f t="shared" si="133"/>
        <v>#VALUE!</v>
      </c>
      <c r="N2830">
        <f t="shared" si="134"/>
        <v>0</v>
      </c>
    </row>
    <row r="2831" spans="12:14" x14ac:dyDescent="0.25">
      <c r="L2831" s="20" t="e">
        <f t="shared" si="132"/>
        <v>#VALUE!</v>
      </c>
      <c r="M2831" t="e">
        <f t="shared" si="133"/>
        <v>#VALUE!</v>
      </c>
      <c r="N2831">
        <f t="shared" si="134"/>
        <v>0</v>
      </c>
    </row>
    <row r="2832" spans="12:14" x14ac:dyDescent="0.25">
      <c r="L2832" s="20" t="e">
        <f t="shared" si="132"/>
        <v>#VALUE!</v>
      </c>
      <c r="M2832" t="e">
        <f t="shared" si="133"/>
        <v>#VALUE!</v>
      </c>
      <c r="N2832">
        <f t="shared" si="134"/>
        <v>0</v>
      </c>
    </row>
    <row r="2833" spans="12:14" x14ac:dyDescent="0.25">
      <c r="L2833" s="20" t="e">
        <f t="shared" si="132"/>
        <v>#VALUE!</v>
      </c>
      <c r="M2833" t="e">
        <f t="shared" si="133"/>
        <v>#VALUE!</v>
      </c>
      <c r="N2833">
        <f t="shared" si="134"/>
        <v>0</v>
      </c>
    </row>
    <row r="2834" spans="12:14" x14ac:dyDescent="0.25">
      <c r="L2834" s="20" t="e">
        <f t="shared" si="132"/>
        <v>#VALUE!</v>
      </c>
      <c r="M2834" t="e">
        <f t="shared" si="133"/>
        <v>#VALUE!</v>
      </c>
      <c r="N2834">
        <f t="shared" si="134"/>
        <v>0</v>
      </c>
    </row>
    <row r="2835" spans="12:14" x14ac:dyDescent="0.25">
      <c r="L2835" s="20" t="e">
        <f t="shared" si="132"/>
        <v>#VALUE!</v>
      </c>
      <c r="M2835" t="e">
        <f t="shared" si="133"/>
        <v>#VALUE!</v>
      </c>
      <c r="N2835">
        <f t="shared" si="134"/>
        <v>0</v>
      </c>
    </row>
    <row r="2836" spans="12:14" x14ac:dyDescent="0.25">
      <c r="L2836" s="20" t="e">
        <f t="shared" si="132"/>
        <v>#VALUE!</v>
      </c>
      <c r="M2836" t="e">
        <f t="shared" si="133"/>
        <v>#VALUE!</v>
      </c>
      <c r="N2836">
        <f t="shared" si="134"/>
        <v>0</v>
      </c>
    </row>
    <row r="2837" spans="12:14" x14ac:dyDescent="0.25">
      <c r="L2837" s="20" t="e">
        <f t="shared" si="132"/>
        <v>#VALUE!</v>
      </c>
      <c r="M2837" t="e">
        <f t="shared" si="133"/>
        <v>#VALUE!</v>
      </c>
      <c r="N2837">
        <f t="shared" si="134"/>
        <v>0</v>
      </c>
    </row>
    <row r="2838" spans="12:14" x14ac:dyDescent="0.25">
      <c r="L2838" s="20" t="e">
        <f t="shared" si="132"/>
        <v>#VALUE!</v>
      </c>
      <c r="M2838" t="e">
        <f t="shared" si="133"/>
        <v>#VALUE!</v>
      </c>
      <c r="N2838">
        <f t="shared" si="134"/>
        <v>0</v>
      </c>
    </row>
    <row r="2839" spans="12:14" x14ac:dyDescent="0.25">
      <c r="L2839" s="20" t="e">
        <f t="shared" si="132"/>
        <v>#VALUE!</v>
      </c>
      <c r="M2839" t="e">
        <f t="shared" si="133"/>
        <v>#VALUE!</v>
      </c>
      <c r="N2839">
        <f t="shared" si="134"/>
        <v>0</v>
      </c>
    </row>
    <row r="2840" spans="12:14" x14ac:dyDescent="0.25">
      <c r="L2840" s="20" t="e">
        <f t="shared" si="132"/>
        <v>#VALUE!</v>
      </c>
      <c r="M2840" t="e">
        <f t="shared" si="133"/>
        <v>#VALUE!</v>
      </c>
      <c r="N2840">
        <f t="shared" si="134"/>
        <v>0</v>
      </c>
    </row>
    <row r="2841" spans="12:14" x14ac:dyDescent="0.25">
      <c r="L2841" s="20" t="e">
        <f t="shared" si="132"/>
        <v>#VALUE!</v>
      </c>
      <c r="M2841" t="e">
        <f t="shared" si="133"/>
        <v>#VALUE!</v>
      </c>
      <c r="N2841">
        <f t="shared" si="134"/>
        <v>0</v>
      </c>
    </row>
    <row r="2842" spans="12:14" x14ac:dyDescent="0.25">
      <c r="L2842" s="20" t="e">
        <f t="shared" si="132"/>
        <v>#VALUE!</v>
      </c>
      <c r="M2842" t="e">
        <f t="shared" si="133"/>
        <v>#VALUE!</v>
      </c>
      <c r="N2842">
        <f t="shared" si="134"/>
        <v>0</v>
      </c>
    </row>
    <row r="2843" spans="12:14" x14ac:dyDescent="0.25">
      <c r="L2843" s="20" t="e">
        <f t="shared" si="132"/>
        <v>#VALUE!</v>
      </c>
      <c r="M2843" t="e">
        <f t="shared" si="133"/>
        <v>#VALUE!</v>
      </c>
      <c r="N2843">
        <f t="shared" si="134"/>
        <v>0</v>
      </c>
    </row>
    <row r="2844" spans="12:14" x14ac:dyDescent="0.25">
      <c r="L2844" s="20" t="e">
        <f t="shared" si="132"/>
        <v>#VALUE!</v>
      </c>
      <c r="M2844" t="e">
        <f t="shared" si="133"/>
        <v>#VALUE!</v>
      </c>
      <c r="N2844">
        <f t="shared" si="134"/>
        <v>0</v>
      </c>
    </row>
    <row r="2845" spans="12:14" x14ac:dyDescent="0.25">
      <c r="L2845" s="20" t="e">
        <f t="shared" si="132"/>
        <v>#VALUE!</v>
      </c>
      <c r="M2845" t="e">
        <f t="shared" si="133"/>
        <v>#VALUE!</v>
      </c>
      <c r="N2845">
        <f t="shared" si="134"/>
        <v>0</v>
      </c>
    </row>
    <row r="2846" spans="12:14" x14ac:dyDescent="0.25">
      <c r="L2846" s="20" t="e">
        <f t="shared" si="132"/>
        <v>#VALUE!</v>
      </c>
      <c r="M2846" t="e">
        <f t="shared" si="133"/>
        <v>#VALUE!</v>
      </c>
      <c r="N2846">
        <f t="shared" si="134"/>
        <v>0</v>
      </c>
    </row>
    <row r="2847" spans="12:14" x14ac:dyDescent="0.25">
      <c r="L2847" s="20" t="e">
        <f t="shared" si="132"/>
        <v>#VALUE!</v>
      </c>
      <c r="M2847" t="e">
        <f t="shared" si="133"/>
        <v>#VALUE!</v>
      </c>
      <c r="N2847">
        <f t="shared" si="134"/>
        <v>0</v>
      </c>
    </row>
    <row r="2848" spans="12:14" x14ac:dyDescent="0.25">
      <c r="L2848" s="20" t="e">
        <f t="shared" si="132"/>
        <v>#VALUE!</v>
      </c>
      <c r="M2848" t="e">
        <f t="shared" si="133"/>
        <v>#VALUE!</v>
      </c>
      <c r="N2848">
        <f t="shared" si="134"/>
        <v>0</v>
      </c>
    </row>
    <row r="2849" spans="12:14" x14ac:dyDescent="0.25">
      <c r="L2849" s="20" t="e">
        <f t="shared" si="132"/>
        <v>#VALUE!</v>
      </c>
      <c r="M2849" t="e">
        <f t="shared" si="133"/>
        <v>#VALUE!</v>
      </c>
      <c r="N2849">
        <f t="shared" si="134"/>
        <v>0</v>
      </c>
    </row>
    <row r="2850" spans="12:14" x14ac:dyDescent="0.25">
      <c r="L2850" s="20" t="e">
        <f t="shared" si="132"/>
        <v>#VALUE!</v>
      </c>
      <c r="M2850" t="e">
        <f t="shared" si="133"/>
        <v>#VALUE!</v>
      </c>
      <c r="N2850">
        <f t="shared" si="134"/>
        <v>0</v>
      </c>
    </row>
    <row r="2851" spans="12:14" x14ac:dyDescent="0.25">
      <c r="L2851" s="20" t="e">
        <f t="shared" si="132"/>
        <v>#VALUE!</v>
      </c>
      <c r="M2851" t="e">
        <f t="shared" si="133"/>
        <v>#VALUE!</v>
      </c>
      <c r="N2851">
        <f t="shared" si="134"/>
        <v>0</v>
      </c>
    </row>
    <row r="2852" spans="12:14" x14ac:dyDescent="0.25">
      <c r="L2852" s="20" t="e">
        <f t="shared" si="132"/>
        <v>#VALUE!</v>
      </c>
      <c r="M2852" t="e">
        <f t="shared" si="133"/>
        <v>#VALUE!</v>
      </c>
      <c r="N2852">
        <f t="shared" si="134"/>
        <v>0</v>
      </c>
    </row>
    <row r="2853" spans="12:14" x14ac:dyDescent="0.25">
      <c r="L2853" s="20" t="e">
        <f t="shared" si="132"/>
        <v>#VALUE!</v>
      </c>
      <c r="M2853" t="e">
        <f t="shared" si="133"/>
        <v>#VALUE!</v>
      </c>
      <c r="N2853">
        <f t="shared" si="134"/>
        <v>0</v>
      </c>
    </row>
    <row r="2854" spans="12:14" x14ac:dyDescent="0.25">
      <c r="L2854" s="20" t="e">
        <f t="shared" si="132"/>
        <v>#VALUE!</v>
      </c>
      <c r="M2854" t="e">
        <f t="shared" si="133"/>
        <v>#VALUE!</v>
      </c>
      <c r="N2854">
        <f t="shared" si="134"/>
        <v>0</v>
      </c>
    </row>
    <row r="2855" spans="12:14" x14ac:dyDescent="0.25">
      <c r="L2855" s="20" t="e">
        <f t="shared" si="132"/>
        <v>#VALUE!</v>
      </c>
      <c r="M2855" t="e">
        <f t="shared" si="133"/>
        <v>#VALUE!</v>
      </c>
      <c r="N2855">
        <f t="shared" si="134"/>
        <v>0</v>
      </c>
    </row>
    <row r="2856" spans="12:14" x14ac:dyDescent="0.25">
      <c r="L2856" s="20" t="e">
        <f t="shared" si="132"/>
        <v>#VALUE!</v>
      </c>
      <c r="M2856" t="e">
        <f t="shared" si="133"/>
        <v>#VALUE!</v>
      </c>
      <c r="N2856">
        <f t="shared" si="134"/>
        <v>0</v>
      </c>
    </row>
    <row r="2857" spans="12:14" x14ac:dyDescent="0.25">
      <c r="L2857" s="20" t="e">
        <f t="shared" si="132"/>
        <v>#VALUE!</v>
      </c>
      <c r="M2857" t="e">
        <f t="shared" si="133"/>
        <v>#VALUE!</v>
      </c>
      <c r="N2857">
        <f t="shared" si="134"/>
        <v>0</v>
      </c>
    </row>
    <row r="2858" spans="12:14" x14ac:dyDescent="0.25">
      <c r="L2858" s="20" t="e">
        <f t="shared" si="132"/>
        <v>#VALUE!</v>
      </c>
      <c r="M2858" t="e">
        <f t="shared" si="133"/>
        <v>#VALUE!</v>
      </c>
      <c r="N2858">
        <f t="shared" si="134"/>
        <v>0</v>
      </c>
    </row>
    <row r="2859" spans="12:14" x14ac:dyDescent="0.25">
      <c r="L2859" s="20" t="e">
        <f t="shared" si="132"/>
        <v>#VALUE!</v>
      </c>
      <c r="M2859" t="e">
        <f t="shared" si="133"/>
        <v>#VALUE!</v>
      </c>
      <c r="N2859">
        <f t="shared" si="134"/>
        <v>0</v>
      </c>
    </row>
    <row r="2860" spans="12:14" x14ac:dyDescent="0.25">
      <c r="L2860" s="20" t="e">
        <f t="shared" si="132"/>
        <v>#VALUE!</v>
      </c>
      <c r="M2860" t="e">
        <f t="shared" si="133"/>
        <v>#VALUE!</v>
      </c>
      <c r="N2860">
        <f t="shared" si="134"/>
        <v>0</v>
      </c>
    </row>
    <row r="2861" spans="12:14" x14ac:dyDescent="0.25">
      <c r="L2861" s="20" t="e">
        <f t="shared" si="132"/>
        <v>#VALUE!</v>
      </c>
      <c r="M2861" t="e">
        <f t="shared" si="133"/>
        <v>#VALUE!</v>
      </c>
      <c r="N2861">
        <f t="shared" si="134"/>
        <v>0</v>
      </c>
    </row>
    <row r="2862" spans="12:14" x14ac:dyDescent="0.25">
      <c r="L2862" s="20" t="e">
        <f t="shared" si="132"/>
        <v>#VALUE!</v>
      </c>
      <c r="M2862" t="e">
        <f t="shared" si="133"/>
        <v>#VALUE!</v>
      </c>
      <c r="N2862">
        <f t="shared" si="134"/>
        <v>0</v>
      </c>
    </row>
    <row r="2863" spans="12:14" x14ac:dyDescent="0.25">
      <c r="L2863" s="20" t="e">
        <f t="shared" si="132"/>
        <v>#VALUE!</v>
      </c>
      <c r="M2863" t="e">
        <f t="shared" si="133"/>
        <v>#VALUE!</v>
      </c>
      <c r="N2863">
        <f t="shared" si="134"/>
        <v>0</v>
      </c>
    </row>
    <row r="2864" spans="12:14" x14ac:dyDescent="0.25">
      <c r="L2864" s="20" t="e">
        <f t="shared" si="132"/>
        <v>#VALUE!</v>
      </c>
      <c r="M2864" t="e">
        <f t="shared" si="133"/>
        <v>#VALUE!</v>
      </c>
      <c r="N2864">
        <f t="shared" si="134"/>
        <v>0</v>
      </c>
    </row>
    <row r="2865" spans="12:14" x14ac:dyDescent="0.25">
      <c r="L2865" s="20" t="e">
        <f t="shared" si="132"/>
        <v>#VALUE!</v>
      </c>
      <c r="M2865" t="e">
        <f t="shared" si="133"/>
        <v>#VALUE!</v>
      </c>
      <c r="N2865">
        <f t="shared" si="134"/>
        <v>0</v>
      </c>
    </row>
    <row r="2866" spans="12:14" x14ac:dyDescent="0.25">
      <c r="L2866" s="20" t="e">
        <f t="shared" si="132"/>
        <v>#VALUE!</v>
      </c>
      <c r="M2866" t="e">
        <f t="shared" si="133"/>
        <v>#VALUE!</v>
      </c>
      <c r="N2866">
        <f t="shared" si="134"/>
        <v>0</v>
      </c>
    </row>
    <row r="2867" spans="12:14" x14ac:dyDescent="0.25">
      <c r="L2867" s="20" t="e">
        <f t="shared" si="132"/>
        <v>#VALUE!</v>
      </c>
      <c r="M2867" t="e">
        <f t="shared" si="133"/>
        <v>#VALUE!</v>
      </c>
      <c r="N2867">
        <f t="shared" si="134"/>
        <v>0</v>
      </c>
    </row>
    <row r="2868" spans="12:14" x14ac:dyDescent="0.25">
      <c r="L2868" s="20" t="e">
        <f t="shared" si="132"/>
        <v>#VALUE!</v>
      </c>
      <c r="M2868" t="e">
        <f t="shared" si="133"/>
        <v>#VALUE!</v>
      </c>
      <c r="N2868">
        <f t="shared" si="134"/>
        <v>0</v>
      </c>
    </row>
    <row r="2869" spans="12:14" x14ac:dyDescent="0.25">
      <c r="L2869" s="20" t="e">
        <f t="shared" si="132"/>
        <v>#VALUE!</v>
      </c>
      <c r="M2869" t="e">
        <f t="shared" si="133"/>
        <v>#VALUE!</v>
      </c>
      <c r="N2869">
        <f t="shared" si="134"/>
        <v>0</v>
      </c>
    </row>
    <row r="2870" spans="12:14" x14ac:dyDescent="0.25">
      <c r="L2870" s="20" t="e">
        <f t="shared" si="132"/>
        <v>#VALUE!</v>
      </c>
      <c r="M2870" t="e">
        <f t="shared" si="133"/>
        <v>#VALUE!</v>
      </c>
      <c r="N2870">
        <f t="shared" si="134"/>
        <v>0</v>
      </c>
    </row>
    <row r="2871" spans="12:14" x14ac:dyDescent="0.25">
      <c r="L2871" s="20" t="e">
        <f t="shared" si="132"/>
        <v>#VALUE!</v>
      </c>
      <c r="M2871" t="e">
        <f t="shared" si="133"/>
        <v>#VALUE!</v>
      </c>
      <c r="N2871">
        <f t="shared" si="134"/>
        <v>0</v>
      </c>
    </row>
    <row r="2872" spans="12:14" x14ac:dyDescent="0.25">
      <c r="L2872" s="20" t="e">
        <f t="shared" si="132"/>
        <v>#VALUE!</v>
      </c>
      <c r="M2872" t="e">
        <f t="shared" si="133"/>
        <v>#VALUE!</v>
      </c>
      <c r="N2872">
        <f t="shared" si="134"/>
        <v>0</v>
      </c>
    </row>
    <row r="2873" spans="12:14" x14ac:dyDescent="0.25">
      <c r="L2873" s="20" t="e">
        <f t="shared" si="132"/>
        <v>#VALUE!</v>
      </c>
      <c r="M2873" t="e">
        <f t="shared" si="133"/>
        <v>#VALUE!</v>
      </c>
      <c r="N2873">
        <f t="shared" si="134"/>
        <v>0</v>
      </c>
    </row>
    <row r="2874" spans="12:14" x14ac:dyDescent="0.25">
      <c r="L2874" s="20" t="e">
        <f t="shared" si="132"/>
        <v>#VALUE!</v>
      </c>
      <c r="M2874" t="e">
        <f t="shared" si="133"/>
        <v>#VALUE!</v>
      </c>
      <c r="N2874">
        <f t="shared" si="134"/>
        <v>0</v>
      </c>
    </row>
    <row r="2875" spans="12:14" x14ac:dyDescent="0.25">
      <c r="L2875" s="20" t="e">
        <f t="shared" si="132"/>
        <v>#VALUE!</v>
      </c>
      <c r="M2875" t="e">
        <f t="shared" si="133"/>
        <v>#VALUE!</v>
      </c>
      <c r="N2875">
        <f t="shared" si="134"/>
        <v>0</v>
      </c>
    </row>
    <row r="2876" spans="12:14" x14ac:dyDescent="0.25">
      <c r="L2876" s="20" t="e">
        <f t="shared" si="132"/>
        <v>#VALUE!</v>
      </c>
      <c r="M2876" t="e">
        <f t="shared" si="133"/>
        <v>#VALUE!</v>
      </c>
      <c r="N2876">
        <f t="shared" si="134"/>
        <v>0</v>
      </c>
    </row>
    <row r="2877" spans="12:14" x14ac:dyDescent="0.25">
      <c r="L2877" s="20" t="e">
        <f t="shared" si="132"/>
        <v>#VALUE!</v>
      </c>
      <c r="M2877" t="e">
        <f t="shared" si="133"/>
        <v>#VALUE!</v>
      </c>
      <c r="N2877">
        <f t="shared" si="134"/>
        <v>0</v>
      </c>
    </row>
    <row r="2878" spans="12:14" x14ac:dyDescent="0.25">
      <c r="L2878" s="20" t="e">
        <f t="shared" si="132"/>
        <v>#VALUE!</v>
      </c>
      <c r="M2878" t="e">
        <f t="shared" si="133"/>
        <v>#VALUE!</v>
      </c>
      <c r="N2878">
        <f t="shared" si="134"/>
        <v>0</v>
      </c>
    </row>
    <row r="2879" spans="12:14" x14ac:dyDescent="0.25">
      <c r="L2879" s="20" t="e">
        <f t="shared" si="132"/>
        <v>#VALUE!</v>
      </c>
      <c r="M2879" t="e">
        <f t="shared" si="133"/>
        <v>#VALUE!</v>
      </c>
      <c r="N2879">
        <f t="shared" si="134"/>
        <v>0</v>
      </c>
    </row>
    <row r="2880" spans="12:14" x14ac:dyDescent="0.25">
      <c r="L2880" s="20" t="e">
        <f t="shared" si="132"/>
        <v>#VALUE!</v>
      </c>
      <c r="M2880" t="e">
        <f t="shared" si="133"/>
        <v>#VALUE!</v>
      </c>
      <c r="N2880">
        <f t="shared" si="134"/>
        <v>0</v>
      </c>
    </row>
    <row r="2881" spans="12:14" x14ac:dyDescent="0.25">
      <c r="L2881" s="20" t="e">
        <f t="shared" si="132"/>
        <v>#VALUE!</v>
      </c>
      <c r="M2881" t="e">
        <f t="shared" si="133"/>
        <v>#VALUE!</v>
      </c>
      <c r="N2881">
        <f t="shared" si="134"/>
        <v>0</v>
      </c>
    </row>
    <row r="2882" spans="12:14" x14ac:dyDescent="0.25">
      <c r="L2882" s="20" t="e">
        <f t="shared" si="132"/>
        <v>#VALUE!</v>
      </c>
      <c r="M2882" t="e">
        <f t="shared" si="133"/>
        <v>#VALUE!</v>
      </c>
      <c r="N2882">
        <f t="shared" si="134"/>
        <v>0</v>
      </c>
    </row>
    <row r="2883" spans="12:14" x14ac:dyDescent="0.25">
      <c r="L2883" s="20" t="e">
        <f t="shared" ref="L2883:L2906" si="135">DATEVALUE(LEFT(F2883,10))</f>
        <v>#VALUE!</v>
      </c>
      <c r="M2883" t="e">
        <f t="shared" ref="M2883:M2906" si="136">TEXT(L2883,"mm-yyyy")</f>
        <v>#VALUE!</v>
      </c>
      <c r="N2883">
        <f t="shared" ref="N2883:N2906" si="137">H2883*I2883</f>
        <v>0</v>
      </c>
    </row>
    <row r="2884" spans="12:14" x14ac:dyDescent="0.25">
      <c r="L2884" s="20" t="e">
        <f t="shared" si="135"/>
        <v>#VALUE!</v>
      </c>
      <c r="M2884" t="e">
        <f t="shared" si="136"/>
        <v>#VALUE!</v>
      </c>
      <c r="N2884">
        <f t="shared" si="137"/>
        <v>0</v>
      </c>
    </row>
    <row r="2885" spans="12:14" x14ac:dyDescent="0.25">
      <c r="L2885" s="20" t="e">
        <f t="shared" si="135"/>
        <v>#VALUE!</v>
      </c>
      <c r="M2885" t="e">
        <f t="shared" si="136"/>
        <v>#VALUE!</v>
      </c>
      <c r="N2885">
        <f t="shared" si="137"/>
        <v>0</v>
      </c>
    </row>
    <row r="2886" spans="12:14" x14ac:dyDescent="0.25">
      <c r="L2886" s="20" t="e">
        <f t="shared" si="135"/>
        <v>#VALUE!</v>
      </c>
      <c r="M2886" t="e">
        <f t="shared" si="136"/>
        <v>#VALUE!</v>
      </c>
      <c r="N2886">
        <f t="shared" si="137"/>
        <v>0</v>
      </c>
    </row>
    <row r="2887" spans="12:14" x14ac:dyDescent="0.25">
      <c r="L2887" s="20" t="e">
        <f t="shared" si="135"/>
        <v>#VALUE!</v>
      </c>
      <c r="M2887" t="e">
        <f t="shared" si="136"/>
        <v>#VALUE!</v>
      </c>
      <c r="N2887">
        <f t="shared" si="137"/>
        <v>0</v>
      </c>
    </row>
    <row r="2888" spans="12:14" x14ac:dyDescent="0.25">
      <c r="L2888" s="20" t="e">
        <f t="shared" si="135"/>
        <v>#VALUE!</v>
      </c>
      <c r="M2888" t="e">
        <f t="shared" si="136"/>
        <v>#VALUE!</v>
      </c>
      <c r="N2888">
        <f t="shared" si="137"/>
        <v>0</v>
      </c>
    </row>
    <row r="2889" spans="12:14" x14ac:dyDescent="0.25">
      <c r="L2889" s="20" t="e">
        <f t="shared" si="135"/>
        <v>#VALUE!</v>
      </c>
      <c r="M2889" t="e">
        <f t="shared" si="136"/>
        <v>#VALUE!</v>
      </c>
      <c r="N2889">
        <f t="shared" si="137"/>
        <v>0</v>
      </c>
    </row>
    <row r="2890" spans="12:14" x14ac:dyDescent="0.25">
      <c r="L2890" s="20" t="e">
        <f t="shared" si="135"/>
        <v>#VALUE!</v>
      </c>
      <c r="M2890" t="e">
        <f t="shared" si="136"/>
        <v>#VALUE!</v>
      </c>
      <c r="N2890">
        <f t="shared" si="137"/>
        <v>0</v>
      </c>
    </row>
    <row r="2891" spans="12:14" x14ac:dyDescent="0.25">
      <c r="L2891" s="20" t="e">
        <f t="shared" si="135"/>
        <v>#VALUE!</v>
      </c>
      <c r="M2891" t="e">
        <f t="shared" si="136"/>
        <v>#VALUE!</v>
      </c>
      <c r="N2891">
        <f t="shared" si="137"/>
        <v>0</v>
      </c>
    </row>
    <row r="2892" spans="12:14" x14ac:dyDescent="0.25">
      <c r="L2892" s="20" t="e">
        <f t="shared" si="135"/>
        <v>#VALUE!</v>
      </c>
      <c r="M2892" t="e">
        <f t="shared" si="136"/>
        <v>#VALUE!</v>
      </c>
      <c r="N2892">
        <f t="shared" si="137"/>
        <v>0</v>
      </c>
    </row>
    <row r="2893" spans="12:14" x14ac:dyDescent="0.25">
      <c r="L2893" s="20" t="e">
        <f t="shared" si="135"/>
        <v>#VALUE!</v>
      </c>
      <c r="M2893" t="e">
        <f t="shared" si="136"/>
        <v>#VALUE!</v>
      </c>
      <c r="N2893">
        <f t="shared" si="137"/>
        <v>0</v>
      </c>
    </row>
    <row r="2894" spans="12:14" x14ac:dyDescent="0.25">
      <c r="L2894" s="20" t="e">
        <f t="shared" si="135"/>
        <v>#VALUE!</v>
      </c>
      <c r="M2894" t="e">
        <f t="shared" si="136"/>
        <v>#VALUE!</v>
      </c>
      <c r="N2894">
        <f t="shared" si="137"/>
        <v>0</v>
      </c>
    </row>
    <row r="2895" spans="12:14" x14ac:dyDescent="0.25">
      <c r="L2895" s="20" t="e">
        <f t="shared" si="135"/>
        <v>#VALUE!</v>
      </c>
      <c r="M2895" t="e">
        <f t="shared" si="136"/>
        <v>#VALUE!</v>
      </c>
      <c r="N2895">
        <f t="shared" si="137"/>
        <v>0</v>
      </c>
    </row>
    <row r="2896" spans="12:14" x14ac:dyDescent="0.25">
      <c r="L2896" s="20" t="e">
        <f t="shared" si="135"/>
        <v>#VALUE!</v>
      </c>
      <c r="M2896" t="e">
        <f t="shared" si="136"/>
        <v>#VALUE!</v>
      </c>
      <c r="N2896">
        <f t="shared" si="137"/>
        <v>0</v>
      </c>
    </row>
    <row r="2897" spans="12:14" x14ac:dyDescent="0.25">
      <c r="L2897" s="20" t="e">
        <f t="shared" si="135"/>
        <v>#VALUE!</v>
      </c>
      <c r="M2897" t="e">
        <f t="shared" si="136"/>
        <v>#VALUE!</v>
      </c>
      <c r="N2897">
        <f t="shared" si="137"/>
        <v>0</v>
      </c>
    </row>
    <row r="2898" spans="12:14" x14ac:dyDescent="0.25">
      <c r="L2898" s="20" t="e">
        <f t="shared" si="135"/>
        <v>#VALUE!</v>
      </c>
      <c r="M2898" t="e">
        <f t="shared" si="136"/>
        <v>#VALUE!</v>
      </c>
      <c r="N2898">
        <f t="shared" si="137"/>
        <v>0</v>
      </c>
    </row>
    <row r="2899" spans="12:14" x14ac:dyDescent="0.25">
      <c r="L2899" s="20" t="e">
        <f t="shared" si="135"/>
        <v>#VALUE!</v>
      </c>
      <c r="M2899" t="e">
        <f t="shared" si="136"/>
        <v>#VALUE!</v>
      </c>
      <c r="N2899">
        <f t="shared" si="137"/>
        <v>0</v>
      </c>
    </row>
    <row r="2900" spans="12:14" x14ac:dyDescent="0.25">
      <c r="L2900" s="20" t="e">
        <f t="shared" si="135"/>
        <v>#VALUE!</v>
      </c>
      <c r="M2900" t="e">
        <f t="shared" si="136"/>
        <v>#VALUE!</v>
      </c>
      <c r="N2900">
        <f t="shared" si="137"/>
        <v>0</v>
      </c>
    </row>
    <row r="2901" spans="12:14" x14ac:dyDescent="0.25">
      <c r="L2901" s="20" t="e">
        <f t="shared" si="135"/>
        <v>#VALUE!</v>
      </c>
      <c r="M2901" t="e">
        <f t="shared" si="136"/>
        <v>#VALUE!</v>
      </c>
      <c r="N2901">
        <f t="shared" si="137"/>
        <v>0</v>
      </c>
    </row>
    <row r="2902" spans="12:14" x14ac:dyDescent="0.25">
      <c r="L2902" s="20" t="e">
        <f t="shared" si="135"/>
        <v>#VALUE!</v>
      </c>
      <c r="M2902" t="e">
        <f t="shared" si="136"/>
        <v>#VALUE!</v>
      </c>
      <c r="N2902">
        <f t="shared" si="137"/>
        <v>0</v>
      </c>
    </row>
    <row r="2903" spans="12:14" x14ac:dyDescent="0.25">
      <c r="L2903" s="20" t="e">
        <f t="shared" si="135"/>
        <v>#VALUE!</v>
      </c>
      <c r="M2903" t="e">
        <f t="shared" si="136"/>
        <v>#VALUE!</v>
      </c>
      <c r="N2903">
        <f t="shared" si="137"/>
        <v>0</v>
      </c>
    </row>
    <row r="2904" spans="12:14" x14ac:dyDescent="0.25">
      <c r="L2904" s="20" t="e">
        <f t="shared" si="135"/>
        <v>#VALUE!</v>
      </c>
      <c r="M2904" t="e">
        <f t="shared" si="136"/>
        <v>#VALUE!</v>
      </c>
      <c r="N2904">
        <f t="shared" si="137"/>
        <v>0</v>
      </c>
    </row>
    <row r="2905" spans="12:14" x14ac:dyDescent="0.25">
      <c r="L2905" s="20" t="e">
        <f t="shared" si="135"/>
        <v>#VALUE!</v>
      </c>
      <c r="M2905" t="e">
        <f t="shared" si="136"/>
        <v>#VALUE!</v>
      </c>
      <c r="N2905">
        <f t="shared" si="137"/>
        <v>0</v>
      </c>
    </row>
    <row r="2906" spans="12:14" x14ac:dyDescent="0.25">
      <c r="L2906" s="20" t="e">
        <f t="shared" si="135"/>
        <v>#VALUE!</v>
      </c>
      <c r="M2906" t="e">
        <f t="shared" si="136"/>
        <v>#VALUE!</v>
      </c>
      <c r="N2906">
        <f t="shared" si="137"/>
        <v>0</v>
      </c>
    </row>
  </sheetData>
  <autoFilter ref="C1:N2906"/>
  <conditionalFormatting sqref="C2">
    <cfRule type="cellIs" dxfId="6098" priority="1" stopIfTrue="1" operator="equal">
      <formula>"1 Modify"</formula>
    </cfRule>
    <cfRule type="cellIs" dxfId="6097" priority="2" stopIfTrue="1" operator="equal">
      <formula>"2 Add"</formula>
    </cfRule>
    <cfRule type="cellIs" dxfId="6096" priority="3" stopIfTrue="1" operator="equal">
      <formula>"3 Delete"</formula>
    </cfRule>
  </conditionalFormatting>
  <conditionalFormatting sqref="C3">
    <cfRule type="cellIs" dxfId="6095" priority="4" stopIfTrue="1" operator="equal">
      <formula>"1 Modify"</formula>
    </cfRule>
    <cfRule type="cellIs" dxfId="6094" priority="5" stopIfTrue="1" operator="equal">
      <formula>"2 Add"</formula>
    </cfRule>
    <cfRule type="cellIs" dxfId="6093" priority="6" stopIfTrue="1" operator="equal">
      <formula>"3 Delete"</formula>
    </cfRule>
  </conditionalFormatting>
  <conditionalFormatting sqref="C4">
    <cfRule type="cellIs" dxfId="6092" priority="7" stopIfTrue="1" operator="equal">
      <formula>"1 Modify"</formula>
    </cfRule>
    <cfRule type="cellIs" dxfId="6091" priority="8" stopIfTrue="1" operator="equal">
      <formula>"2 Add"</formula>
    </cfRule>
    <cfRule type="cellIs" dxfId="6090" priority="9" stopIfTrue="1" operator="equal">
      <formula>"3 Delete"</formula>
    </cfRule>
  </conditionalFormatting>
  <conditionalFormatting sqref="C5">
    <cfRule type="cellIs" dxfId="6089" priority="10" stopIfTrue="1" operator="equal">
      <formula>"1 Modify"</formula>
    </cfRule>
    <cfRule type="cellIs" dxfId="6088" priority="11" stopIfTrue="1" operator="equal">
      <formula>"2 Add"</formula>
    </cfRule>
    <cfRule type="cellIs" dxfId="6087" priority="12" stopIfTrue="1" operator="equal">
      <formula>"3 Delete"</formula>
    </cfRule>
  </conditionalFormatting>
  <conditionalFormatting sqref="C6">
    <cfRule type="cellIs" dxfId="6086" priority="13" stopIfTrue="1" operator="equal">
      <formula>"1 Modify"</formula>
    </cfRule>
    <cfRule type="cellIs" dxfId="6085" priority="14" stopIfTrue="1" operator="equal">
      <formula>"2 Add"</formula>
    </cfRule>
    <cfRule type="cellIs" dxfId="6084" priority="15" stopIfTrue="1" operator="equal">
      <formula>"3 Delete"</formula>
    </cfRule>
  </conditionalFormatting>
  <conditionalFormatting sqref="C7">
    <cfRule type="cellIs" dxfId="6083" priority="16" stopIfTrue="1" operator="equal">
      <formula>"1 Modify"</formula>
    </cfRule>
    <cfRule type="cellIs" dxfId="6082" priority="17" stopIfTrue="1" operator="equal">
      <formula>"2 Add"</formula>
    </cfRule>
    <cfRule type="cellIs" dxfId="6081" priority="18" stopIfTrue="1" operator="equal">
      <formula>"3 Delete"</formula>
    </cfRule>
  </conditionalFormatting>
  <conditionalFormatting sqref="C8">
    <cfRule type="cellIs" dxfId="6080" priority="19" stopIfTrue="1" operator="equal">
      <formula>"1 Modify"</formula>
    </cfRule>
    <cfRule type="cellIs" dxfId="6079" priority="20" stopIfTrue="1" operator="equal">
      <formula>"2 Add"</formula>
    </cfRule>
    <cfRule type="cellIs" dxfId="6078" priority="21" stopIfTrue="1" operator="equal">
      <formula>"3 Delete"</formula>
    </cfRule>
  </conditionalFormatting>
  <conditionalFormatting sqref="C9">
    <cfRule type="cellIs" dxfId="6077" priority="22" stopIfTrue="1" operator="equal">
      <formula>"1 Modify"</formula>
    </cfRule>
    <cfRule type="cellIs" dxfId="6076" priority="23" stopIfTrue="1" operator="equal">
      <formula>"2 Add"</formula>
    </cfRule>
    <cfRule type="cellIs" dxfId="6075" priority="24" stopIfTrue="1" operator="equal">
      <formula>"3 Delete"</formula>
    </cfRule>
  </conditionalFormatting>
  <conditionalFormatting sqref="C10">
    <cfRule type="cellIs" dxfId="6074" priority="25" stopIfTrue="1" operator="equal">
      <formula>"1 Modify"</formula>
    </cfRule>
    <cfRule type="cellIs" dxfId="6073" priority="26" stopIfTrue="1" operator="equal">
      <formula>"2 Add"</formula>
    </cfRule>
    <cfRule type="cellIs" dxfId="6072" priority="27" stopIfTrue="1" operator="equal">
      <formula>"3 Delete"</formula>
    </cfRule>
  </conditionalFormatting>
  <conditionalFormatting sqref="C11">
    <cfRule type="cellIs" dxfId="6071" priority="28" stopIfTrue="1" operator="equal">
      <formula>"1 Modify"</formula>
    </cfRule>
    <cfRule type="cellIs" dxfId="6070" priority="29" stopIfTrue="1" operator="equal">
      <formula>"2 Add"</formula>
    </cfRule>
    <cfRule type="cellIs" dxfId="6069" priority="30" stopIfTrue="1" operator="equal">
      <formula>"3 Delete"</formula>
    </cfRule>
  </conditionalFormatting>
  <conditionalFormatting sqref="C12">
    <cfRule type="cellIs" dxfId="6068" priority="31" stopIfTrue="1" operator="equal">
      <formula>"1 Modify"</formula>
    </cfRule>
    <cfRule type="cellIs" dxfId="6067" priority="32" stopIfTrue="1" operator="equal">
      <formula>"2 Add"</formula>
    </cfRule>
    <cfRule type="cellIs" dxfId="6066" priority="33" stopIfTrue="1" operator="equal">
      <formula>"3 Delete"</formula>
    </cfRule>
  </conditionalFormatting>
  <conditionalFormatting sqref="C13">
    <cfRule type="cellIs" dxfId="6065" priority="34" stopIfTrue="1" operator="equal">
      <formula>"1 Modify"</formula>
    </cfRule>
    <cfRule type="cellIs" dxfId="6064" priority="35" stopIfTrue="1" operator="equal">
      <formula>"2 Add"</formula>
    </cfRule>
    <cfRule type="cellIs" dxfId="6063" priority="36" stopIfTrue="1" operator="equal">
      <formula>"3 Delete"</formula>
    </cfRule>
  </conditionalFormatting>
  <conditionalFormatting sqref="C14">
    <cfRule type="cellIs" dxfId="6062" priority="37" stopIfTrue="1" operator="equal">
      <formula>"1 Modify"</formula>
    </cfRule>
    <cfRule type="cellIs" dxfId="6061" priority="38" stopIfTrue="1" operator="equal">
      <formula>"2 Add"</formula>
    </cfRule>
    <cfRule type="cellIs" dxfId="6060" priority="39" stopIfTrue="1" operator="equal">
      <formula>"3 Delete"</formula>
    </cfRule>
  </conditionalFormatting>
  <conditionalFormatting sqref="C15">
    <cfRule type="cellIs" dxfId="6059" priority="40" stopIfTrue="1" operator="equal">
      <formula>"1 Modify"</formula>
    </cfRule>
    <cfRule type="cellIs" dxfId="6058" priority="41" stopIfTrue="1" operator="equal">
      <formula>"2 Add"</formula>
    </cfRule>
    <cfRule type="cellIs" dxfId="6057" priority="42" stopIfTrue="1" operator="equal">
      <formula>"3 Delete"</formula>
    </cfRule>
  </conditionalFormatting>
  <conditionalFormatting sqref="C16">
    <cfRule type="cellIs" dxfId="6056" priority="43" stopIfTrue="1" operator="equal">
      <formula>"1 Modify"</formula>
    </cfRule>
    <cfRule type="cellIs" dxfId="6055" priority="44" stopIfTrue="1" operator="equal">
      <formula>"2 Add"</formula>
    </cfRule>
    <cfRule type="cellIs" dxfId="6054" priority="45" stopIfTrue="1" operator="equal">
      <formula>"3 Delete"</formula>
    </cfRule>
  </conditionalFormatting>
  <conditionalFormatting sqref="C17">
    <cfRule type="cellIs" dxfId="6053" priority="46" stopIfTrue="1" operator="equal">
      <formula>"1 Modify"</formula>
    </cfRule>
    <cfRule type="cellIs" dxfId="6052" priority="47" stopIfTrue="1" operator="equal">
      <formula>"2 Add"</formula>
    </cfRule>
    <cfRule type="cellIs" dxfId="6051" priority="48" stopIfTrue="1" operator="equal">
      <formula>"3 Delete"</formula>
    </cfRule>
  </conditionalFormatting>
  <conditionalFormatting sqref="C18">
    <cfRule type="cellIs" dxfId="6050" priority="49" stopIfTrue="1" operator="equal">
      <formula>"1 Modify"</formula>
    </cfRule>
    <cfRule type="cellIs" dxfId="6049" priority="50" stopIfTrue="1" operator="equal">
      <formula>"2 Add"</formula>
    </cfRule>
    <cfRule type="cellIs" dxfId="6048" priority="51" stopIfTrue="1" operator="equal">
      <formula>"3 Delete"</formula>
    </cfRule>
  </conditionalFormatting>
  <conditionalFormatting sqref="C19">
    <cfRule type="cellIs" dxfId="6047" priority="52" stopIfTrue="1" operator="equal">
      <formula>"1 Modify"</formula>
    </cfRule>
    <cfRule type="cellIs" dxfId="6046" priority="53" stopIfTrue="1" operator="equal">
      <formula>"2 Add"</formula>
    </cfRule>
    <cfRule type="cellIs" dxfId="6045" priority="54" stopIfTrue="1" operator="equal">
      <formula>"3 Delete"</formula>
    </cfRule>
  </conditionalFormatting>
  <conditionalFormatting sqref="C20">
    <cfRule type="cellIs" dxfId="6044" priority="55" stopIfTrue="1" operator="equal">
      <formula>"1 Modify"</formula>
    </cfRule>
    <cfRule type="cellIs" dxfId="6043" priority="56" stopIfTrue="1" operator="equal">
      <formula>"2 Add"</formula>
    </cfRule>
    <cfRule type="cellIs" dxfId="6042" priority="57" stopIfTrue="1" operator="equal">
      <formula>"3 Delete"</formula>
    </cfRule>
  </conditionalFormatting>
  <conditionalFormatting sqref="C21">
    <cfRule type="cellIs" dxfId="6041" priority="58" stopIfTrue="1" operator="equal">
      <formula>"1 Modify"</formula>
    </cfRule>
    <cfRule type="cellIs" dxfId="6040" priority="59" stopIfTrue="1" operator="equal">
      <formula>"2 Add"</formula>
    </cfRule>
    <cfRule type="cellIs" dxfId="6039" priority="60" stopIfTrue="1" operator="equal">
      <formula>"3 Delete"</formula>
    </cfRule>
  </conditionalFormatting>
  <conditionalFormatting sqref="C22">
    <cfRule type="cellIs" dxfId="6038" priority="61" stopIfTrue="1" operator="equal">
      <formula>"1 Modify"</formula>
    </cfRule>
  </conditionalFormatting>
  <conditionalFormatting sqref="C22">
    <cfRule type="cellIs" dxfId="6037" priority="62" stopIfTrue="1" operator="equal">
      <formula>"2 Add"</formula>
    </cfRule>
  </conditionalFormatting>
  <conditionalFormatting sqref="C22">
    <cfRule type="cellIs" dxfId="6036" priority="63" stopIfTrue="1" operator="equal">
      <formula>"3 Delete"</formula>
    </cfRule>
  </conditionalFormatting>
  <conditionalFormatting sqref="C23">
    <cfRule type="cellIs" dxfId="6035" priority="64" stopIfTrue="1" operator="equal">
      <formula>"1 Modify"</formula>
    </cfRule>
  </conditionalFormatting>
  <conditionalFormatting sqref="C23">
    <cfRule type="cellIs" dxfId="6034" priority="65" stopIfTrue="1" operator="equal">
      <formula>"2 Add"</formula>
    </cfRule>
  </conditionalFormatting>
  <conditionalFormatting sqref="C23">
    <cfRule type="cellIs" dxfId="6033" priority="66" stopIfTrue="1" operator="equal">
      <formula>"3 Delete"</formula>
    </cfRule>
  </conditionalFormatting>
  <conditionalFormatting sqref="C24">
    <cfRule type="cellIs" dxfId="6032" priority="67" stopIfTrue="1" operator="equal">
      <formula>"1 Modify"</formula>
    </cfRule>
  </conditionalFormatting>
  <conditionalFormatting sqref="C24">
    <cfRule type="cellIs" dxfId="6031" priority="68" stopIfTrue="1" operator="equal">
      <formula>"2 Add"</formula>
    </cfRule>
  </conditionalFormatting>
  <conditionalFormatting sqref="C24">
    <cfRule type="cellIs" dxfId="6030" priority="69" stopIfTrue="1" operator="equal">
      <formula>"3 Delete"</formula>
    </cfRule>
  </conditionalFormatting>
  <conditionalFormatting sqref="C25">
    <cfRule type="cellIs" dxfId="6029" priority="70" stopIfTrue="1" operator="equal">
      <formula>"1 Modify"</formula>
    </cfRule>
  </conditionalFormatting>
  <conditionalFormatting sqref="C25">
    <cfRule type="cellIs" dxfId="6028" priority="71" stopIfTrue="1" operator="equal">
      <formula>"2 Add"</formula>
    </cfRule>
  </conditionalFormatting>
  <conditionalFormatting sqref="C25">
    <cfRule type="cellIs" dxfId="6027" priority="72" stopIfTrue="1" operator="equal">
      <formula>"3 Delete"</formula>
    </cfRule>
  </conditionalFormatting>
  <conditionalFormatting sqref="C26">
    <cfRule type="cellIs" dxfId="6026" priority="73" stopIfTrue="1" operator="equal">
      <formula>"1 Modify"</formula>
    </cfRule>
  </conditionalFormatting>
  <conditionalFormatting sqref="C26">
    <cfRule type="cellIs" dxfId="6025" priority="74" stopIfTrue="1" operator="equal">
      <formula>"2 Add"</formula>
    </cfRule>
  </conditionalFormatting>
  <conditionalFormatting sqref="C26">
    <cfRule type="cellIs" dxfId="6024" priority="75" stopIfTrue="1" operator="equal">
      <formula>"3 Delete"</formula>
    </cfRule>
  </conditionalFormatting>
  <conditionalFormatting sqref="C27">
    <cfRule type="cellIs" dxfId="6023" priority="76" stopIfTrue="1" operator="equal">
      <formula>"1 Modify"</formula>
    </cfRule>
  </conditionalFormatting>
  <conditionalFormatting sqref="C27">
    <cfRule type="cellIs" dxfId="6022" priority="77" stopIfTrue="1" operator="equal">
      <formula>"2 Add"</formula>
    </cfRule>
  </conditionalFormatting>
  <conditionalFormatting sqref="C27">
    <cfRule type="cellIs" dxfId="6021" priority="78" stopIfTrue="1" operator="equal">
      <formula>"3 Delete"</formula>
    </cfRule>
  </conditionalFormatting>
  <conditionalFormatting sqref="C28">
    <cfRule type="cellIs" dxfId="6020" priority="79" stopIfTrue="1" operator="equal">
      <formula>"1 Modify"</formula>
    </cfRule>
  </conditionalFormatting>
  <conditionalFormatting sqref="C28">
    <cfRule type="cellIs" dxfId="6019" priority="80" stopIfTrue="1" operator="equal">
      <formula>"2 Add"</formula>
    </cfRule>
  </conditionalFormatting>
  <conditionalFormatting sqref="C28">
    <cfRule type="cellIs" dxfId="6018" priority="81" stopIfTrue="1" operator="equal">
      <formula>"3 Delete"</formula>
    </cfRule>
  </conditionalFormatting>
  <conditionalFormatting sqref="C29">
    <cfRule type="cellIs" dxfId="6017" priority="82" stopIfTrue="1" operator="equal">
      <formula>"1 Modify"</formula>
    </cfRule>
  </conditionalFormatting>
  <conditionalFormatting sqref="C29">
    <cfRule type="cellIs" dxfId="6016" priority="83" stopIfTrue="1" operator="equal">
      <formula>"2 Add"</formula>
    </cfRule>
  </conditionalFormatting>
  <conditionalFormatting sqref="C29">
    <cfRule type="cellIs" dxfId="6015" priority="84" stopIfTrue="1" operator="equal">
      <formula>"3 Delete"</formula>
    </cfRule>
  </conditionalFormatting>
  <conditionalFormatting sqref="C30">
    <cfRule type="cellIs" dxfId="6014" priority="85" stopIfTrue="1" operator="equal">
      <formula>"1 Modify"</formula>
    </cfRule>
  </conditionalFormatting>
  <conditionalFormatting sqref="C30">
    <cfRule type="cellIs" dxfId="6013" priority="86" stopIfTrue="1" operator="equal">
      <formula>"2 Add"</formula>
    </cfRule>
  </conditionalFormatting>
  <conditionalFormatting sqref="C30">
    <cfRule type="cellIs" dxfId="6012" priority="87" stopIfTrue="1" operator="equal">
      <formula>"3 Delete"</formula>
    </cfRule>
  </conditionalFormatting>
  <conditionalFormatting sqref="C31">
    <cfRule type="cellIs" dxfId="6011" priority="88" stopIfTrue="1" operator="equal">
      <formula>"1 Modify"</formula>
    </cfRule>
  </conditionalFormatting>
  <conditionalFormatting sqref="C31">
    <cfRule type="cellIs" dxfId="6010" priority="89" stopIfTrue="1" operator="equal">
      <formula>"2 Add"</formula>
    </cfRule>
  </conditionalFormatting>
  <conditionalFormatting sqref="C31">
    <cfRule type="cellIs" dxfId="6009" priority="90" stopIfTrue="1" operator="equal">
      <formula>"3 Delete"</formula>
    </cfRule>
  </conditionalFormatting>
  <conditionalFormatting sqref="C32">
    <cfRule type="cellIs" dxfId="6008" priority="91" stopIfTrue="1" operator="equal">
      <formula>"1 Modify"</formula>
    </cfRule>
  </conditionalFormatting>
  <conditionalFormatting sqref="C32">
    <cfRule type="cellIs" dxfId="6007" priority="92" stopIfTrue="1" operator="equal">
      <formula>"2 Add"</formula>
    </cfRule>
  </conditionalFormatting>
  <conditionalFormatting sqref="C32">
    <cfRule type="cellIs" dxfId="6006" priority="93" stopIfTrue="1" operator="equal">
      <formula>"3 Delete"</formula>
    </cfRule>
  </conditionalFormatting>
  <conditionalFormatting sqref="C33">
    <cfRule type="cellIs" dxfId="6005" priority="94" stopIfTrue="1" operator="equal">
      <formula>"1 Modify"</formula>
    </cfRule>
  </conditionalFormatting>
  <conditionalFormatting sqref="C33">
    <cfRule type="cellIs" dxfId="6004" priority="95" stopIfTrue="1" operator="equal">
      <formula>"2 Add"</formula>
    </cfRule>
  </conditionalFormatting>
  <conditionalFormatting sqref="C33">
    <cfRule type="cellIs" dxfId="6003" priority="96" stopIfTrue="1" operator="equal">
      <formula>"3 Delete"</formula>
    </cfRule>
  </conditionalFormatting>
  <conditionalFormatting sqref="C34">
    <cfRule type="cellIs" dxfId="6002" priority="97" stopIfTrue="1" operator="equal">
      <formula>"1 Modify"</formula>
    </cfRule>
  </conditionalFormatting>
  <conditionalFormatting sqref="C34">
    <cfRule type="cellIs" dxfId="6001" priority="98" stopIfTrue="1" operator="equal">
      <formula>"2 Add"</formula>
    </cfRule>
  </conditionalFormatting>
  <conditionalFormatting sqref="C34">
    <cfRule type="cellIs" dxfId="6000" priority="99" stopIfTrue="1" operator="equal">
      <formula>"3 Delete"</formula>
    </cfRule>
  </conditionalFormatting>
  <conditionalFormatting sqref="C35">
    <cfRule type="cellIs" dxfId="5999" priority="100" stopIfTrue="1" operator="equal">
      <formula>"1 Modify"</formula>
    </cfRule>
  </conditionalFormatting>
  <conditionalFormatting sqref="C35">
    <cfRule type="cellIs" dxfId="5998" priority="101" stopIfTrue="1" operator="equal">
      <formula>"2 Add"</formula>
    </cfRule>
  </conditionalFormatting>
  <conditionalFormatting sqref="C35">
    <cfRule type="cellIs" dxfId="5997" priority="102" stopIfTrue="1" operator="equal">
      <formula>"3 Delete"</formula>
    </cfRule>
  </conditionalFormatting>
  <conditionalFormatting sqref="C36">
    <cfRule type="cellIs" dxfId="5996" priority="103" stopIfTrue="1" operator="equal">
      <formula>"1 Modify"</formula>
    </cfRule>
  </conditionalFormatting>
  <conditionalFormatting sqref="C36">
    <cfRule type="cellIs" dxfId="5995" priority="104" stopIfTrue="1" operator="equal">
      <formula>"2 Add"</formula>
    </cfRule>
  </conditionalFormatting>
  <conditionalFormatting sqref="C36">
    <cfRule type="cellIs" dxfId="5994" priority="105" stopIfTrue="1" operator="equal">
      <formula>"3 Delete"</formula>
    </cfRule>
  </conditionalFormatting>
  <conditionalFormatting sqref="C37">
    <cfRule type="cellIs" dxfId="5993" priority="106" stopIfTrue="1" operator="equal">
      <formula>"1 Modify"</formula>
    </cfRule>
  </conditionalFormatting>
  <conditionalFormatting sqref="C37">
    <cfRule type="cellIs" dxfId="5992" priority="107" stopIfTrue="1" operator="equal">
      <formula>"2 Add"</formula>
    </cfRule>
  </conditionalFormatting>
  <conditionalFormatting sqref="C37">
    <cfRule type="cellIs" dxfId="5991" priority="108" stopIfTrue="1" operator="equal">
      <formula>"3 Delete"</formula>
    </cfRule>
  </conditionalFormatting>
  <conditionalFormatting sqref="C38">
    <cfRule type="cellIs" dxfId="5990" priority="109" stopIfTrue="1" operator="equal">
      <formula>"1 Modify"</formula>
    </cfRule>
  </conditionalFormatting>
  <conditionalFormatting sqref="C38">
    <cfRule type="cellIs" dxfId="5989" priority="110" stopIfTrue="1" operator="equal">
      <formula>"2 Add"</formula>
    </cfRule>
  </conditionalFormatting>
  <conditionalFormatting sqref="C38">
    <cfRule type="cellIs" dxfId="5988" priority="111" stopIfTrue="1" operator="equal">
      <formula>"3 Delete"</formula>
    </cfRule>
  </conditionalFormatting>
  <conditionalFormatting sqref="C39">
    <cfRule type="cellIs" dxfId="5987" priority="112" stopIfTrue="1" operator="equal">
      <formula>"1 Modify"</formula>
    </cfRule>
  </conditionalFormatting>
  <conditionalFormatting sqref="C39">
    <cfRule type="cellIs" dxfId="5986" priority="113" stopIfTrue="1" operator="equal">
      <formula>"2 Add"</formula>
    </cfRule>
  </conditionalFormatting>
  <conditionalFormatting sqref="C39">
    <cfRule type="cellIs" dxfId="5985" priority="114" stopIfTrue="1" operator="equal">
      <formula>"3 Delete"</formula>
    </cfRule>
  </conditionalFormatting>
  <conditionalFormatting sqref="C40">
    <cfRule type="cellIs" dxfId="5984" priority="115" stopIfTrue="1" operator="equal">
      <formula>"1 Modify"</formula>
    </cfRule>
  </conditionalFormatting>
  <conditionalFormatting sqref="C40">
    <cfRule type="cellIs" dxfId="5983" priority="116" stopIfTrue="1" operator="equal">
      <formula>"2 Add"</formula>
    </cfRule>
  </conditionalFormatting>
  <conditionalFormatting sqref="C40">
    <cfRule type="cellIs" dxfId="5982" priority="117" stopIfTrue="1" operator="equal">
      <formula>"3 Delete"</formula>
    </cfRule>
  </conditionalFormatting>
  <conditionalFormatting sqref="C41">
    <cfRule type="cellIs" dxfId="5981" priority="118" stopIfTrue="1" operator="equal">
      <formula>"1 Modify"</formula>
    </cfRule>
  </conditionalFormatting>
  <conditionalFormatting sqref="C41">
    <cfRule type="cellIs" dxfId="5980" priority="119" stopIfTrue="1" operator="equal">
      <formula>"2 Add"</formula>
    </cfRule>
  </conditionalFormatting>
  <conditionalFormatting sqref="C41">
    <cfRule type="cellIs" dxfId="5979" priority="120" stopIfTrue="1" operator="equal">
      <formula>"3 Delete"</formula>
    </cfRule>
  </conditionalFormatting>
  <conditionalFormatting sqref="C42">
    <cfRule type="cellIs" dxfId="5978" priority="121" stopIfTrue="1" operator="equal">
      <formula>"1 Modify"</formula>
    </cfRule>
  </conditionalFormatting>
  <conditionalFormatting sqref="C42">
    <cfRule type="cellIs" dxfId="5977" priority="122" stopIfTrue="1" operator="equal">
      <formula>"2 Add"</formula>
    </cfRule>
  </conditionalFormatting>
  <conditionalFormatting sqref="C42">
    <cfRule type="cellIs" dxfId="5976" priority="123" stopIfTrue="1" operator="equal">
      <formula>"3 Delete"</formula>
    </cfRule>
  </conditionalFormatting>
  <conditionalFormatting sqref="C43">
    <cfRule type="cellIs" dxfId="5975" priority="124" stopIfTrue="1" operator="equal">
      <formula>"1 Modify"</formula>
    </cfRule>
  </conditionalFormatting>
  <conditionalFormatting sqref="C43">
    <cfRule type="cellIs" dxfId="5974" priority="125" stopIfTrue="1" operator="equal">
      <formula>"2 Add"</formula>
    </cfRule>
  </conditionalFormatting>
  <conditionalFormatting sqref="C43">
    <cfRule type="cellIs" dxfId="5973" priority="126" stopIfTrue="1" operator="equal">
      <formula>"3 Delete"</formula>
    </cfRule>
  </conditionalFormatting>
  <conditionalFormatting sqref="C44">
    <cfRule type="cellIs" dxfId="5972" priority="127" stopIfTrue="1" operator="equal">
      <formula>"1 Modify"</formula>
    </cfRule>
  </conditionalFormatting>
  <conditionalFormatting sqref="C44">
    <cfRule type="cellIs" dxfId="5971" priority="128" stopIfTrue="1" operator="equal">
      <formula>"2 Add"</formula>
    </cfRule>
  </conditionalFormatting>
  <conditionalFormatting sqref="C44">
    <cfRule type="cellIs" dxfId="5970" priority="129" stopIfTrue="1" operator="equal">
      <formula>"3 Delete"</formula>
    </cfRule>
  </conditionalFormatting>
  <conditionalFormatting sqref="C45">
    <cfRule type="cellIs" dxfId="5969" priority="130" stopIfTrue="1" operator="equal">
      <formula>"1 Modify"</formula>
    </cfRule>
  </conditionalFormatting>
  <conditionalFormatting sqref="C45">
    <cfRule type="cellIs" dxfId="5968" priority="131" stopIfTrue="1" operator="equal">
      <formula>"2 Add"</formula>
    </cfRule>
  </conditionalFormatting>
  <conditionalFormatting sqref="C45">
    <cfRule type="cellIs" dxfId="5967" priority="132" stopIfTrue="1" operator="equal">
      <formula>"3 Delete"</formula>
    </cfRule>
  </conditionalFormatting>
  <conditionalFormatting sqref="C46">
    <cfRule type="cellIs" dxfId="5966" priority="133" stopIfTrue="1" operator="equal">
      <formula>"1 Modify"</formula>
    </cfRule>
  </conditionalFormatting>
  <conditionalFormatting sqref="C46">
    <cfRule type="cellIs" dxfId="5965" priority="134" stopIfTrue="1" operator="equal">
      <formula>"2 Add"</formula>
    </cfRule>
  </conditionalFormatting>
  <conditionalFormatting sqref="C46">
    <cfRule type="cellIs" dxfId="5964" priority="135" stopIfTrue="1" operator="equal">
      <formula>"3 Delete"</formula>
    </cfRule>
  </conditionalFormatting>
  <conditionalFormatting sqref="C47">
    <cfRule type="cellIs" dxfId="5963" priority="136" stopIfTrue="1" operator="equal">
      <formula>"1 Modify"</formula>
    </cfRule>
  </conditionalFormatting>
  <conditionalFormatting sqref="C47">
    <cfRule type="cellIs" dxfId="5962" priority="137" stopIfTrue="1" operator="equal">
      <formula>"2 Add"</formula>
    </cfRule>
  </conditionalFormatting>
  <conditionalFormatting sqref="C47">
    <cfRule type="cellIs" dxfId="5961" priority="138" stopIfTrue="1" operator="equal">
      <formula>"3 Delete"</formula>
    </cfRule>
  </conditionalFormatting>
  <conditionalFormatting sqref="C48">
    <cfRule type="cellIs" dxfId="5960" priority="139" stopIfTrue="1" operator="equal">
      <formula>"1 Modify"</formula>
    </cfRule>
  </conditionalFormatting>
  <conditionalFormatting sqref="C48">
    <cfRule type="cellIs" dxfId="5959" priority="140" stopIfTrue="1" operator="equal">
      <formula>"2 Add"</formula>
    </cfRule>
  </conditionalFormatting>
  <conditionalFormatting sqref="C48">
    <cfRule type="cellIs" dxfId="5958" priority="141" stopIfTrue="1" operator="equal">
      <formula>"3 Delete"</formula>
    </cfRule>
  </conditionalFormatting>
  <conditionalFormatting sqref="C49">
    <cfRule type="cellIs" dxfId="5957" priority="142" stopIfTrue="1" operator="equal">
      <formula>"1 Modify"</formula>
    </cfRule>
  </conditionalFormatting>
  <conditionalFormatting sqref="C49">
    <cfRule type="cellIs" dxfId="5956" priority="143" stopIfTrue="1" operator="equal">
      <formula>"2 Add"</formula>
    </cfRule>
  </conditionalFormatting>
  <conditionalFormatting sqref="C49">
    <cfRule type="cellIs" dxfId="5955" priority="144" stopIfTrue="1" operator="equal">
      <formula>"3 Delete"</formula>
    </cfRule>
  </conditionalFormatting>
  <conditionalFormatting sqref="C50">
    <cfRule type="cellIs" dxfId="5954" priority="145" stopIfTrue="1" operator="equal">
      <formula>"1 Modify"</formula>
    </cfRule>
  </conditionalFormatting>
  <conditionalFormatting sqref="C50">
    <cfRule type="cellIs" dxfId="5953" priority="146" stopIfTrue="1" operator="equal">
      <formula>"2 Add"</formula>
    </cfRule>
  </conditionalFormatting>
  <conditionalFormatting sqref="C50">
    <cfRule type="cellIs" dxfId="5952" priority="147" stopIfTrue="1" operator="equal">
      <formula>"3 Delete"</formula>
    </cfRule>
  </conditionalFormatting>
  <conditionalFormatting sqref="C51">
    <cfRule type="cellIs" dxfId="5951" priority="148" stopIfTrue="1" operator="equal">
      <formula>"1 Modify"</formula>
    </cfRule>
  </conditionalFormatting>
  <conditionalFormatting sqref="C51">
    <cfRule type="cellIs" dxfId="5950" priority="149" stopIfTrue="1" operator="equal">
      <formula>"2 Add"</formula>
    </cfRule>
  </conditionalFormatting>
  <conditionalFormatting sqref="C51">
    <cfRule type="cellIs" dxfId="5949" priority="150" stopIfTrue="1" operator="equal">
      <formula>"3 Delete"</formula>
    </cfRule>
  </conditionalFormatting>
  <conditionalFormatting sqref="C52">
    <cfRule type="cellIs" dxfId="5948" priority="151" stopIfTrue="1" operator="equal">
      <formula>"1 Modify"</formula>
    </cfRule>
  </conditionalFormatting>
  <conditionalFormatting sqref="C52">
    <cfRule type="cellIs" dxfId="5947" priority="152" stopIfTrue="1" operator="equal">
      <formula>"2 Add"</formula>
    </cfRule>
  </conditionalFormatting>
  <conditionalFormatting sqref="C52">
    <cfRule type="cellIs" dxfId="5946" priority="153" stopIfTrue="1" operator="equal">
      <formula>"3 Delete"</formula>
    </cfRule>
  </conditionalFormatting>
  <conditionalFormatting sqref="C53">
    <cfRule type="cellIs" dxfId="5945" priority="154" stopIfTrue="1" operator="equal">
      <formula>"1 Modify"</formula>
    </cfRule>
  </conditionalFormatting>
  <conditionalFormatting sqref="C53">
    <cfRule type="cellIs" dxfId="5944" priority="155" stopIfTrue="1" operator="equal">
      <formula>"2 Add"</formula>
    </cfRule>
  </conditionalFormatting>
  <conditionalFormatting sqref="C53">
    <cfRule type="cellIs" dxfId="5943" priority="156" stopIfTrue="1" operator="equal">
      <formula>"3 Delete"</formula>
    </cfRule>
  </conditionalFormatting>
  <conditionalFormatting sqref="C54">
    <cfRule type="cellIs" dxfId="5942" priority="157" stopIfTrue="1" operator="equal">
      <formula>"1 Modify"</formula>
    </cfRule>
  </conditionalFormatting>
  <conditionalFormatting sqref="C54">
    <cfRule type="cellIs" dxfId="5941" priority="158" stopIfTrue="1" operator="equal">
      <formula>"2 Add"</formula>
    </cfRule>
  </conditionalFormatting>
  <conditionalFormatting sqref="C54">
    <cfRule type="cellIs" dxfId="5940" priority="159" stopIfTrue="1" operator="equal">
      <formula>"3 Delete"</formula>
    </cfRule>
  </conditionalFormatting>
  <conditionalFormatting sqref="C55">
    <cfRule type="cellIs" dxfId="5939" priority="160" stopIfTrue="1" operator="equal">
      <formula>"1 Modify"</formula>
    </cfRule>
  </conditionalFormatting>
  <conditionalFormatting sqref="C55">
    <cfRule type="cellIs" dxfId="5938" priority="161" stopIfTrue="1" operator="equal">
      <formula>"2 Add"</formula>
    </cfRule>
  </conditionalFormatting>
  <conditionalFormatting sqref="C55">
    <cfRule type="cellIs" dxfId="5937" priority="162" stopIfTrue="1" operator="equal">
      <formula>"3 Delete"</formula>
    </cfRule>
  </conditionalFormatting>
  <conditionalFormatting sqref="C56">
    <cfRule type="cellIs" dxfId="5936" priority="163" stopIfTrue="1" operator="equal">
      <formula>"1 Modify"</formula>
    </cfRule>
  </conditionalFormatting>
  <conditionalFormatting sqref="C56">
    <cfRule type="cellIs" dxfId="5935" priority="164" stopIfTrue="1" operator="equal">
      <formula>"2 Add"</formula>
    </cfRule>
  </conditionalFormatting>
  <conditionalFormatting sqref="C56">
    <cfRule type="cellIs" dxfId="5934" priority="165" stopIfTrue="1" operator="equal">
      <formula>"3 Delete"</formula>
    </cfRule>
  </conditionalFormatting>
  <conditionalFormatting sqref="C57">
    <cfRule type="cellIs" dxfId="5933" priority="166" stopIfTrue="1" operator="equal">
      <formula>"1 Modify"</formula>
    </cfRule>
  </conditionalFormatting>
  <conditionalFormatting sqref="C57">
    <cfRule type="cellIs" dxfId="5932" priority="167" stopIfTrue="1" operator="equal">
      <formula>"2 Add"</formula>
    </cfRule>
  </conditionalFormatting>
  <conditionalFormatting sqref="C57">
    <cfRule type="cellIs" dxfId="5931" priority="168" stopIfTrue="1" operator="equal">
      <formula>"3 Delete"</formula>
    </cfRule>
  </conditionalFormatting>
  <conditionalFormatting sqref="C58">
    <cfRule type="cellIs" dxfId="5930" priority="169" stopIfTrue="1" operator="equal">
      <formula>"1 Modify"</formula>
    </cfRule>
  </conditionalFormatting>
  <conditionalFormatting sqref="C58">
    <cfRule type="cellIs" dxfId="5929" priority="170" stopIfTrue="1" operator="equal">
      <formula>"2 Add"</formula>
    </cfRule>
  </conditionalFormatting>
  <conditionalFormatting sqref="C58">
    <cfRule type="cellIs" dxfId="5928" priority="171" stopIfTrue="1" operator="equal">
      <formula>"3 Delete"</formula>
    </cfRule>
  </conditionalFormatting>
  <conditionalFormatting sqref="C59">
    <cfRule type="cellIs" dxfId="5927" priority="172" stopIfTrue="1" operator="equal">
      <formula>"1 Modify"</formula>
    </cfRule>
  </conditionalFormatting>
  <conditionalFormatting sqref="C59">
    <cfRule type="cellIs" dxfId="5926" priority="173" stopIfTrue="1" operator="equal">
      <formula>"2 Add"</formula>
    </cfRule>
  </conditionalFormatting>
  <conditionalFormatting sqref="C59">
    <cfRule type="cellIs" dxfId="5925" priority="174" stopIfTrue="1" operator="equal">
      <formula>"3 Delete"</formula>
    </cfRule>
  </conditionalFormatting>
  <conditionalFormatting sqref="C60">
    <cfRule type="cellIs" dxfId="5924" priority="175" stopIfTrue="1" operator="equal">
      <formula>"1 Modify"</formula>
    </cfRule>
  </conditionalFormatting>
  <conditionalFormatting sqref="C60">
    <cfRule type="cellIs" dxfId="5923" priority="176" stopIfTrue="1" operator="equal">
      <formula>"2 Add"</formula>
    </cfRule>
  </conditionalFormatting>
  <conditionalFormatting sqref="C60">
    <cfRule type="cellIs" dxfId="5922" priority="177" stopIfTrue="1" operator="equal">
      <formula>"3 Delete"</formula>
    </cfRule>
  </conditionalFormatting>
  <conditionalFormatting sqref="C61">
    <cfRule type="cellIs" dxfId="5921" priority="178" stopIfTrue="1" operator="equal">
      <formula>"1 Modify"</formula>
    </cfRule>
  </conditionalFormatting>
  <conditionalFormatting sqref="C61">
    <cfRule type="cellIs" dxfId="5920" priority="179" stopIfTrue="1" operator="equal">
      <formula>"2 Add"</formula>
    </cfRule>
  </conditionalFormatting>
  <conditionalFormatting sqref="C61">
    <cfRule type="cellIs" dxfId="5919" priority="180" stopIfTrue="1" operator="equal">
      <formula>"3 Delete"</formula>
    </cfRule>
  </conditionalFormatting>
  <conditionalFormatting sqref="C62">
    <cfRule type="cellIs" dxfId="5918" priority="181" stopIfTrue="1" operator="equal">
      <formula>"1 Modify"</formula>
    </cfRule>
  </conditionalFormatting>
  <conditionalFormatting sqref="C62">
    <cfRule type="cellIs" dxfId="5917" priority="182" stopIfTrue="1" operator="equal">
      <formula>"2 Add"</formula>
    </cfRule>
  </conditionalFormatting>
  <conditionalFormatting sqref="C62">
    <cfRule type="cellIs" dxfId="5916" priority="183" stopIfTrue="1" operator="equal">
      <formula>"3 Delete"</formula>
    </cfRule>
  </conditionalFormatting>
  <conditionalFormatting sqref="C63">
    <cfRule type="cellIs" dxfId="5915" priority="184" stopIfTrue="1" operator="equal">
      <formula>"1 Modify"</formula>
    </cfRule>
  </conditionalFormatting>
  <conditionalFormatting sqref="C63">
    <cfRule type="cellIs" dxfId="5914" priority="185" stopIfTrue="1" operator="equal">
      <formula>"2 Add"</formula>
    </cfRule>
  </conditionalFormatting>
  <conditionalFormatting sqref="C63">
    <cfRule type="cellIs" dxfId="5913" priority="186" stopIfTrue="1" operator="equal">
      <formula>"3 Delete"</formula>
    </cfRule>
  </conditionalFormatting>
  <conditionalFormatting sqref="C64">
    <cfRule type="cellIs" dxfId="5912" priority="187" stopIfTrue="1" operator="equal">
      <formula>"1 Modify"</formula>
    </cfRule>
  </conditionalFormatting>
  <conditionalFormatting sqref="C64">
    <cfRule type="cellIs" dxfId="5911" priority="188" stopIfTrue="1" operator="equal">
      <formula>"2 Add"</formula>
    </cfRule>
  </conditionalFormatting>
  <conditionalFormatting sqref="C64">
    <cfRule type="cellIs" dxfId="5910" priority="189" stopIfTrue="1" operator="equal">
      <formula>"3 Delete"</formula>
    </cfRule>
  </conditionalFormatting>
  <conditionalFormatting sqref="C65">
    <cfRule type="cellIs" dxfId="5909" priority="190" stopIfTrue="1" operator="equal">
      <formula>"1 Modify"</formula>
    </cfRule>
  </conditionalFormatting>
  <conditionalFormatting sqref="C65">
    <cfRule type="cellIs" dxfId="5908" priority="191" stopIfTrue="1" operator="equal">
      <formula>"2 Add"</formula>
    </cfRule>
  </conditionalFormatting>
  <conditionalFormatting sqref="C65">
    <cfRule type="cellIs" dxfId="5907" priority="192" stopIfTrue="1" operator="equal">
      <formula>"3 Delete"</formula>
    </cfRule>
  </conditionalFormatting>
  <conditionalFormatting sqref="C66">
    <cfRule type="cellIs" dxfId="5906" priority="193" stopIfTrue="1" operator="equal">
      <formula>"1 Modify"</formula>
    </cfRule>
  </conditionalFormatting>
  <conditionalFormatting sqref="C66">
    <cfRule type="cellIs" dxfId="5905" priority="194" stopIfTrue="1" operator="equal">
      <formula>"2 Add"</formula>
    </cfRule>
  </conditionalFormatting>
  <conditionalFormatting sqref="C66">
    <cfRule type="cellIs" dxfId="5904" priority="195" stopIfTrue="1" operator="equal">
      <formula>"3 Delete"</formula>
    </cfRule>
  </conditionalFormatting>
  <conditionalFormatting sqref="C67">
    <cfRule type="cellIs" dxfId="5903" priority="196" stopIfTrue="1" operator="equal">
      <formula>"1 Modify"</formula>
    </cfRule>
  </conditionalFormatting>
  <conditionalFormatting sqref="C67">
    <cfRule type="cellIs" dxfId="5902" priority="197" stopIfTrue="1" operator="equal">
      <formula>"2 Add"</formula>
    </cfRule>
  </conditionalFormatting>
  <conditionalFormatting sqref="C67">
    <cfRule type="cellIs" dxfId="5901" priority="198" stopIfTrue="1" operator="equal">
      <formula>"3 Delete"</formula>
    </cfRule>
  </conditionalFormatting>
  <conditionalFormatting sqref="C68">
    <cfRule type="cellIs" dxfId="5900" priority="199" stopIfTrue="1" operator="equal">
      <formula>"1 Modify"</formula>
    </cfRule>
  </conditionalFormatting>
  <conditionalFormatting sqref="C68">
    <cfRule type="cellIs" dxfId="5899" priority="200" stopIfTrue="1" operator="equal">
      <formula>"2 Add"</formula>
    </cfRule>
  </conditionalFormatting>
  <conditionalFormatting sqref="C68">
    <cfRule type="cellIs" dxfId="5898" priority="201" stopIfTrue="1" operator="equal">
      <formula>"3 Delete"</formula>
    </cfRule>
  </conditionalFormatting>
  <conditionalFormatting sqref="C69">
    <cfRule type="cellIs" dxfId="5897" priority="202" stopIfTrue="1" operator="equal">
      <formula>"1 Modify"</formula>
    </cfRule>
  </conditionalFormatting>
  <conditionalFormatting sqref="C69">
    <cfRule type="cellIs" dxfId="5896" priority="203" stopIfTrue="1" operator="equal">
      <formula>"2 Add"</formula>
    </cfRule>
  </conditionalFormatting>
  <conditionalFormatting sqref="C69">
    <cfRule type="cellIs" dxfId="5895" priority="204" stopIfTrue="1" operator="equal">
      <formula>"3 Delete"</formula>
    </cfRule>
  </conditionalFormatting>
  <conditionalFormatting sqref="C70">
    <cfRule type="cellIs" dxfId="5894" priority="205" stopIfTrue="1" operator="equal">
      <formula>"1 Modify"</formula>
    </cfRule>
  </conditionalFormatting>
  <conditionalFormatting sqref="C70">
    <cfRule type="cellIs" dxfId="5893" priority="206" stopIfTrue="1" operator="equal">
      <formula>"2 Add"</formula>
    </cfRule>
  </conditionalFormatting>
  <conditionalFormatting sqref="C70">
    <cfRule type="cellIs" dxfId="5892" priority="207" stopIfTrue="1" operator="equal">
      <formula>"3 Delete"</formula>
    </cfRule>
  </conditionalFormatting>
  <conditionalFormatting sqref="C71">
    <cfRule type="cellIs" dxfId="5891" priority="208" stopIfTrue="1" operator="equal">
      <formula>"1 Modify"</formula>
    </cfRule>
  </conditionalFormatting>
  <conditionalFormatting sqref="C71">
    <cfRule type="cellIs" dxfId="5890" priority="209" stopIfTrue="1" operator="equal">
      <formula>"2 Add"</formula>
    </cfRule>
  </conditionalFormatting>
  <conditionalFormatting sqref="C71">
    <cfRule type="cellIs" dxfId="5889" priority="210" stopIfTrue="1" operator="equal">
      <formula>"3 Delete"</formula>
    </cfRule>
  </conditionalFormatting>
  <conditionalFormatting sqref="C72">
    <cfRule type="cellIs" dxfId="5888" priority="211" stopIfTrue="1" operator="equal">
      <formula>"1 Modify"</formula>
    </cfRule>
  </conditionalFormatting>
  <conditionalFormatting sqref="C72">
    <cfRule type="cellIs" dxfId="5887" priority="212" stopIfTrue="1" operator="equal">
      <formula>"2 Add"</formula>
    </cfRule>
  </conditionalFormatting>
  <conditionalFormatting sqref="C72">
    <cfRule type="cellIs" dxfId="5886" priority="213" stopIfTrue="1" operator="equal">
      <formula>"3 Delete"</formula>
    </cfRule>
  </conditionalFormatting>
  <conditionalFormatting sqref="C73">
    <cfRule type="cellIs" dxfId="5885" priority="214" stopIfTrue="1" operator="equal">
      <formula>"1 Modify"</formula>
    </cfRule>
  </conditionalFormatting>
  <conditionalFormatting sqref="C73">
    <cfRule type="cellIs" dxfId="5884" priority="215" stopIfTrue="1" operator="equal">
      <formula>"2 Add"</formula>
    </cfRule>
  </conditionalFormatting>
  <conditionalFormatting sqref="C73">
    <cfRule type="cellIs" dxfId="5883" priority="216" stopIfTrue="1" operator="equal">
      <formula>"3 Delete"</formula>
    </cfRule>
  </conditionalFormatting>
  <conditionalFormatting sqref="C74">
    <cfRule type="cellIs" dxfId="5882" priority="217" stopIfTrue="1" operator="equal">
      <formula>"1 Modify"</formula>
    </cfRule>
  </conditionalFormatting>
  <conditionalFormatting sqref="C74">
    <cfRule type="cellIs" dxfId="5881" priority="218" stopIfTrue="1" operator="equal">
      <formula>"2 Add"</formula>
    </cfRule>
  </conditionalFormatting>
  <conditionalFormatting sqref="C74">
    <cfRule type="cellIs" dxfId="5880" priority="219" stopIfTrue="1" operator="equal">
      <formula>"3 Delete"</formula>
    </cfRule>
  </conditionalFormatting>
  <conditionalFormatting sqref="C75">
    <cfRule type="cellIs" dxfId="5879" priority="220" stopIfTrue="1" operator="equal">
      <formula>"1 Modify"</formula>
    </cfRule>
  </conditionalFormatting>
  <conditionalFormatting sqref="C75">
    <cfRule type="cellIs" dxfId="5878" priority="221" stopIfTrue="1" operator="equal">
      <formula>"2 Add"</formula>
    </cfRule>
  </conditionalFormatting>
  <conditionalFormatting sqref="C75">
    <cfRule type="cellIs" dxfId="5877" priority="222" stopIfTrue="1" operator="equal">
      <formula>"3 Delete"</formula>
    </cfRule>
  </conditionalFormatting>
  <conditionalFormatting sqref="C76">
    <cfRule type="cellIs" dxfId="5876" priority="223" stopIfTrue="1" operator="equal">
      <formula>"1 Modify"</formula>
    </cfRule>
  </conditionalFormatting>
  <conditionalFormatting sqref="C76">
    <cfRule type="cellIs" dxfId="5875" priority="224" stopIfTrue="1" operator="equal">
      <formula>"2 Add"</formula>
    </cfRule>
  </conditionalFormatting>
  <conditionalFormatting sqref="C76">
    <cfRule type="cellIs" dxfId="5874" priority="225" stopIfTrue="1" operator="equal">
      <formula>"3 Delete"</formula>
    </cfRule>
  </conditionalFormatting>
  <conditionalFormatting sqref="C77">
    <cfRule type="cellIs" dxfId="5873" priority="226" stopIfTrue="1" operator="equal">
      <formula>"1 Modify"</formula>
    </cfRule>
  </conditionalFormatting>
  <conditionalFormatting sqref="C77">
    <cfRule type="cellIs" dxfId="5872" priority="227" stopIfTrue="1" operator="equal">
      <formula>"2 Add"</formula>
    </cfRule>
  </conditionalFormatting>
  <conditionalFormatting sqref="C77">
    <cfRule type="cellIs" dxfId="5871" priority="228" stopIfTrue="1" operator="equal">
      <formula>"3 Delete"</formula>
    </cfRule>
  </conditionalFormatting>
  <conditionalFormatting sqref="C78">
    <cfRule type="cellIs" dxfId="5870" priority="229" stopIfTrue="1" operator="equal">
      <formula>"1 Modify"</formula>
    </cfRule>
  </conditionalFormatting>
  <conditionalFormatting sqref="C78">
    <cfRule type="cellIs" dxfId="5869" priority="230" stopIfTrue="1" operator="equal">
      <formula>"2 Add"</formula>
    </cfRule>
  </conditionalFormatting>
  <conditionalFormatting sqref="C78">
    <cfRule type="cellIs" dxfId="5868" priority="231" stopIfTrue="1" operator="equal">
      <formula>"3 Delete"</formula>
    </cfRule>
  </conditionalFormatting>
  <conditionalFormatting sqref="C79">
    <cfRule type="cellIs" dxfId="5867" priority="232" stopIfTrue="1" operator="equal">
      <formula>"1 Modify"</formula>
    </cfRule>
  </conditionalFormatting>
  <conditionalFormatting sqref="C79">
    <cfRule type="cellIs" dxfId="5866" priority="233" stopIfTrue="1" operator="equal">
      <formula>"2 Add"</formula>
    </cfRule>
  </conditionalFormatting>
  <conditionalFormatting sqref="C79">
    <cfRule type="cellIs" dxfId="5865" priority="234" stopIfTrue="1" operator="equal">
      <formula>"3 Delete"</formula>
    </cfRule>
  </conditionalFormatting>
  <conditionalFormatting sqref="C80">
    <cfRule type="cellIs" dxfId="5864" priority="235" stopIfTrue="1" operator="equal">
      <formula>"1 Modify"</formula>
    </cfRule>
  </conditionalFormatting>
  <conditionalFormatting sqref="C80">
    <cfRule type="cellIs" dxfId="5863" priority="236" stopIfTrue="1" operator="equal">
      <formula>"2 Add"</formula>
    </cfRule>
  </conditionalFormatting>
  <conditionalFormatting sqref="C80">
    <cfRule type="cellIs" dxfId="5862" priority="237" stopIfTrue="1" operator="equal">
      <formula>"3 Delete"</formula>
    </cfRule>
  </conditionalFormatting>
  <conditionalFormatting sqref="C81">
    <cfRule type="cellIs" dxfId="5861" priority="238" stopIfTrue="1" operator="equal">
      <formula>"1 Modify"</formula>
    </cfRule>
  </conditionalFormatting>
  <conditionalFormatting sqref="C81">
    <cfRule type="cellIs" dxfId="5860" priority="239" stopIfTrue="1" operator="equal">
      <formula>"2 Add"</formula>
    </cfRule>
  </conditionalFormatting>
  <conditionalFormatting sqref="C81">
    <cfRule type="cellIs" dxfId="5859" priority="240" stopIfTrue="1" operator="equal">
      <formula>"3 Delete"</formula>
    </cfRule>
  </conditionalFormatting>
  <conditionalFormatting sqref="C82">
    <cfRule type="cellIs" dxfId="5858" priority="241" stopIfTrue="1" operator="equal">
      <formula>"1 Modify"</formula>
    </cfRule>
  </conditionalFormatting>
  <conditionalFormatting sqref="C82">
    <cfRule type="cellIs" dxfId="5857" priority="242" stopIfTrue="1" operator="equal">
      <formula>"2 Add"</formula>
    </cfRule>
  </conditionalFormatting>
  <conditionalFormatting sqref="C82">
    <cfRule type="cellIs" dxfId="5856" priority="243" stopIfTrue="1" operator="equal">
      <formula>"3 Delete"</formula>
    </cfRule>
  </conditionalFormatting>
  <conditionalFormatting sqref="C83">
    <cfRule type="cellIs" dxfId="5855" priority="244" stopIfTrue="1" operator="equal">
      <formula>"1 Modify"</formula>
    </cfRule>
  </conditionalFormatting>
  <conditionalFormatting sqref="C83">
    <cfRule type="cellIs" dxfId="5854" priority="245" stopIfTrue="1" operator="equal">
      <formula>"2 Add"</formula>
    </cfRule>
  </conditionalFormatting>
  <conditionalFormatting sqref="C83">
    <cfRule type="cellIs" dxfId="5853" priority="246" stopIfTrue="1" operator="equal">
      <formula>"3 Delete"</formula>
    </cfRule>
  </conditionalFormatting>
  <conditionalFormatting sqref="C84">
    <cfRule type="cellIs" dxfId="5852" priority="247" stopIfTrue="1" operator="equal">
      <formula>"1 Modify"</formula>
    </cfRule>
  </conditionalFormatting>
  <conditionalFormatting sqref="C84">
    <cfRule type="cellIs" dxfId="5851" priority="248" stopIfTrue="1" operator="equal">
      <formula>"2 Add"</formula>
    </cfRule>
  </conditionalFormatting>
  <conditionalFormatting sqref="C84">
    <cfRule type="cellIs" dxfId="5850" priority="249" stopIfTrue="1" operator="equal">
      <formula>"3 Delete"</formula>
    </cfRule>
  </conditionalFormatting>
  <conditionalFormatting sqref="C85">
    <cfRule type="cellIs" dxfId="5849" priority="250" stopIfTrue="1" operator="equal">
      <formula>"1 Modify"</formula>
    </cfRule>
  </conditionalFormatting>
  <conditionalFormatting sqref="C85">
    <cfRule type="cellIs" dxfId="5848" priority="251" stopIfTrue="1" operator="equal">
      <formula>"2 Add"</formula>
    </cfRule>
  </conditionalFormatting>
  <conditionalFormatting sqref="C85">
    <cfRule type="cellIs" dxfId="5847" priority="252" stopIfTrue="1" operator="equal">
      <formula>"3 Delete"</formula>
    </cfRule>
  </conditionalFormatting>
  <conditionalFormatting sqref="C86">
    <cfRule type="cellIs" dxfId="5846" priority="253" stopIfTrue="1" operator="equal">
      <formula>"1 Modify"</formula>
    </cfRule>
  </conditionalFormatting>
  <conditionalFormatting sqref="C86">
    <cfRule type="cellIs" dxfId="5845" priority="254" stopIfTrue="1" operator="equal">
      <formula>"2 Add"</formula>
    </cfRule>
  </conditionalFormatting>
  <conditionalFormatting sqref="C86">
    <cfRule type="cellIs" dxfId="5844" priority="255" stopIfTrue="1" operator="equal">
      <formula>"3 Delete"</formula>
    </cfRule>
  </conditionalFormatting>
  <conditionalFormatting sqref="C87">
    <cfRule type="cellIs" dxfId="5843" priority="256" stopIfTrue="1" operator="equal">
      <formula>"1 Modify"</formula>
    </cfRule>
  </conditionalFormatting>
  <conditionalFormatting sqref="C87">
    <cfRule type="cellIs" dxfId="5842" priority="257" stopIfTrue="1" operator="equal">
      <formula>"2 Add"</formula>
    </cfRule>
  </conditionalFormatting>
  <conditionalFormatting sqref="C87">
    <cfRule type="cellIs" dxfId="5841" priority="258" stopIfTrue="1" operator="equal">
      <formula>"3 Delete"</formula>
    </cfRule>
  </conditionalFormatting>
  <conditionalFormatting sqref="C88">
    <cfRule type="cellIs" dxfId="5840" priority="259" stopIfTrue="1" operator="equal">
      <formula>"1 Modify"</formula>
    </cfRule>
  </conditionalFormatting>
  <conditionalFormatting sqref="C88">
    <cfRule type="cellIs" dxfId="5839" priority="260" stopIfTrue="1" operator="equal">
      <formula>"2 Add"</formula>
    </cfRule>
  </conditionalFormatting>
  <conditionalFormatting sqref="C88">
    <cfRule type="cellIs" dxfId="5838" priority="261" stopIfTrue="1" operator="equal">
      <formula>"3 Delete"</formula>
    </cfRule>
  </conditionalFormatting>
  <conditionalFormatting sqref="C89">
    <cfRule type="cellIs" dxfId="5837" priority="262" stopIfTrue="1" operator="equal">
      <formula>"1 Modify"</formula>
    </cfRule>
  </conditionalFormatting>
  <conditionalFormatting sqref="C89">
    <cfRule type="cellIs" dxfId="5836" priority="263" stopIfTrue="1" operator="equal">
      <formula>"2 Add"</formula>
    </cfRule>
  </conditionalFormatting>
  <conditionalFormatting sqref="C89">
    <cfRule type="cellIs" dxfId="5835" priority="264" stopIfTrue="1" operator="equal">
      <formula>"3 Delete"</formula>
    </cfRule>
  </conditionalFormatting>
  <conditionalFormatting sqref="C90">
    <cfRule type="cellIs" dxfId="5834" priority="265" stopIfTrue="1" operator="equal">
      <formula>"1 Modify"</formula>
    </cfRule>
  </conditionalFormatting>
  <conditionalFormatting sqref="C90">
    <cfRule type="cellIs" dxfId="5833" priority="266" stopIfTrue="1" operator="equal">
      <formula>"2 Add"</formula>
    </cfRule>
  </conditionalFormatting>
  <conditionalFormatting sqref="C90">
    <cfRule type="cellIs" dxfId="5832" priority="267" stopIfTrue="1" operator="equal">
      <formula>"3 Delete"</formula>
    </cfRule>
  </conditionalFormatting>
  <conditionalFormatting sqref="C91">
    <cfRule type="cellIs" dxfId="5831" priority="268" stopIfTrue="1" operator="equal">
      <formula>"1 Modify"</formula>
    </cfRule>
  </conditionalFormatting>
  <conditionalFormatting sqref="C91">
    <cfRule type="cellIs" dxfId="5830" priority="269" stopIfTrue="1" operator="equal">
      <formula>"2 Add"</formula>
    </cfRule>
  </conditionalFormatting>
  <conditionalFormatting sqref="C91">
    <cfRule type="cellIs" dxfId="5829" priority="270" stopIfTrue="1" operator="equal">
      <formula>"3 Delete"</formula>
    </cfRule>
  </conditionalFormatting>
  <conditionalFormatting sqref="C92">
    <cfRule type="cellIs" dxfId="5828" priority="271" stopIfTrue="1" operator="equal">
      <formula>"1 Modify"</formula>
    </cfRule>
  </conditionalFormatting>
  <conditionalFormatting sqref="C92">
    <cfRule type="cellIs" dxfId="5827" priority="272" stopIfTrue="1" operator="equal">
      <formula>"2 Add"</formula>
    </cfRule>
  </conditionalFormatting>
  <conditionalFormatting sqref="C92">
    <cfRule type="cellIs" dxfId="5826" priority="273" stopIfTrue="1" operator="equal">
      <formula>"3 Delete"</formula>
    </cfRule>
  </conditionalFormatting>
  <conditionalFormatting sqref="C93">
    <cfRule type="cellIs" dxfId="5825" priority="274" stopIfTrue="1" operator="equal">
      <formula>"1 Modify"</formula>
    </cfRule>
  </conditionalFormatting>
  <conditionalFormatting sqref="C93">
    <cfRule type="cellIs" dxfId="5824" priority="275" stopIfTrue="1" operator="equal">
      <formula>"2 Add"</formula>
    </cfRule>
  </conditionalFormatting>
  <conditionalFormatting sqref="C93">
    <cfRule type="cellIs" dxfId="5823" priority="276" stopIfTrue="1" operator="equal">
      <formula>"3 Delete"</formula>
    </cfRule>
  </conditionalFormatting>
  <conditionalFormatting sqref="C94">
    <cfRule type="cellIs" dxfId="5822" priority="277" stopIfTrue="1" operator="equal">
      <formula>"1 Modify"</formula>
    </cfRule>
  </conditionalFormatting>
  <conditionalFormatting sqref="C94">
    <cfRule type="cellIs" dxfId="5821" priority="278" stopIfTrue="1" operator="equal">
      <formula>"2 Add"</formula>
    </cfRule>
  </conditionalFormatting>
  <conditionalFormatting sqref="C94">
    <cfRule type="cellIs" dxfId="5820" priority="279" stopIfTrue="1" operator="equal">
      <formula>"3 Delete"</formula>
    </cfRule>
  </conditionalFormatting>
  <conditionalFormatting sqref="C95">
    <cfRule type="cellIs" dxfId="5819" priority="280" stopIfTrue="1" operator="equal">
      <formula>"1 Modify"</formula>
    </cfRule>
  </conditionalFormatting>
  <conditionalFormatting sqref="C95">
    <cfRule type="cellIs" dxfId="5818" priority="281" stopIfTrue="1" operator="equal">
      <formula>"2 Add"</formula>
    </cfRule>
  </conditionalFormatting>
  <conditionalFormatting sqref="C95">
    <cfRule type="cellIs" dxfId="5817" priority="282" stopIfTrue="1" operator="equal">
      <formula>"3 Delete"</formula>
    </cfRule>
  </conditionalFormatting>
  <conditionalFormatting sqref="C96">
    <cfRule type="cellIs" dxfId="5816" priority="283" stopIfTrue="1" operator="equal">
      <formula>"1 Modify"</formula>
    </cfRule>
  </conditionalFormatting>
  <conditionalFormatting sqref="C96">
    <cfRule type="cellIs" dxfId="5815" priority="284" stopIfTrue="1" operator="equal">
      <formula>"2 Add"</formula>
    </cfRule>
  </conditionalFormatting>
  <conditionalFormatting sqref="C96">
    <cfRule type="cellIs" dxfId="5814" priority="285" stopIfTrue="1" operator="equal">
      <formula>"3 Delete"</formula>
    </cfRule>
  </conditionalFormatting>
  <conditionalFormatting sqref="C97">
    <cfRule type="cellIs" dxfId="5813" priority="286" stopIfTrue="1" operator="equal">
      <formula>"1 Modify"</formula>
    </cfRule>
  </conditionalFormatting>
  <conditionalFormatting sqref="C97">
    <cfRule type="cellIs" dxfId="5812" priority="287" stopIfTrue="1" operator="equal">
      <formula>"2 Add"</formula>
    </cfRule>
  </conditionalFormatting>
  <conditionalFormatting sqref="C97">
    <cfRule type="cellIs" dxfId="5811" priority="288" stopIfTrue="1" operator="equal">
      <formula>"3 Delete"</formula>
    </cfRule>
  </conditionalFormatting>
  <conditionalFormatting sqref="C98">
    <cfRule type="cellIs" dxfId="5810" priority="289" stopIfTrue="1" operator="equal">
      <formula>"1 Modify"</formula>
    </cfRule>
  </conditionalFormatting>
  <conditionalFormatting sqref="C98">
    <cfRule type="cellIs" dxfId="5809" priority="290" stopIfTrue="1" operator="equal">
      <formula>"2 Add"</formula>
    </cfRule>
  </conditionalFormatting>
  <conditionalFormatting sqref="C98">
    <cfRule type="cellIs" dxfId="5808" priority="291" stopIfTrue="1" operator="equal">
      <formula>"3 Delete"</formula>
    </cfRule>
  </conditionalFormatting>
  <conditionalFormatting sqref="C99">
    <cfRule type="cellIs" dxfId="5807" priority="292" stopIfTrue="1" operator="equal">
      <formula>"1 Modify"</formula>
    </cfRule>
  </conditionalFormatting>
  <conditionalFormatting sqref="C99">
    <cfRule type="cellIs" dxfId="5806" priority="293" stopIfTrue="1" operator="equal">
      <formula>"2 Add"</formula>
    </cfRule>
  </conditionalFormatting>
  <conditionalFormatting sqref="C99">
    <cfRule type="cellIs" dxfId="5805" priority="294" stopIfTrue="1" operator="equal">
      <formula>"3 Delete"</formula>
    </cfRule>
  </conditionalFormatting>
  <conditionalFormatting sqref="C100">
    <cfRule type="cellIs" dxfId="5804" priority="295" stopIfTrue="1" operator="equal">
      <formula>"1 Modify"</formula>
    </cfRule>
  </conditionalFormatting>
  <conditionalFormatting sqref="C100">
    <cfRule type="cellIs" dxfId="5803" priority="296" stopIfTrue="1" operator="equal">
      <formula>"2 Add"</formula>
    </cfRule>
  </conditionalFormatting>
  <conditionalFormatting sqref="C100">
    <cfRule type="cellIs" dxfId="5802" priority="297" stopIfTrue="1" operator="equal">
      <formula>"3 Delete"</formula>
    </cfRule>
  </conditionalFormatting>
  <conditionalFormatting sqref="C101">
    <cfRule type="cellIs" dxfId="5801" priority="298" stopIfTrue="1" operator="equal">
      <formula>"1 Modify"</formula>
    </cfRule>
  </conditionalFormatting>
  <conditionalFormatting sqref="C101">
    <cfRule type="cellIs" dxfId="5800" priority="299" stopIfTrue="1" operator="equal">
      <formula>"2 Add"</formula>
    </cfRule>
  </conditionalFormatting>
  <conditionalFormatting sqref="C101">
    <cfRule type="cellIs" dxfId="5799" priority="300" stopIfTrue="1" operator="equal">
      <formula>"3 Delete"</formula>
    </cfRule>
  </conditionalFormatting>
  <conditionalFormatting sqref="C102">
    <cfRule type="cellIs" dxfId="5798" priority="301" stopIfTrue="1" operator="equal">
      <formula>"1 Modify"</formula>
    </cfRule>
  </conditionalFormatting>
  <conditionalFormatting sqref="C102">
    <cfRule type="cellIs" dxfId="5797" priority="302" stopIfTrue="1" operator="equal">
      <formula>"2 Add"</formula>
    </cfRule>
  </conditionalFormatting>
  <conditionalFormatting sqref="C102">
    <cfRule type="cellIs" dxfId="5796" priority="303" stopIfTrue="1" operator="equal">
      <formula>"3 Delete"</formula>
    </cfRule>
  </conditionalFormatting>
  <conditionalFormatting sqref="C103">
    <cfRule type="cellIs" dxfId="5795" priority="304" stopIfTrue="1" operator="equal">
      <formula>"1 Modify"</formula>
    </cfRule>
  </conditionalFormatting>
  <conditionalFormatting sqref="C103">
    <cfRule type="cellIs" dxfId="5794" priority="305" stopIfTrue="1" operator="equal">
      <formula>"2 Add"</formula>
    </cfRule>
  </conditionalFormatting>
  <conditionalFormatting sqref="C103">
    <cfRule type="cellIs" dxfId="5793" priority="306" stopIfTrue="1" operator="equal">
      <formula>"3 Delete"</formula>
    </cfRule>
  </conditionalFormatting>
  <conditionalFormatting sqref="C104">
    <cfRule type="cellIs" dxfId="5792" priority="307" stopIfTrue="1" operator="equal">
      <formula>"1 Modify"</formula>
    </cfRule>
  </conditionalFormatting>
  <conditionalFormatting sqref="C104">
    <cfRule type="cellIs" dxfId="5791" priority="308" stopIfTrue="1" operator="equal">
      <formula>"2 Add"</formula>
    </cfRule>
  </conditionalFormatting>
  <conditionalFormatting sqref="C104">
    <cfRule type="cellIs" dxfId="5790" priority="309" stopIfTrue="1" operator="equal">
      <formula>"3 Delete"</formula>
    </cfRule>
  </conditionalFormatting>
  <conditionalFormatting sqref="C105">
    <cfRule type="cellIs" dxfId="5789" priority="310" stopIfTrue="1" operator="equal">
      <formula>"1 Modify"</formula>
    </cfRule>
  </conditionalFormatting>
  <conditionalFormatting sqref="C105">
    <cfRule type="cellIs" dxfId="5788" priority="311" stopIfTrue="1" operator="equal">
      <formula>"2 Add"</formula>
    </cfRule>
  </conditionalFormatting>
  <conditionalFormatting sqref="C105">
    <cfRule type="cellIs" dxfId="5787" priority="312" stopIfTrue="1" operator="equal">
      <formula>"3 Delete"</formula>
    </cfRule>
  </conditionalFormatting>
  <conditionalFormatting sqref="C106">
    <cfRule type="cellIs" dxfId="5786" priority="313" stopIfTrue="1" operator="equal">
      <formula>"1 Modify"</formula>
    </cfRule>
  </conditionalFormatting>
  <conditionalFormatting sqref="C106">
    <cfRule type="cellIs" dxfId="5785" priority="314" stopIfTrue="1" operator="equal">
      <formula>"2 Add"</formula>
    </cfRule>
  </conditionalFormatting>
  <conditionalFormatting sqref="C106">
    <cfRule type="cellIs" dxfId="5784" priority="315" stopIfTrue="1" operator="equal">
      <formula>"3 Delete"</formula>
    </cfRule>
  </conditionalFormatting>
  <conditionalFormatting sqref="C107">
    <cfRule type="cellIs" dxfId="5783" priority="316" stopIfTrue="1" operator="equal">
      <formula>"1 Modify"</formula>
    </cfRule>
  </conditionalFormatting>
  <conditionalFormatting sqref="C107">
    <cfRule type="cellIs" dxfId="5782" priority="317" stopIfTrue="1" operator="equal">
      <formula>"2 Add"</formula>
    </cfRule>
  </conditionalFormatting>
  <conditionalFormatting sqref="C107">
    <cfRule type="cellIs" dxfId="5781" priority="318" stopIfTrue="1" operator="equal">
      <formula>"3 Delete"</formula>
    </cfRule>
  </conditionalFormatting>
  <conditionalFormatting sqref="C108">
    <cfRule type="cellIs" dxfId="5780" priority="319" stopIfTrue="1" operator="equal">
      <formula>"1 Modify"</formula>
    </cfRule>
  </conditionalFormatting>
  <conditionalFormatting sqref="C108">
    <cfRule type="cellIs" dxfId="5779" priority="320" stopIfTrue="1" operator="equal">
      <formula>"2 Add"</formula>
    </cfRule>
  </conditionalFormatting>
  <conditionalFormatting sqref="C108">
    <cfRule type="cellIs" dxfId="5778" priority="321" stopIfTrue="1" operator="equal">
      <formula>"3 Delete"</formula>
    </cfRule>
  </conditionalFormatting>
  <conditionalFormatting sqref="C109">
    <cfRule type="cellIs" dxfId="5777" priority="322" stopIfTrue="1" operator="equal">
      <formula>"1 Modify"</formula>
    </cfRule>
  </conditionalFormatting>
  <conditionalFormatting sqref="C109">
    <cfRule type="cellIs" dxfId="5776" priority="323" stopIfTrue="1" operator="equal">
      <formula>"2 Add"</formula>
    </cfRule>
  </conditionalFormatting>
  <conditionalFormatting sqref="C109">
    <cfRule type="cellIs" dxfId="5775" priority="324" stopIfTrue="1" operator="equal">
      <formula>"3 Delete"</formula>
    </cfRule>
  </conditionalFormatting>
  <conditionalFormatting sqref="C110">
    <cfRule type="cellIs" dxfId="5774" priority="325" stopIfTrue="1" operator="equal">
      <formula>"1 Modify"</formula>
    </cfRule>
  </conditionalFormatting>
  <conditionalFormatting sqref="C110">
    <cfRule type="cellIs" dxfId="5773" priority="326" stopIfTrue="1" operator="equal">
      <formula>"2 Add"</formula>
    </cfRule>
  </conditionalFormatting>
  <conditionalFormatting sqref="C110">
    <cfRule type="cellIs" dxfId="5772" priority="327" stopIfTrue="1" operator="equal">
      <formula>"3 Delete"</formula>
    </cfRule>
  </conditionalFormatting>
  <conditionalFormatting sqref="C111">
    <cfRule type="cellIs" dxfId="5771" priority="328" stopIfTrue="1" operator="equal">
      <formula>"1 Modify"</formula>
    </cfRule>
  </conditionalFormatting>
  <conditionalFormatting sqref="C111">
    <cfRule type="cellIs" dxfId="5770" priority="329" stopIfTrue="1" operator="equal">
      <formula>"2 Add"</formula>
    </cfRule>
  </conditionalFormatting>
  <conditionalFormatting sqref="C111">
    <cfRule type="cellIs" dxfId="5769" priority="330" stopIfTrue="1" operator="equal">
      <formula>"3 Delete"</formula>
    </cfRule>
  </conditionalFormatting>
  <conditionalFormatting sqref="C112">
    <cfRule type="cellIs" dxfId="5768" priority="331" stopIfTrue="1" operator="equal">
      <formula>"1 Modify"</formula>
    </cfRule>
  </conditionalFormatting>
  <conditionalFormatting sqref="C112">
    <cfRule type="cellIs" dxfId="5767" priority="332" stopIfTrue="1" operator="equal">
      <formula>"2 Add"</formula>
    </cfRule>
  </conditionalFormatting>
  <conditionalFormatting sqref="C112">
    <cfRule type="cellIs" dxfId="5766" priority="333" stopIfTrue="1" operator="equal">
      <formula>"3 Delete"</formula>
    </cfRule>
  </conditionalFormatting>
  <conditionalFormatting sqref="C113">
    <cfRule type="cellIs" dxfId="5765" priority="334" stopIfTrue="1" operator="equal">
      <formula>"1 Modify"</formula>
    </cfRule>
  </conditionalFormatting>
  <conditionalFormatting sqref="C113">
    <cfRule type="cellIs" dxfId="5764" priority="335" stopIfTrue="1" operator="equal">
      <formula>"2 Add"</formula>
    </cfRule>
  </conditionalFormatting>
  <conditionalFormatting sqref="C113">
    <cfRule type="cellIs" dxfId="5763" priority="336" stopIfTrue="1" operator="equal">
      <formula>"3 Delete"</formula>
    </cfRule>
  </conditionalFormatting>
  <conditionalFormatting sqref="C114">
    <cfRule type="cellIs" dxfId="5762" priority="337" stopIfTrue="1" operator="equal">
      <formula>"1 Modify"</formula>
    </cfRule>
  </conditionalFormatting>
  <conditionalFormatting sqref="C114">
    <cfRule type="cellIs" dxfId="5761" priority="338" stopIfTrue="1" operator="equal">
      <formula>"2 Add"</formula>
    </cfRule>
  </conditionalFormatting>
  <conditionalFormatting sqref="C114">
    <cfRule type="cellIs" dxfId="5760" priority="339" stopIfTrue="1" operator="equal">
      <formula>"3 Delete"</formula>
    </cfRule>
  </conditionalFormatting>
  <conditionalFormatting sqref="C115">
    <cfRule type="cellIs" dxfId="5759" priority="340" stopIfTrue="1" operator="equal">
      <formula>"1 Modify"</formula>
    </cfRule>
  </conditionalFormatting>
  <conditionalFormatting sqref="C115">
    <cfRule type="cellIs" dxfId="5758" priority="341" stopIfTrue="1" operator="equal">
      <formula>"2 Add"</formula>
    </cfRule>
  </conditionalFormatting>
  <conditionalFormatting sqref="C115">
    <cfRule type="cellIs" dxfId="5757" priority="342" stopIfTrue="1" operator="equal">
      <formula>"3 Delete"</formula>
    </cfRule>
  </conditionalFormatting>
  <conditionalFormatting sqref="C116">
    <cfRule type="cellIs" dxfId="5756" priority="343" stopIfTrue="1" operator="equal">
      <formula>"1 Modify"</formula>
    </cfRule>
  </conditionalFormatting>
  <conditionalFormatting sqref="C116">
    <cfRule type="cellIs" dxfId="5755" priority="344" stopIfTrue="1" operator="equal">
      <formula>"2 Add"</formula>
    </cfRule>
  </conditionalFormatting>
  <conditionalFormatting sqref="C116">
    <cfRule type="cellIs" dxfId="5754" priority="345" stopIfTrue="1" operator="equal">
      <formula>"3 Delete"</formula>
    </cfRule>
  </conditionalFormatting>
  <conditionalFormatting sqref="C117">
    <cfRule type="cellIs" dxfId="5753" priority="346" stopIfTrue="1" operator="equal">
      <formula>"1 Modify"</formula>
    </cfRule>
  </conditionalFormatting>
  <conditionalFormatting sqref="C117">
    <cfRule type="cellIs" dxfId="5752" priority="347" stopIfTrue="1" operator="equal">
      <formula>"2 Add"</formula>
    </cfRule>
  </conditionalFormatting>
  <conditionalFormatting sqref="C117">
    <cfRule type="cellIs" dxfId="5751" priority="348" stopIfTrue="1" operator="equal">
      <formula>"3 Delete"</formula>
    </cfRule>
  </conditionalFormatting>
  <conditionalFormatting sqref="C118">
    <cfRule type="cellIs" dxfId="5750" priority="349" stopIfTrue="1" operator="equal">
      <formula>"1 Modify"</formula>
    </cfRule>
  </conditionalFormatting>
  <conditionalFormatting sqref="C118">
    <cfRule type="cellIs" dxfId="5749" priority="350" stopIfTrue="1" operator="equal">
      <formula>"2 Add"</formula>
    </cfRule>
  </conditionalFormatting>
  <conditionalFormatting sqref="C118">
    <cfRule type="cellIs" dxfId="5748" priority="351" stopIfTrue="1" operator="equal">
      <formula>"3 Delete"</formula>
    </cfRule>
  </conditionalFormatting>
  <conditionalFormatting sqref="C119">
    <cfRule type="cellIs" dxfId="5747" priority="352" stopIfTrue="1" operator="equal">
      <formula>"1 Modify"</formula>
    </cfRule>
  </conditionalFormatting>
  <conditionalFormatting sqref="C119">
    <cfRule type="cellIs" dxfId="5746" priority="353" stopIfTrue="1" operator="equal">
      <formula>"2 Add"</formula>
    </cfRule>
  </conditionalFormatting>
  <conditionalFormatting sqref="C119">
    <cfRule type="cellIs" dxfId="5745" priority="354" stopIfTrue="1" operator="equal">
      <formula>"3 Delete"</formula>
    </cfRule>
  </conditionalFormatting>
  <conditionalFormatting sqref="C120">
    <cfRule type="cellIs" dxfId="5744" priority="355" stopIfTrue="1" operator="equal">
      <formula>"1 Modify"</formula>
    </cfRule>
  </conditionalFormatting>
  <conditionalFormatting sqref="C120">
    <cfRule type="cellIs" dxfId="5743" priority="356" stopIfTrue="1" operator="equal">
      <formula>"2 Add"</formula>
    </cfRule>
  </conditionalFormatting>
  <conditionalFormatting sqref="C120">
    <cfRule type="cellIs" dxfId="5742" priority="357" stopIfTrue="1" operator="equal">
      <formula>"3 Delete"</formula>
    </cfRule>
  </conditionalFormatting>
  <conditionalFormatting sqref="C121">
    <cfRule type="cellIs" dxfId="5741" priority="358" stopIfTrue="1" operator="equal">
      <formula>"1 Modify"</formula>
    </cfRule>
  </conditionalFormatting>
  <conditionalFormatting sqref="C121">
    <cfRule type="cellIs" dxfId="5740" priority="359" stopIfTrue="1" operator="equal">
      <formula>"2 Add"</formula>
    </cfRule>
  </conditionalFormatting>
  <conditionalFormatting sqref="C121">
    <cfRule type="cellIs" dxfId="5739" priority="360" stopIfTrue="1" operator="equal">
      <formula>"3 Delete"</formula>
    </cfRule>
  </conditionalFormatting>
  <conditionalFormatting sqref="C122">
    <cfRule type="cellIs" dxfId="5738" priority="361" stopIfTrue="1" operator="equal">
      <formula>"1 Modify"</formula>
    </cfRule>
  </conditionalFormatting>
  <conditionalFormatting sqref="C122">
    <cfRule type="cellIs" dxfId="5737" priority="362" stopIfTrue="1" operator="equal">
      <formula>"2 Add"</formula>
    </cfRule>
  </conditionalFormatting>
  <conditionalFormatting sqref="C122">
    <cfRule type="cellIs" dxfId="5736" priority="363" stopIfTrue="1" operator="equal">
      <formula>"3 Delete"</formula>
    </cfRule>
  </conditionalFormatting>
  <conditionalFormatting sqref="C123">
    <cfRule type="cellIs" dxfId="5735" priority="364" stopIfTrue="1" operator="equal">
      <formula>"1 Modify"</formula>
    </cfRule>
  </conditionalFormatting>
  <conditionalFormatting sqref="C123">
    <cfRule type="cellIs" dxfId="5734" priority="365" stopIfTrue="1" operator="equal">
      <formula>"2 Add"</formula>
    </cfRule>
  </conditionalFormatting>
  <conditionalFormatting sqref="C123">
    <cfRule type="cellIs" dxfId="5733" priority="366" stopIfTrue="1" operator="equal">
      <formula>"3 Delete"</formula>
    </cfRule>
  </conditionalFormatting>
  <conditionalFormatting sqref="C124">
    <cfRule type="cellIs" dxfId="5732" priority="367" stopIfTrue="1" operator="equal">
      <formula>"1 Modify"</formula>
    </cfRule>
  </conditionalFormatting>
  <conditionalFormatting sqref="C124">
    <cfRule type="cellIs" dxfId="5731" priority="368" stopIfTrue="1" operator="equal">
      <formula>"2 Add"</formula>
    </cfRule>
  </conditionalFormatting>
  <conditionalFormatting sqref="C124">
    <cfRule type="cellIs" dxfId="5730" priority="369" stopIfTrue="1" operator="equal">
      <formula>"3 Delete"</formula>
    </cfRule>
  </conditionalFormatting>
  <conditionalFormatting sqref="C125">
    <cfRule type="cellIs" dxfId="5729" priority="370" stopIfTrue="1" operator="equal">
      <formula>"1 Modify"</formula>
    </cfRule>
  </conditionalFormatting>
  <conditionalFormatting sqref="C125">
    <cfRule type="cellIs" dxfId="5728" priority="371" stopIfTrue="1" operator="equal">
      <formula>"2 Add"</formula>
    </cfRule>
  </conditionalFormatting>
  <conditionalFormatting sqref="C125">
    <cfRule type="cellIs" dxfId="5727" priority="372" stopIfTrue="1" operator="equal">
      <formula>"3 Delete"</formula>
    </cfRule>
  </conditionalFormatting>
  <conditionalFormatting sqref="C126">
    <cfRule type="cellIs" dxfId="5726" priority="373" stopIfTrue="1" operator="equal">
      <formula>"1 Modify"</formula>
    </cfRule>
  </conditionalFormatting>
  <conditionalFormatting sqref="C126">
    <cfRule type="cellIs" dxfId="5725" priority="374" stopIfTrue="1" operator="equal">
      <formula>"2 Add"</formula>
    </cfRule>
  </conditionalFormatting>
  <conditionalFormatting sqref="C126">
    <cfRule type="cellIs" dxfId="5724" priority="375" stopIfTrue="1" operator="equal">
      <formula>"3 Delete"</formula>
    </cfRule>
  </conditionalFormatting>
  <conditionalFormatting sqref="C127">
    <cfRule type="cellIs" dxfId="5723" priority="376" stopIfTrue="1" operator="equal">
      <formula>"1 Modify"</formula>
    </cfRule>
  </conditionalFormatting>
  <conditionalFormatting sqref="C127">
    <cfRule type="cellIs" dxfId="5722" priority="377" stopIfTrue="1" operator="equal">
      <formula>"2 Add"</formula>
    </cfRule>
  </conditionalFormatting>
  <conditionalFormatting sqref="C127">
    <cfRule type="cellIs" dxfId="5721" priority="378" stopIfTrue="1" operator="equal">
      <formula>"3 Delete"</formula>
    </cfRule>
  </conditionalFormatting>
  <conditionalFormatting sqref="C128">
    <cfRule type="cellIs" dxfId="5720" priority="379" stopIfTrue="1" operator="equal">
      <formula>"1 Modify"</formula>
    </cfRule>
  </conditionalFormatting>
  <conditionalFormatting sqref="C128">
    <cfRule type="cellIs" dxfId="5719" priority="380" stopIfTrue="1" operator="equal">
      <formula>"2 Add"</formula>
    </cfRule>
  </conditionalFormatting>
  <conditionalFormatting sqref="C128">
    <cfRule type="cellIs" dxfId="5718" priority="381" stopIfTrue="1" operator="equal">
      <formula>"3 Delete"</formula>
    </cfRule>
  </conditionalFormatting>
  <conditionalFormatting sqref="C129">
    <cfRule type="cellIs" dxfId="5717" priority="382" stopIfTrue="1" operator="equal">
      <formula>"1 Modify"</formula>
    </cfRule>
  </conditionalFormatting>
  <conditionalFormatting sqref="C129">
    <cfRule type="cellIs" dxfId="5716" priority="383" stopIfTrue="1" operator="equal">
      <formula>"2 Add"</formula>
    </cfRule>
  </conditionalFormatting>
  <conditionalFormatting sqref="C129">
    <cfRule type="cellIs" dxfId="5715" priority="384" stopIfTrue="1" operator="equal">
      <formula>"3 Delete"</formula>
    </cfRule>
  </conditionalFormatting>
  <conditionalFormatting sqref="C130">
    <cfRule type="cellIs" dxfId="5714" priority="385" stopIfTrue="1" operator="equal">
      <formula>"1 Modify"</formula>
    </cfRule>
  </conditionalFormatting>
  <conditionalFormatting sqref="C130">
    <cfRule type="cellIs" dxfId="5713" priority="386" stopIfTrue="1" operator="equal">
      <formula>"2 Add"</formula>
    </cfRule>
  </conditionalFormatting>
  <conditionalFormatting sqref="C130">
    <cfRule type="cellIs" dxfId="5712" priority="387" stopIfTrue="1" operator="equal">
      <formula>"3 Delete"</formula>
    </cfRule>
  </conditionalFormatting>
  <conditionalFormatting sqref="C131">
    <cfRule type="cellIs" dxfId="5711" priority="388" stopIfTrue="1" operator="equal">
      <formula>"1 Modify"</formula>
    </cfRule>
  </conditionalFormatting>
  <conditionalFormatting sqref="C131">
    <cfRule type="cellIs" dxfId="5710" priority="389" stopIfTrue="1" operator="equal">
      <formula>"2 Add"</formula>
    </cfRule>
  </conditionalFormatting>
  <conditionalFormatting sqref="C131">
    <cfRule type="cellIs" dxfId="5709" priority="390" stopIfTrue="1" operator="equal">
      <formula>"3 Delete"</formula>
    </cfRule>
  </conditionalFormatting>
  <conditionalFormatting sqref="C132">
    <cfRule type="cellIs" dxfId="5708" priority="391" stopIfTrue="1" operator="equal">
      <formula>"1 Modify"</formula>
    </cfRule>
  </conditionalFormatting>
  <conditionalFormatting sqref="C132">
    <cfRule type="cellIs" dxfId="5707" priority="392" stopIfTrue="1" operator="equal">
      <formula>"2 Add"</formula>
    </cfRule>
  </conditionalFormatting>
  <conditionalFormatting sqref="C132">
    <cfRule type="cellIs" dxfId="5706" priority="393" stopIfTrue="1" operator="equal">
      <formula>"3 Delete"</formula>
    </cfRule>
  </conditionalFormatting>
  <conditionalFormatting sqref="C133">
    <cfRule type="cellIs" dxfId="5705" priority="394" stopIfTrue="1" operator="equal">
      <formula>"1 Modify"</formula>
    </cfRule>
  </conditionalFormatting>
  <conditionalFormatting sqref="C133">
    <cfRule type="cellIs" dxfId="5704" priority="395" stopIfTrue="1" operator="equal">
      <formula>"2 Add"</formula>
    </cfRule>
  </conditionalFormatting>
  <conditionalFormatting sqref="C133">
    <cfRule type="cellIs" dxfId="5703" priority="396" stopIfTrue="1" operator="equal">
      <formula>"3 Delete"</formula>
    </cfRule>
  </conditionalFormatting>
  <conditionalFormatting sqref="C134">
    <cfRule type="cellIs" dxfId="5702" priority="397" stopIfTrue="1" operator="equal">
      <formula>"1 Modify"</formula>
    </cfRule>
  </conditionalFormatting>
  <conditionalFormatting sqref="C134">
    <cfRule type="cellIs" dxfId="5701" priority="398" stopIfTrue="1" operator="equal">
      <formula>"2 Add"</formula>
    </cfRule>
  </conditionalFormatting>
  <conditionalFormatting sqref="C134">
    <cfRule type="cellIs" dxfId="5700" priority="399" stopIfTrue="1" operator="equal">
      <formula>"3 Delete"</formula>
    </cfRule>
  </conditionalFormatting>
  <conditionalFormatting sqref="C135">
    <cfRule type="cellIs" dxfId="5699" priority="400" stopIfTrue="1" operator="equal">
      <formula>"1 Modify"</formula>
    </cfRule>
  </conditionalFormatting>
  <conditionalFormatting sqref="C135">
    <cfRule type="cellIs" dxfId="5698" priority="401" stopIfTrue="1" operator="equal">
      <formula>"2 Add"</formula>
    </cfRule>
  </conditionalFormatting>
  <conditionalFormatting sqref="C135">
    <cfRule type="cellIs" dxfId="5697" priority="402" stopIfTrue="1" operator="equal">
      <formula>"3 Delete"</formula>
    </cfRule>
  </conditionalFormatting>
  <conditionalFormatting sqref="C136">
    <cfRule type="cellIs" dxfId="5696" priority="403" stopIfTrue="1" operator="equal">
      <formula>"1 Modify"</formula>
    </cfRule>
  </conditionalFormatting>
  <conditionalFormatting sqref="C136">
    <cfRule type="cellIs" dxfId="5695" priority="404" stopIfTrue="1" operator="equal">
      <formula>"2 Add"</formula>
    </cfRule>
  </conditionalFormatting>
  <conditionalFormatting sqref="C136">
    <cfRule type="cellIs" dxfId="5694" priority="405" stopIfTrue="1" operator="equal">
      <formula>"3 Delete"</formula>
    </cfRule>
  </conditionalFormatting>
  <conditionalFormatting sqref="C137">
    <cfRule type="cellIs" dxfId="5693" priority="406" stopIfTrue="1" operator="equal">
      <formula>"1 Modify"</formula>
    </cfRule>
  </conditionalFormatting>
  <conditionalFormatting sqref="C137">
    <cfRule type="cellIs" dxfId="5692" priority="407" stopIfTrue="1" operator="equal">
      <formula>"2 Add"</formula>
    </cfRule>
  </conditionalFormatting>
  <conditionalFormatting sqref="C137">
    <cfRule type="cellIs" dxfId="5691" priority="408" stopIfTrue="1" operator="equal">
      <formula>"3 Delete"</formula>
    </cfRule>
  </conditionalFormatting>
  <conditionalFormatting sqref="C138">
    <cfRule type="cellIs" dxfId="5690" priority="409" stopIfTrue="1" operator="equal">
      <formula>"1 Modify"</formula>
    </cfRule>
  </conditionalFormatting>
  <conditionalFormatting sqref="C138">
    <cfRule type="cellIs" dxfId="5689" priority="410" stopIfTrue="1" operator="equal">
      <formula>"2 Add"</formula>
    </cfRule>
  </conditionalFormatting>
  <conditionalFormatting sqref="C138">
    <cfRule type="cellIs" dxfId="5688" priority="411" stopIfTrue="1" operator="equal">
      <formula>"3 Delete"</formula>
    </cfRule>
  </conditionalFormatting>
  <conditionalFormatting sqref="C139">
    <cfRule type="cellIs" dxfId="5687" priority="412" stopIfTrue="1" operator="equal">
      <formula>"1 Modify"</formula>
    </cfRule>
  </conditionalFormatting>
  <conditionalFormatting sqref="C139">
    <cfRule type="cellIs" dxfId="5686" priority="413" stopIfTrue="1" operator="equal">
      <formula>"2 Add"</formula>
    </cfRule>
  </conditionalFormatting>
  <conditionalFormatting sqref="C139">
    <cfRule type="cellIs" dxfId="5685" priority="414" stopIfTrue="1" operator="equal">
      <formula>"3 Delete"</formula>
    </cfRule>
  </conditionalFormatting>
  <conditionalFormatting sqref="C140">
    <cfRule type="cellIs" dxfId="5684" priority="415" stopIfTrue="1" operator="equal">
      <formula>"1 Modify"</formula>
    </cfRule>
  </conditionalFormatting>
  <conditionalFormatting sqref="C140">
    <cfRule type="cellIs" dxfId="5683" priority="416" stopIfTrue="1" operator="equal">
      <formula>"2 Add"</formula>
    </cfRule>
  </conditionalFormatting>
  <conditionalFormatting sqref="C140">
    <cfRule type="cellIs" dxfId="5682" priority="417" stopIfTrue="1" operator="equal">
      <formula>"3 Delete"</formula>
    </cfRule>
  </conditionalFormatting>
  <conditionalFormatting sqref="C141">
    <cfRule type="cellIs" dxfId="5681" priority="418" stopIfTrue="1" operator="equal">
      <formula>"1 Modify"</formula>
    </cfRule>
  </conditionalFormatting>
  <conditionalFormatting sqref="C141">
    <cfRule type="cellIs" dxfId="5680" priority="419" stopIfTrue="1" operator="equal">
      <formula>"2 Add"</formula>
    </cfRule>
  </conditionalFormatting>
  <conditionalFormatting sqref="C141">
    <cfRule type="cellIs" dxfId="5679" priority="420" stopIfTrue="1" operator="equal">
      <formula>"3 Delete"</formula>
    </cfRule>
  </conditionalFormatting>
  <conditionalFormatting sqref="C142">
    <cfRule type="cellIs" dxfId="5678" priority="421" stopIfTrue="1" operator="equal">
      <formula>"1 Modify"</formula>
    </cfRule>
  </conditionalFormatting>
  <conditionalFormatting sqref="C142">
    <cfRule type="cellIs" dxfId="5677" priority="422" stopIfTrue="1" operator="equal">
      <formula>"2 Add"</formula>
    </cfRule>
  </conditionalFormatting>
  <conditionalFormatting sqref="C142">
    <cfRule type="cellIs" dxfId="5676" priority="423" stopIfTrue="1" operator="equal">
      <formula>"3 Delete"</formula>
    </cfRule>
  </conditionalFormatting>
  <conditionalFormatting sqref="C143">
    <cfRule type="cellIs" dxfId="5675" priority="424" stopIfTrue="1" operator="equal">
      <formula>"1 Modify"</formula>
    </cfRule>
  </conditionalFormatting>
  <conditionalFormatting sqref="C143">
    <cfRule type="cellIs" dxfId="5674" priority="425" stopIfTrue="1" operator="equal">
      <formula>"2 Add"</formula>
    </cfRule>
  </conditionalFormatting>
  <conditionalFormatting sqref="C143">
    <cfRule type="cellIs" dxfId="5673" priority="426" stopIfTrue="1" operator="equal">
      <formula>"3 Delete"</formula>
    </cfRule>
  </conditionalFormatting>
  <conditionalFormatting sqref="C144">
    <cfRule type="cellIs" dxfId="5672" priority="427" stopIfTrue="1" operator="equal">
      <formula>"1 Modify"</formula>
    </cfRule>
  </conditionalFormatting>
  <conditionalFormatting sqref="C144">
    <cfRule type="cellIs" dxfId="5671" priority="428" stopIfTrue="1" operator="equal">
      <formula>"2 Add"</formula>
    </cfRule>
  </conditionalFormatting>
  <conditionalFormatting sqref="C144">
    <cfRule type="cellIs" dxfId="5670" priority="429" stopIfTrue="1" operator="equal">
      <formula>"3 Delete"</formula>
    </cfRule>
  </conditionalFormatting>
  <conditionalFormatting sqref="C145">
    <cfRule type="cellIs" dxfId="5669" priority="430" stopIfTrue="1" operator="equal">
      <formula>"1 Modify"</formula>
    </cfRule>
  </conditionalFormatting>
  <conditionalFormatting sqref="C145">
    <cfRule type="cellIs" dxfId="5668" priority="431" stopIfTrue="1" operator="equal">
      <formula>"2 Add"</formula>
    </cfRule>
  </conditionalFormatting>
  <conditionalFormatting sqref="C145">
    <cfRule type="cellIs" dxfId="5667" priority="432" stopIfTrue="1" operator="equal">
      <formula>"3 Delete"</formula>
    </cfRule>
  </conditionalFormatting>
  <conditionalFormatting sqref="C146">
    <cfRule type="cellIs" dxfId="5666" priority="433" stopIfTrue="1" operator="equal">
      <formula>"1 Modify"</formula>
    </cfRule>
  </conditionalFormatting>
  <conditionalFormatting sqref="C146">
    <cfRule type="cellIs" dxfId="5665" priority="434" stopIfTrue="1" operator="equal">
      <formula>"2 Add"</formula>
    </cfRule>
  </conditionalFormatting>
  <conditionalFormatting sqref="C146">
    <cfRule type="cellIs" dxfId="5664" priority="435" stopIfTrue="1" operator="equal">
      <formula>"3 Delete"</formula>
    </cfRule>
  </conditionalFormatting>
  <conditionalFormatting sqref="C147">
    <cfRule type="cellIs" dxfId="5663" priority="436" stopIfTrue="1" operator="equal">
      <formula>"1 Modify"</formula>
    </cfRule>
  </conditionalFormatting>
  <conditionalFormatting sqref="C147">
    <cfRule type="cellIs" dxfId="5662" priority="437" stopIfTrue="1" operator="equal">
      <formula>"2 Add"</formula>
    </cfRule>
  </conditionalFormatting>
  <conditionalFormatting sqref="C147">
    <cfRule type="cellIs" dxfId="5661" priority="438" stopIfTrue="1" operator="equal">
      <formula>"3 Delete"</formula>
    </cfRule>
  </conditionalFormatting>
  <conditionalFormatting sqref="C148">
    <cfRule type="cellIs" dxfId="5660" priority="439" stopIfTrue="1" operator="equal">
      <formula>"1 Modify"</formula>
    </cfRule>
  </conditionalFormatting>
  <conditionalFormatting sqref="C148">
    <cfRule type="cellIs" dxfId="5659" priority="440" stopIfTrue="1" operator="equal">
      <formula>"2 Add"</formula>
    </cfRule>
  </conditionalFormatting>
  <conditionalFormatting sqref="C148">
    <cfRule type="cellIs" dxfId="5658" priority="441" stopIfTrue="1" operator="equal">
      <formula>"3 Delete"</formula>
    </cfRule>
  </conditionalFormatting>
  <conditionalFormatting sqref="C149">
    <cfRule type="cellIs" dxfId="5657" priority="442" stopIfTrue="1" operator="equal">
      <formula>"1 Modify"</formula>
    </cfRule>
  </conditionalFormatting>
  <conditionalFormatting sqref="C149">
    <cfRule type="cellIs" dxfId="5656" priority="443" stopIfTrue="1" operator="equal">
      <formula>"2 Add"</formula>
    </cfRule>
  </conditionalFormatting>
  <conditionalFormatting sqref="C149">
    <cfRule type="cellIs" dxfId="5655" priority="444" stopIfTrue="1" operator="equal">
      <formula>"3 Delete"</formula>
    </cfRule>
  </conditionalFormatting>
  <conditionalFormatting sqref="C150">
    <cfRule type="cellIs" dxfId="5654" priority="445" stopIfTrue="1" operator="equal">
      <formula>"1 Modify"</formula>
    </cfRule>
  </conditionalFormatting>
  <conditionalFormatting sqref="C150">
    <cfRule type="cellIs" dxfId="5653" priority="446" stopIfTrue="1" operator="equal">
      <formula>"2 Add"</formula>
    </cfRule>
  </conditionalFormatting>
  <conditionalFormatting sqref="C150">
    <cfRule type="cellIs" dxfId="5652" priority="447" stopIfTrue="1" operator="equal">
      <formula>"3 Delete"</formula>
    </cfRule>
  </conditionalFormatting>
  <conditionalFormatting sqref="C151">
    <cfRule type="cellIs" dxfId="5651" priority="448" stopIfTrue="1" operator="equal">
      <formula>"1 Modify"</formula>
    </cfRule>
  </conditionalFormatting>
  <conditionalFormatting sqref="C151">
    <cfRule type="cellIs" dxfId="5650" priority="449" stopIfTrue="1" operator="equal">
      <formula>"2 Add"</formula>
    </cfRule>
  </conditionalFormatting>
  <conditionalFormatting sqref="C151">
    <cfRule type="cellIs" dxfId="5649" priority="450" stopIfTrue="1" operator="equal">
      <formula>"3 Delete"</formula>
    </cfRule>
  </conditionalFormatting>
  <conditionalFormatting sqref="C152">
    <cfRule type="cellIs" dxfId="5648" priority="451" stopIfTrue="1" operator="equal">
      <formula>"1 Modify"</formula>
    </cfRule>
  </conditionalFormatting>
  <conditionalFormatting sqref="C152">
    <cfRule type="cellIs" dxfId="5647" priority="452" stopIfTrue="1" operator="equal">
      <formula>"2 Add"</formula>
    </cfRule>
  </conditionalFormatting>
  <conditionalFormatting sqref="C152">
    <cfRule type="cellIs" dxfId="5646" priority="453" stopIfTrue="1" operator="equal">
      <formula>"3 Delete"</formula>
    </cfRule>
  </conditionalFormatting>
  <conditionalFormatting sqref="C153">
    <cfRule type="cellIs" dxfId="5645" priority="454" stopIfTrue="1" operator="equal">
      <formula>"1 Modify"</formula>
    </cfRule>
  </conditionalFormatting>
  <conditionalFormatting sqref="C153">
    <cfRule type="cellIs" dxfId="5644" priority="455" stopIfTrue="1" operator="equal">
      <formula>"2 Add"</formula>
    </cfRule>
  </conditionalFormatting>
  <conditionalFormatting sqref="C153">
    <cfRule type="cellIs" dxfId="5643" priority="456" stopIfTrue="1" operator="equal">
      <formula>"3 Delete"</formula>
    </cfRule>
  </conditionalFormatting>
  <conditionalFormatting sqref="C154">
    <cfRule type="cellIs" dxfId="5642" priority="457" stopIfTrue="1" operator="equal">
      <formula>"1 Modify"</formula>
    </cfRule>
  </conditionalFormatting>
  <conditionalFormatting sqref="C154">
    <cfRule type="cellIs" dxfId="5641" priority="458" stopIfTrue="1" operator="equal">
      <formula>"2 Add"</formula>
    </cfRule>
  </conditionalFormatting>
  <conditionalFormatting sqref="C154">
    <cfRule type="cellIs" dxfId="5640" priority="459" stopIfTrue="1" operator="equal">
      <formula>"3 Delete"</formula>
    </cfRule>
  </conditionalFormatting>
  <conditionalFormatting sqref="C155">
    <cfRule type="cellIs" dxfId="5639" priority="460" stopIfTrue="1" operator="equal">
      <formula>"1 Modify"</formula>
    </cfRule>
  </conditionalFormatting>
  <conditionalFormatting sqref="C155">
    <cfRule type="cellIs" dxfId="5638" priority="461" stopIfTrue="1" operator="equal">
      <formula>"2 Add"</formula>
    </cfRule>
  </conditionalFormatting>
  <conditionalFormatting sqref="C155">
    <cfRule type="cellIs" dxfId="5637" priority="462" stopIfTrue="1" operator="equal">
      <formula>"3 Delete"</formula>
    </cfRule>
  </conditionalFormatting>
  <conditionalFormatting sqref="C156">
    <cfRule type="cellIs" dxfId="5636" priority="463" stopIfTrue="1" operator="equal">
      <formula>"1 Modify"</formula>
    </cfRule>
  </conditionalFormatting>
  <conditionalFormatting sqref="C156">
    <cfRule type="cellIs" dxfId="5635" priority="464" stopIfTrue="1" operator="equal">
      <formula>"2 Add"</formula>
    </cfRule>
  </conditionalFormatting>
  <conditionalFormatting sqref="C156">
    <cfRule type="cellIs" dxfId="5634" priority="465" stopIfTrue="1" operator="equal">
      <formula>"3 Delete"</formula>
    </cfRule>
  </conditionalFormatting>
  <conditionalFormatting sqref="C157">
    <cfRule type="cellIs" dxfId="5633" priority="466" stopIfTrue="1" operator="equal">
      <formula>"1 Modify"</formula>
    </cfRule>
  </conditionalFormatting>
  <conditionalFormatting sqref="C157">
    <cfRule type="cellIs" dxfId="5632" priority="467" stopIfTrue="1" operator="equal">
      <formula>"2 Add"</formula>
    </cfRule>
  </conditionalFormatting>
  <conditionalFormatting sqref="C157">
    <cfRule type="cellIs" dxfId="5631" priority="468" stopIfTrue="1" operator="equal">
      <formula>"3 Delete"</formula>
    </cfRule>
  </conditionalFormatting>
  <conditionalFormatting sqref="C158">
    <cfRule type="cellIs" dxfId="5630" priority="469" stopIfTrue="1" operator="equal">
      <formula>"1 Modify"</formula>
    </cfRule>
  </conditionalFormatting>
  <conditionalFormatting sqref="C158">
    <cfRule type="cellIs" dxfId="5629" priority="470" stopIfTrue="1" operator="equal">
      <formula>"2 Add"</formula>
    </cfRule>
  </conditionalFormatting>
  <conditionalFormatting sqref="C158">
    <cfRule type="cellIs" dxfId="5628" priority="471" stopIfTrue="1" operator="equal">
      <formula>"3 Delete"</formula>
    </cfRule>
  </conditionalFormatting>
  <conditionalFormatting sqref="C159">
    <cfRule type="cellIs" dxfId="5627" priority="472" stopIfTrue="1" operator="equal">
      <formula>"1 Modify"</formula>
    </cfRule>
  </conditionalFormatting>
  <conditionalFormatting sqref="C159">
    <cfRule type="cellIs" dxfId="5626" priority="473" stopIfTrue="1" operator="equal">
      <formula>"2 Add"</formula>
    </cfRule>
  </conditionalFormatting>
  <conditionalFormatting sqref="C159">
    <cfRule type="cellIs" dxfId="5625" priority="474" stopIfTrue="1" operator="equal">
      <formula>"3 Delete"</formula>
    </cfRule>
  </conditionalFormatting>
  <conditionalFormatting sqref="C160">
    <cfRule type="cellIs" dxfId="5624" priority="475" stopIfTrue="1" operator="equal">
      <formula>"1 Modify"</formula>
    </cfRule>
  </conditionalFormatting>
  <conditionalFormatting sqref="C160">
    <cfRule type="cellIs" dxfId="5623" priority="476" stopIfTrue="1" operator="equal">
      <formula>"2 Add"</formula>
    </cfRule>
  </conditionalFormatting>
  <conditionalFormatting sqref="C160">
    <cfRule type="cellIs" dxfId="5622" priority="477" stopIfTrue="1" operator="equal">
      <formula>"3 Delete"</formula>
    </cfRule>
  </conditionalFormatting>
  <conditionalFormatting sqref="C161">
    <cfRule type="cellIs" dxfId="5621" priority="478" stopIfTrue="1" operator="equal">
      <formula>"1 Modify"</formula>
    </cfRule>
  </conditionalFormatting>
  <conditionalFormatting sqref="C161">
    <cfRule type="cellIs" dxfId="5620" priority="479" stopIfTrue="1" operator="equal">
      <formula>"2 Add"</formula>
    </cfRule>
  </conditionalFormatting>
  <conditionalFormatting sqref="C161">
    <cfRule type="cellIs" dxfId="5619" priority="480" stopIfTrue="1" operator="equal">
      <formula>"3 Delete"</formula>
    </cfRule>
  </conditionalFormatting>
  <conditionalFormatting sqref="C162">
    <cfRule type="cellIs" dxfId="5618" priority="481" stopIfTrue="1" operator="equal">
      <formula>"1 Modify"</formula>
    </cfRule>
  </conditionalFormatting>
  <conditionalFormatting sqref="C162">
    <cfRule type="cellIs" dxfId="5617" priority="482" stopIfTrue="1" operator="equal">
      <formula>"2 Add"</formula>
    </cfRule>
  </conditionalFormatting>
  <conditionalFormatting sqref="C162">
    <cfRule type="cellIs" dxfId="5616" priority="483" stopIfTrue="1" operator="equal">
      <formula>"3 Delete"</formula>
    </cfRule>
  </conditionalFormatting>
  <conditionalFormatting sqref="C163">
    <cfRule type="cellIs" dxfId="5615" priority="484" stopIfTrue="1" operator="equal">
      <formula>"1 Modify"</formula>
    </cfRule>
  </conditionalFormatting>
  <conditionalFormatting sqref="C163">
    <cfRule type="cellIs" dxfId="5614" priority="485" stopIfTrue="1" operator="equal">
      <formula>"2 Add"</formula>
    </cfRule>
  </conditionalFormatting>
  <conditionalFormatting sqref="C163">
    <cfRule type="cellIs" dxfId="5613" priority="486" stopIfTrue="1" operator="equal">
      <formula>"3 Delete"</formula>
    </cfRule>
  </conditionalFormatting>
  <conditionalFormatting sqref="C164">
    <cfRule type="cellIs" dxfId="5612" priority="487" stopIfTrue="1" operator="equal">
      <formula>"1 Modify"</formula>
    </cfRule>
  </conditionalFormatting>
  <conditionalFormatting sqref="C164">
    <cfRule type="cellIs" dxfId="5611" priority="488" stopIfTrue="1" operator="equal">
      <formula>"2 Add"</formula>
    </cfRule>
  </conditionalFormatting>
  <conditionalFormatting sqref="C164">
    <cfRule type="cellIs" dxfId="5610" priority="489" stopIfTrue="1" operator="equal">
      <formula>"3 Delete"</formula>
    </cfRule>
  </conditionalFormatting>
  <conditionalFormatting sqref="C165">
    <cfRule type="cellIs" dxfId="5609" priority="490" stopIfTrue="1" operator="equal">
      <formula>"1 Modify"</formula>
    </cfRule>
  </conditionalFormatting>
  <conditionalFormatting sqref="C165">
    <cfRule type="cellIs" dxfId="5608" priority="491" stopIfTrue="1" operator="equal">
      <formula>"2 Add"</formula>
    </cfRule>
  </conditionalFormatting>
  <conditionalFormatting sqref="C165">
    <cfRule type="cellIs" dxfId="5607" priority="492" stopIfTrue="1" operator="equal">
      <formula>"3 Delete"</formula>
    </cfRule>
  </conditionalFormatting>
  <conditionalFormatting sqref="C166">
    <cfRule type="cellIs" dxfId="5606" priority="493" stopIfTrue="1" operator="equal">
      <formula>"1 Modify"</formula>
    </cfRule>
  </conditionalFormatting>
  <conditionalFormatting sqref="C166">
    <cfRule type="cellIs" dxfId="5605" priority="494" stopIfTrue="1" operator="equal">
      <formula>"2 Add"</formula>
    </cfRule>
  </conditionalFormatting>
  <conditionalFormatting sqref="C166">
    <cfRule type="cellIs" dxfId="5604" priority="495" stopIfTrue="1" operator="equal">
      <formula>"3 Delete"</formula>
    </cfRule>
  </conditionalFormatting>
  <conditionalFormatting sqref="C167">
    <cfRule type="cellIs" dxfId="5603" priority="496" stopIfTrue="1" operator="equal">
      <formula>"1 Modify"</formula>
    </cfRule>
  </conditionalFormatting>
  <conditionalFormatting sqref="C167">
    <cfRule type="cellIs" dxfId="5602" priority="497" stopIfTrue="1" operator="equal">
      <formula>"2 Add"</formula>
    </cfRule>
  </conditionalFormatting>
  <conditionalFormatting sqref="C167">
    <cfRule type="cellIs" dxfId="5601" priority="498" stopIfTrue="1" operator="equal">
      <formula>"3 Delete"</formula>
    </cfRule>
  </conditionalFormatting>
  <conditionalFormatting sqref="C168">
    <cfRule type="cellIs" dxfId="5600" priority="499" stopIfTrue="1" operator="equal">
      <formula>"1 Modify"</formula>
    </cfRule>
  </conditionalFormatting>
  <conditionalFormatting sqref="C168">
    <cfRule type="cellIs" dxfId="5599" priority="500" stopIfTrue="1" operator="equal">
      <formula>"2 Add"</formula>
    </cfRule>
  </conditionalFormatting>
  <conditionalFormatting sqref="C168">
    <cfRule type="cellIs" dxfId="5598" priority="501" stopIfTrue="1" operator="equal">
      <formula>"3 Delete"</formula>
    </cfRule>
  </conditionalFormatting>
  <conditionalFormatting sqref="C169">
    <cfRule type="cellIs" dxfId="5597" priority="502" stopIfTrue="1" operator="equal">
      <formula>"1 Modify"</formula>
    </cfRule>
  </conditionalFormatting>
  <conditionalFormatting sqref="C169">
    <cfRule type="cellIs" dxfId="5596" priority="503" stopIfTrue="1" operator="equal">
      <formula>"2 Add"</formula>
    </cfRule>
  </conditionalFormatting>
  <conditionalFormatting sqref="C169">
    <cfRule type="cellIs" dxfId="5595" priority="504" stopIfTrue="1" operator="equal">
      <formula>"3 Delete"</formula>
    </cfRule>
  </conditionalFormatting>
  <conditionalFormatting sqref="C170">
    <cfRule type="cellIs" dxfId="5594" priority="505" stopIfTrue="1" operator="equal">
      <formula>"1 Modify"</formula>
    </cfRule>
  </conditionalFormatting>
  <conditionalFormatting sqref="C170">
    <cfRule type="cellIs" dxfId="5593" priority="506" stopIfTrue="1" operator="equal">
      <formula>"2 Add"</formula>
    </cfRule>
  </conditionalFormatting>
  <conditionalFormatting sqref="C170">
    <cfRule type="cellIs" dxfId="5592" priority="507" stopIfTrue="1" operator="equal">
      <formula>"3 Delete"</formula>
    </cfRule>
  </conditionalFormatting>
  <conditionalFormatting sqref="C171">
    <cfRule type="cellIs" dxfId="5591" priority="508" stopIfTrue="1" operator="equal">
      <formula>"1 Modify"</formula>
    </cfRule>
  </conditionalFormatting>
  <conditionalFormatting sqref="C171">
    <cfRule type="cellIs" dxfId="5590" priority="509" stopIfTrue="1" operator="equal">
      <formula>"2 Add"</formula>
    </cfRule>
  </conditionalFormatting>
  <conditionalFormatting sqref="C171">
    <cfRule type="cellIs" dxfId="5589" priority="510" stopIfTrue="1" operator="equal">
      <formula>"3 Delete"</formula>
    </cfRule>
  </conditionalFormatting>
  <conditionalFormatting sqref="C172">
    <cfRule type="cellIs" dxfId="5588" priority="511" stopIfTrue="1" operator="equal">
      <formula>"1 Modify"</formula>
    </cfRule>
  </conditionalFormatting>
  <conditionalFormatting sqref="C172">
    <cfRule type="cellIs" dxfId="5587" priority="512" stopIfTrue="1" operator="equal">
      <formula>"2 Add"</formula>
    </cfRule>
  </conditionalFormatting>
  <conditionalFormatting sqref="C172">
    <cfRule type="cellIs" dxfId="5586" priority="513" stopIfTrue="1" operator="equal">
      <formula>"3 Delete"</formula>
    </cfRule>
  </conditionalFormatting>
  <conditionalFormatting sqref="C173">
    <cfRule type="cellIs" dxfId="5585" priority="514" stopIfTrue="1" operator="equal">
      <formula>"1 Modify"</formula>
    </cfRule>
  </conditionalFormatting>
  <conditionalFormatting sqref="C173">
    <cfRule type="cellIs" dxfId="5584" priority="515" stopIfTrue="1" operator="equal">
      <formula>"2 Add"</formula>
    </cfRule>
  </conditionalFormatting>
  <conditionalFormatting sqref="C173">
    <cfRule type="cellIs" dxfId="5583" priority="516" stopIfTrue="1" operator="equal">
      <formula>"3 Delete"</formula>
    </cfRule>
  </conditionalFormatting>
  <conditionalFormatting sqref="C174">
    <cfRule type="cellIs" dxfId="5582" priority="517" stopIfTrue="1" operator="equal">
      <formula>"1 Modify"</formula>
    </cfRule>
  </conditionalFormatting>
  <conditionalFormatting sqref="C174">
    <cfRule type="cellIs" dxfId="5581" priority="518" stopIfTrue="1" operator="equal">
      <formula>"2 Add"</formula>
    </cfRule>
  </conditionalFormatting>
  <conditionalFormatting sqref="C174">
    <cfRule type="cellIs" dxfId="5580" priority="519" stopIfTrue="1" operator="equal">
      <formula>"3 Delete"</formula>
    </cfRule>
  </conditionalFormatting>
  <conditionalFormatting sqref="C175">
    <cfRule type="cellIs" dxfId="5579" priority="520" stopIfTrue="1" operator="equal">
      <formula>"1 Modify"</formula>
    </cfRule>
  </conditionalFormatting>
  <conditionalFormatting sqref="C175">
    <cfRule type="cellIs" dxfId="5578" priority="521" stopIfTrue="1" operator="equal">
      <formula>"2 Add"</formula>
    </cfRule>
  </conditionalFormatting>
  <conditionalFormatting sqref="C175">
    <cfRule type="cellIs" dxfId="5577" priority="522" stopIfTrue="1" operator="equal">
      <formula>"3 Delete"</formula>
    </cfRule>
  </conditionalFormatting>
  <conditionalFormatting sqref="C176">
    <cfRule type="cellIs" dxfId="5576" priority="523" stopIfTrue="1" operator="equal">
      <formula>"1 Modify"</formula>
    </cfRule>
  </conditionalFormatting>
  <conditionalFormatting sqref="C176">
    <cfRule type="cellIs" dxfId="5575" priority="524" stopIfTrue="1" operator="equal">
      <formula>"2 Add"</formula>
    </cfRule>
  </conditionalFormatting>
  <conditionalFormatting sqref="C176">
    <cfRule type="cellIs" dxfId="5574" priority="525" stopIfTrue="1" operator="equal">
      <formula>"3 Delete"</formula>
    </cfRule>
  </conditionalFormatting>
  <conditionalFormatting sqref="C177">
    <cfRule type="cellIs" dxfId="5573" priority="526" stopIfTrue="1" operator="equal">
      <formula>"1 Modify"</formula>
    </cfRule>
  </conditionalFormatting>
  <conditionalFormatting sqref="C177">
    <cfRule type="cellIs" dxfId="5572" priority="527" stopIfTrue="1" operator="equal">
      <formula>"2 Add"</formula>
    </cfRule>
  </conditionalFormatting>
  <conditionalFormatting sqref="C177">
    <cfRule type="cellIs" dxfId="5571" priority="528" stopIfTrue="1" operator="equal">
      <formula>"3 Delete"</formula>
    </cfRule>
  </conditionalFormatting>
  <conditionalFormatting sqref="C178">
    <cfRule type="cellIs" dxfId="5570" priority="529" stopIfTrue="1" operator="equal">
      <formula>"1 Modify"</formula>
    </cfRule>
  </conditionalFormatting>
  <conditionalFormatting sqref="C178">
    <cfRule type="cellIs" dxfId="5569" priority="530" stopIfTrue="1" operator="equal">
      <formula>"2 Add"</formula>
    </cfRule>
  </conditionalFormatting>
  <conditionalFormatting sqref="C178">
    <cfRule type="cellIs" dxfId="5568" priority="531" stopIfTrue="1" operator="equal">
      <formula>"3 Delete"</formula>
    </cfRule>
  </conditionalFormatting>
  <conditionalFormatting sqref="C179">
    <cfRule type="cellIs" dxfId="5567" priority="532" stopIfTrue="1" operator="equal">
      <formula>"1 Modify"</formula>
    </cfRule>
  </conditionalFormatting>
  <conditionalFormatting sqref="C179">
    <cfRule type="cellIs" dxfId="5566" priority="533" stopIfTrue="1" operator="equal">
      <formula>"2 Add"</formula>
    </cfRule>
  </conditionalFormatting>
  <conditionalFormatting sqref="C179">
    <cfRule type="cellIs" dxfId="5565" priority="534" stopIfTrue="1" operator="equal">
      <formula>"3 Delete"</formula>
    </cfRule>
  </conditionalFormatting>
  <conditionalFormatting sqref="C180">
    <cfRule type="cellIs" dxfId="5564" priority="535" stopIfTrue="1" operator="equal">
      <formula>"1 Modify"</formula>
    </cfRule>
  </conditionalFormatting>
  <conditionalFormatting sqref="C180">
    <cfRule type="cellIs" dxfId="5563" priority="536" stopIfTrue="1" operator="equal">
      <formula>"2 Add"</formula>
    </cfRule>
  </conditionalFormatting>
  <conditionalFormatting sqref="C180">
    <cfRule type="cellIs" dxfId="5562" priority="537" stopIfTrue="1" operator="equal">
      <formula>"3 Delete"</formula>
    </cfRule>
  </conditionalFormatting>
  <conditionalFormatting sqref="C181">
    <cfRule type="cellIs" dxfId="5561" priority="538" stopIfTrue="1" operator="equal">
      <formula>"1 Modify"</formula>
    </cfRule>
  </conditionalFormatting>
  <conditionalFormatting sqref="C181">
    <cfRule type="cellIs" dxfId="5560" priority="539" stopIfTrue="1" operator="equal">
      <formula>"2 Add"</formula>
    </cfRule>
  </conditionalFormatting>
  <conditionalFormatting sqref="C181">
    <cfRule type="cellIs" dxfId="5559" priority="540" stopIfTrue="1" operator="equal">
      <formula>"3 Delete"</formula>
    </cfRule>
  </conditionalFormatting>
  <conditionalFormatting sqref="C182">
    <cfRule type="cellIs" dxfId="5558" priority="541" stopIfTrue="1" operator="equal">
      <formula>"1 Modify"</formula>
    </cfRule>
  </conditionalFormatting>
  <conditionalFormatting sqref="C182">
    <cfRule type="cellIs" dxfId="5557" priority="542" stopIfTrue="1" operator="equal">
      <formula>"2 Add"</formula>
    </cfRule>
  </conditionalFormatting>
  <conditionalFormatting sqref="C182">
    <cfRule type="cellIs" dxfId="5556" priority="543" stopIfTrue="1" operator="equal">
      <formula>"3 Delete"</formula>
    </cfRule>
  </conditionalFormatting>
  <conditionalFormatting sqref="C183">
    <cfRule type="cellIs" dxfId="5555" priority="544" stopIfTrue="1" operator="equal">
      <formula>"1 Modify"</formula>
    </cfRule>
  </conditionalFormatting>
  <conditionalFormatting sqref="C183">
    <cfRule type="cellIs" dxfId="5554" priority="545" stopIfTrue="1" operator="equal">
      <formula>"2 Add"</formula>
    </cfRule>
  </conditionalFormatting>
  <conditionalFormatting sqref="C183">
    <cfRule type="cellIs" dxfId="5553" priority="546" stopIfTrue="1" operator="equal">
      <formula>"3 Delete"</formula>
    </cfRule>
  </conditionalFormatting>
  <conditionalFormatting sqref="C184">
    <cfRule type="cellIs" dxfId="5552" priority="547" stopIfTrue="1" operator="equal">
      <formula>"1 Modify"</formula>
    </cfRule>
  </conditionalFormatting>
  <conditionalFormatting sqref="C184">
    <cfRule type="cellIs" dxfId="5551" priority="548" stopIfTrue="1" operator="equal">
      <formula>"2 Add"</formula>
    </cfRule>
  </conditionalFormatting>
  <conditionalFormatting sqref="C184">
    <cfRule type="cellIs" dxfId="5550" priority="549" stopIfTrue="1" operator="equal">
      <formula>"3 Delete"</formula>
    </cfRule>
  </conditionalFormatting>
  <conditionalFormatting sqref="C185">
    <cfRule type="cellIs" dxfId="5549" priority="550" stopIfTrue="1" operator="equal">
      <formula>"1 Modify"</formula>
    </cfRule>
  </conditionalFormatting>
  <conditionalFormatting sqref="C185">
    <cfRule type="cellIs" dxfId="5548" priority="551" stopIfTrue="1" operator="equal">
      <formula>"2 Add"</formula>
    </cfRule>
  </conditionalFormatting>
  <conditionalFormatting sqref="C185">
    <cfRule type="cellIs" dxfId="5547" priority="552" stopIfTrue="1" operator="equal">
      <formula>"3 Delete"</formula>
    </cfRule>
  </conditionalFormatting>
  <conditionalFormatting sqref="C186">
    <cfRule type="cellIs" dxfId="5546" priority="553" stopIfTrue="1" operator="equal">
      <formula>"1 Modify"</formula>
    </cfRule>
  </conditionalFormatting>
  <conditionalFormatting sqref="C186">
    <cfRule type="cellIs" dxfId="5545" priority="554" stopIfTrue="1" operator="equal">
      <formula>"2 Add"</formula>
    </cfRule>
  </conditionalFormatting>
  <conditionalFormatting sqref="C186">
    <cfRule type="cellIs" dxfId="5544" priority="555" stopIfTrue="1" operator="equal">
      <formula>"3 Delete"</formula>
    </cfRule>
  </conditionalFormatting>
  <conditionalFormatting sqref="C187">
    <cfRule type="cellIs" dxfId="5543" priority="556" stopIfTrue="1" operator="equal">
      <formula>"1 Modify"</formula>
    </cfRule>
  </conditionalFormatting>
  <conditionalFormatting sqref="C187">
    <cfRule type="cellIs" dxfId="5542" priority="557" stopIfTrue="1" operator="equal">
      <formula>"2 Add"</formula>
    </cfRule>
  </conditionalFormatting>
  <conditionalFormatting sqref="C187">
    <cfRule type="cellIs" dxfId="5541" priority="558" stopIfTrue="1" operator="equal">
      <formula>"3 Delete"</formula>
    </cfRule>
  </conditionalFormatting>
  <conditionalFormatting sqref="C188">
    <cfRule type="cellIs" dxfId="5540" priority="559" stopIfTrue="1" operator="equal">
      <formula>"1 Modify"</formula>
    </cfRule>
  </conditionalFormatting>
  <conditionalFormatting sqref="C188">
    <cfRule type="cellIs" dxfId="5539" priority="560" stopIfTrue="1" operator="equal">
      <formula>"2 Add"</formula>
    </cfRule>
  </conditionalFormatting>
  <conditionalFormatting sqref="C188">
    <cfRule type="cellIs" dxfId="5538" priority="561" stopIfTrue="1" operator="equal">
      <formula>"3 Delete"</formula>
    </cfRule>
  </conditionalFormatting>
  <conditionalFormatting sqref="C189">
    <cfRule type="cellIs" dxfId="5537" priority="562" stopIfTrue="1" operator="equal">
      <formula>"1 Modify"</formula>
    </cfRule>
  </conditionalFormatting>
  <conditionalFormatting sqref="C189">
    <cfRule type="cellIs" dxfId="5536" priority="563" stopIfTrue="1" operator="equal">
      <formula>"2 Add"</formula>
    </cfRule>
  </conditionalFormatting>
  <conditionalFormatting sqref="C189">
    <cfRule type="cellIs" dxfId="5535" priority="564" stopIfTrue="1" operator="equal">
      <formula>"3 Delete"</formula>
    </cfRule>
  </conditionalFormatting>
  <conditionalFormatting sqref="C190">
    <cfRule type="cellIs" dxfId="5534" priority="565" stopIfTrue="1" operator="equal">
      <formula>"1 Modify"</formula>
    </cfRule>
  </conditionalFormatting>
  <conditionalFormatting sqref="C190">
    <cfRule type="cellIs" dxfId="5533" priority="566" stopIfTrue="1" operator="equal">
      <formula>"2 Add"</formula>
    </cfRule>
  </conditionalFormatting>
  <conditionalFormatting sqref="C190">
    <cfRule type="cellIs" dxfId="5532" priority="567" stopIfTrue="1" operator="equal">
      <formula>"3 Delete"</formula>
    </cfRule>
  </conditionalFormatting>
  <conditionalFormatting sqref="C191">
    <cfRule type="cellIs" dxfId="5531" priority="568" stopIfTrue="1" operator="equal">
      <formula>"1 Modify"</formula>
    </cfRule>
  </conditionalFormatting>
  <conditionalFormatting sqref="C191">
    <cfRule type="cellIs" dxfId="5530" priority="569" stopIfTrue="1" operator="equal">
      <formula>"2 Add"</formula>
    </cfRule>
  </conditionalFormatting>
  <conditionalFormatting sqref="C191">
    <cfRule type="cellIs" dxfId="5529" priority="570" stopIfTrue="1" operator="equal">
      <formula>"3 Delete"</formula>
    </cfRule>
  </conditionalFormatting>
  <conditionalFormatting sqref="C192">
    <cfRule type="cellIs" dxfId="5528" priority="571" stopIfTrue="1" operator="equal">
      <formula>"1 Modify"</formula>
    </cfRule>
  </conditionalFormatting>
  <conditionalFormatting sqref="C192">
    <cfRule type="cellIs" dxfId="5527" priority="572" stopIfTrue="1" operator="equal">
      <formula>"2 Add"</formula>
    </cfRule>
  </conditionalFormatting>
  <conditionalFormatting sqref="C192">
    <cfRule type="cellIs" dxfId="5526" priority="573" stopIfTrue="1" operator="equal">
      <formula>"3 Delete"</formula>
    </cfRule>
  </conditionalFormatting>
  <conditionalFormatting sqref="C193">
    <cfRule type="cellIs" dxfId="5525" priority="574" stopIfTrue="1" operator="equal">
      <formula>"1 Modify"</formula>
    </cfRule>
  </conditionalFormatting>
  <conditionalFormatting sqref="C193">
    <cfRule type="cellIs" dxfId="5524" priority="575" stopIfTrue="1" operator="equal">
      <formula>"2 Add"</formula>
    </cfRule>
  </conditionalFormatting>
  <conditionalFormatting sqref="C193">
    <cfRule type="cellIs" dxfId="5523" priority="576" stopIfTrue="1" operator="equal">
      <formula>"3 Delete"</formula>
    </cfRule>
  </conditionalFormatting>
  <conditionalFormatting sqref="C194">
    <cfRule type="cellIs" dxfId="5522" priority="577" stopIfTrue="1" operator="equal">
      <formula>"1 Modify"</formula>
    </cfRule>
  </conditionalFormatting>
  <conditionalFormatting sqref="C194">
    <cfRule type="cellIs" dxfId="5521" priority="578" stopIfTrue="1" operator="equal">
      <formula>"2 Add"</formula>
    </cfRule>
  </conditionalFormatting>
  <conditionalFormatting sqref="C194">
    <cfRule type="cellIs" dxfId="5520" priority="579" stopIfTrue="1" operator="equal">
      <formula>"3 Delete"</formula>
    </cfRule>
  </conditionalFormatting>
  <conditionalFormatting sqref="C195">
    <cfRule type="cellIs" dxfId="5519" priority="580" stopIfTrue="1" operator="equal">
      <formula>"1 Modify"</formula>
    </cfRule>
  </conditionalFormatting>
  <conditionalFormatting sqref="C195">
    <cfRule type="cellIs" dxfId="5518" priority="581" stopIfTrue="1" operator="equal">
      <formula>"2 Add"</formula>
    </cfRule>
  </conditionalFormatting>
  <conditionalFormatting sqref="C195">
    <cfRule type="cellIs" dxfId="5517" priority="582" stopIfTrue="1" operator="equal">
      <formula>"3 Delete"</formula>
    </cfRule>
  </conditionalFormatting>
  <conditionalFormatting sqref="C196">
    <cfRule type="cellIs" dxfId="5516" priority="583" stopIfTrue="1" operator="equal">
      <formula>"1 Modify"</formula>
    </cfRule>
  </conditionalFormatting>
  <conditionalFormatting sqref="C196">
    <cfRule type="cellIs" dxfId="5515" priority="584" stopIfTrue="1" operator="equal">
      <formula>"2 Add"</formula>
    </cfRule>
  </conditionalFormatting>
  <conditionalFormatting sqref="C196">
    <cfRule type="cellIs" dxfId="5514" priority="585" stopIfTrue="1" operator="equal">
      <formula>"3 Delete"</formula>
    </cfRule>
  </conditionalFormatting>
  <conditionalFormatting sqref="C197">
    <cfRule type="cellIs" dxfId="5513" priority="586" stopIfTrue="1" operator="equal">
      <formula>"1 Modify"</formula>
    </cfRule>
  </conditionalFormatting>
  <conditionalFormatting sqref="C197">
    <cfRule type="cellIs" dxfId="5512" priority="587" stopIfTrue="1" operator="equal">
      <formula>"2 Add"</formula>
    </cfRule>
  </conditionalFormatting>
  <conditionalFormatting sqref="C197">
    <cfRule type="cellIs" dxfId="5511" priority="588" stopIfTrue="1" operator="equal">
      <formula>"3 Delete"</formula>
    </cfRule>
  </conditionalFormatting>
  <conditionalFormatting sqref="C198">
    <cfRule type="cellIs" dxfId="5510" priority="589" stopIfTrue="1" operator="equal">
      <formula>"1 Modify"</formula>
    </cfRule>
  </conditionalFormatting>
  <conditionalFormatting sqref="C198">
    <cfRule type="cellIs" dxfId="5509" priority="590" stopIfTrue="1" operator="equal">
      <formula>"2 Add"</formula>
    </cfRule>
  </conditionalFormatting>
  <conditionalFormatting sqref="C198">
    <cfRule type="cellIs" dxfId="5508" priority="591" stopIfTrue="1" operator="equal">
      <formula>"3 Delete"</formula>
    </cfRule>
  </conditionalFormatting>
  <conditionalFormatting sqref="C199">
    <cfRule type="cellIs" dxfId="5507" priority="592" stopIfTrue="1" operator="equal">
      <formula>"1 Modify"</formula>
    </cfRule>
  </conditionalFormatting>
  <conditionalFormatting sqref="C199">
    <cfRule type="cellIs" dxfId="5506" priority="593" stopIfTrue="1" operator="equal">
      <formula>"2 Add"</formula>
    </cfRule>
  </conditionalFormatting>
  <conditionalFormatting sqref="C199">
    <cfRule type="cellIs" dxfId="5505" priority="594" stopIfTrue="1" operator="equal">
      <formula>"3 Delete"</formula>
    </cfRule>
  </conditionalFormatting>
  <conditionalFormatting sqref="C200">
    <cfRule type="cellIs" dxfId="5504" priority="595" stopIfTrue="1" operator="equal">
      <formula>"1 Modify"</formula>
    </cfRule>
  </conditionalFormatting>
  <conditionalFormatting sqref="C200">
    <cfRule type="cellIs" dxfId="5503" priority="596" stopIfTrue="1" operator="equal">
      <formula>"2 Add"</formula>
    </cfRule>
  </conditionalFormatting>
  <conditionalFormatting sqref="C200">
    <cfRule type="cellIs" dxfId="5502" priority="597" stopIfTrue="1" operator="equal">
      <formula>"3 Delete"</formula>
    </cfRule>
  </conditionalFormatting>
  <conditionalFormatting sqref="C201">
    <cfRule type="cellIs" dxfId="5501" priority="598" stopIfTrue="1" operator="equal">
      <formula>"1 Modify"</formula>
    </cfRule>
  </conditionalFormatting>
  <conditionalFormatting sqref="C201">
    <cfRule type="cellIs" dxfId="5500" priority="599" stopIfTrue="1" operator="equal">
      <formula>"2 Add"</formula>
    </cfRule>
  </conditionalFormatting>
  <conditionalFormatting sqref="C201">
    <cfRule type="cellIs" dxfId="5499" priority="600" stopIfTrue="1" operator="equal">
      <formula>"3 Delete"</formula>
    </cfRule>
  </conditionalFormatting>
  <conditionalFormatting sqref="C202">
    <cfRule type="cellIs" dxfId="5498" priority="601" stopIfTrue="1" operator="equal">
      <formula>"1 Modify"</formula>
    </cfRule>
  </conditionalFormatting>
  <conditionalFormatting sqref="C202">
    <cfRule type="cellIs" dxfId="5497" priority="602" stopIfTrue="1" operator="equal">
      <formula>"2 Add"</formula>
    </cfRule>
  </conditionalFormatting>
  <conditionalFormatting sqref="C202">
    <cfRule type="cellIs" dxfId="5496" priority="603" stopIfTrue="1" operator="equal">
      <formula>"3 Delete"</formula>
    </cfRule>
  </conditionalFormatting>
  <conditionalFormatting sqref="C203">
    <cfRule type="cellIs" dxfId="5495" priority="604" stopIfTrue="1" operator="equal">
      <formula>"1 Modify"</formula>
    </cfRule>
  </conditionalFormatting>
  <conditionalFormatting sqref="C203">
    <cfRule type="cellIs" dxfId="5494" priority="605" stopIfTrue="1" operator="equal">
      <formula>"2 Add"</formula>
    </cfRule>
  </conditionalFormatting>
  <conditionalFormatting sqref="C203">
    <cfRule type="cellIs" dxfId="5493" priority="606" stopIfTrue="1" operator="equal">
      <formula>"3 Delete"</formula>
    </cfRule>
  </conditionalFormatting>
  <conditionalFormatting sqref="C204">
    <cfRule type="cellIs" dxfId="5492" priority="607" stopIfTrue="1" operator="equal">
      <formula>"1 Modify"</formula>
    </cfRule>
  </conditionalFormatting>
  <conditionalFormatting sqref="C204">
    <cfRule type="cellIs" dxfId="5491" priority="608" stopIfTrue="1" operator="equal">
      <formula>"2 Add"</formula>
    </cfRule>
  </conditionalFormatting>
  <conditionalFormatting sqref="C204">
    <cfRule type="cellIs" dxfId="5490" priority="609" stopIfTrue="1" operator="equal">
      <formula>"3 Delete"</formula>
    </cfRule>
  </conditionalFormatting>
  <conditionalFormatting sqref="C205">
    <cfRule type="cellIs" dxfId="5489" priority="610" stopIfTrue="1" operator="equal">
      <formula>"1 Modify"</formula>
    </cfRule>
  </conditionalFormatting>
  <conditionalFormatting sqref="C205">
    <cfRule type="cellIs" dxfId="5488" priority="611" stopIfTrue="1" operator="equal">
      <formula>"2 Add"</formula>
    </cfRule>
  </conditionalFormatting>
  <conditionalFormatting sqref="C205">
    <cfRule type="cellIs" dxfId="5487" priority="612" stopIfTrue="1" operator="equal">
      <formula>"3 Delete"</formula>
    </cfRule>
  </conditionalFormatting>
  <conditionalFormatting sqref="C206">
    <cfRule type="cellIs" dxfId="5486" priority="613" stopIfTrue="1" operator="equal">
      <formula>"1 Modify"</formula>
    </cfRule>
  </conditionalFormatting>
  <conditionalFormatting sqref="C206">
    <cfRule type="cellIs" dxfId="5485" priority="614" stopIfTrue="1" operator="equal">
      <formula>"2 Add"</formula>
    </cfRule>
  </conditionalFormatting>
  <conditionalFormatting sqref="C206">
    <cfRule type="cellIs" dxfId="5484" priority="615" stopIfTrue="1" operator="equal">
      <formula>"3 Delete"</formula>
    </cfRule>
  </conditionalFormatting>
  <conditionalFormatting sqref="C207">
    <cfRule type="cellIs" dxfId="5483" priority="616" stopIfTrue="1" operator="equal">
      <formula>"1 Modify"</formula>
    </cfRule>
  </conditionalFormatting>
  <conditionalFormatting sqref="C207">
    <cfRule type="cellIs" dxfId="5482" priority="617" stopIfTrue="1" operator="equal">
      <formula>"2 Add"</formula>
    </cfRule>
  </conditionalFormatting>
  <conditionalFormatting sqref="C207">
    <cfRule type="cellIs" dxfId="5481" priority="618" stopIfTrue="1" operator="equal">
      <formula>"3 Delete"</formula>
    </cfRule>
  </conditionalFormatting>
  <conditionalFormatting sqref="C208">
    <cfRule type="cellIs" dxfId="5480" priority="619" stopIfTrue="1" operator="equal">
      <formula>"1 Modify"</formula>
    </cfRule>
  </conditionalFormatting>
  <conditionalFormatting sqref="C208">
    <cfRule type="cellIs" dxfId="5479" priority="620" stopIfTrue="1" operator="equal">
      <formula>"2 Add"</formula>
    </cfRule>
  </conditionalFormatting>
  <conditionalFormatting sqref="C208">
    <cfRule type="cellIs" dxfId="5478" priority="621" stopIfTrue="1" operator="equal">
      <formula>"3 Delete"</formula>
    </cfRule>
  </conditionalFormatting>
  <conditionalFormatting sqref="C209">
    <cfRule type="cellIs" dxfId="5477" priority="622" stopIfTrue="1" operator="equal">
      <formula>"1 Modify"</formula>
    </cfRule>
  </conditionalFormatting>
  <conditionalFormatting sqref="C209">
    <cfRule type="cellIs" dxfId="5476" priority="623" stopIfTrue="1" operator="equal">
      <formula>"2 Add"</formula>
    </cfRule>
  </conditionalFormatting>
  <conditionalFormatting sqref="C209">
    <cfRule type="cellIs" dxfId="5475" priority="624" stopIfTrue="1" operator="equal">
      <formula>"3 Delete"</formula>
    </cfRule>
  </conditionalFormatting>
  <conditionalFormatting sqref="C210">
    <cfRule type="cellIs" dxfId="5474" priority="625" stopIfTrue="1" operator="equal">
      <formula>"1 Modify"</formula>
    </cfRule>
  </conditionalFormatting>
  <conditionalFormatting sqref="C210">
    <cfRule type="cellIs" dxfId="5473" priority="626" stopIfTrue="1" operator="equal">
      <formula>"2 Add"</formula>
    </cfRule>
  </conditionalFormatting>
  <conditionalFormatting sqref="C210">
    <cfRule type="cellIs" dxfId="5472" priority="627" stopIfTrue="1" operator="equal">
      <formula>"3 Delete"</formula>
    </cfRule>
  </conditionalFormatting>
  <conditionalFormatting sqref="C211">
    <cfRule type="cellIs" dxfId="5471" priority="628" stopIfTrue="1" operator="equal">
      <formula>"1 Modify"</formula>
    </cfRule>
  </conditionalFormatting>
  <conditionalFormatting sqref="C211">
    <cfRule type="cellIs" dxfId="5470" priority="629" stopIfTrue="1" operator="equal">
      <formula>"2 Add"</formula>
    </cfRule>
  </conditionalFormatting>
  <conditionalFormatting sqref="C211">
    <cfRule type="cellIs" dxfId="5469" priority="630" stopIfTrue="1" operator="equal">
      <formula>"3 Delete"</formula>
    </cfRule>
  </conditionalFormatting>
  <conditionalFormatting sqref="C212">
    <cfRule type="cellIs" dxfId="5468" priority="631" stopIfTrue="1" operator="equal">
      <formula>"1 Modify"</formula>
    </cfRule>
  </conditionalFormatting>
  <conditionalFormatting sqref="C212">
    <cfRule type="cellIs" dxfId="5467" priority="632" stopIfTrue="1" operator="equal">
      <formula>"2 Add"</formula>
    </cfRule>
  </conditionalFormatting>
  <conditionalFormatting sqref="C212">
    <cfRule type="cellIs" dxfId="5466" priority="633" stopIfTrue="1" operator="equal">
      <formula>"3 Delete"</formula>
    </cfRule>
  </conditionalFormatting>
  <conditionalFormatting sqref="C213">
    <cfRule type="cellIs" dxfId="5465" priority="634" stopIfTrue="1" operator="equal">
      <formula>"1 Modify"</formula>
    </cfRule>
  </conditionalFormatting>
  <conditionalFormatting sqref="C213">
    <cfRule type="cellIs" dxfId="5464" priority="635" stopIfTrue="1" operator="equal">
      <formula>"2 Add"</formula>
    </cfRule>
  </conditionalFormatting>
  <conditionalFormatting sqref="C213">
    <cfRule type="cellIs" dxfId="5463" priority="636" stopIfTrue="1" operator="equal">
      <formula>"3 Delete"</formula>
    </cfRule>
  </conditionalFormatting>
  <conditionalFormatting sqref="C214">
    <cfRule type="cellIs" dxfId="5462" priority="637" stopIfTrue="1" operator="equal">
      <formula>"1 Modify"</formula>
    </cfRule>
  </conditionalFormatting>
  <conditionalFormatting sqref="C214">
    <cfRule type="cellIs" dxfId="5461" priority="638" stopIfTrue="1" operator="equal">
      <formula>"2 Add"</formula>
    </cfRule>
  </conditionalFormatting>
  <conditionalFormatting sqref="C214">
    <cfRule type="cellIs" dxfId="5460" priority="639" stopIfTrue="1" operator="equal">
      <formula>"3 Delete"</formula>
    </cfRule>
  </conditionalFormatting>
  <conditionalFormatting sqref="C215">
    <cfRule type="cellIs" dxfId="5459" priority="640" stopIfTrue="1" operator="equal">
      <formula>"1 Modify"</formula>
    </cfRule>
  </conditionalFormatting>
  <conditionalFormatting sqref="C215">
    <cfRule type="cellIs" dxfId="5458" priority="641" stopIfTrue="1" operator="equal">
      <formula>"2 Add"</formula>
    </cfRule>
  </conditionalFormatting>
  <conditionalFormatting sqref="C215">
    <cfRule type="cellIs" dxfId="5457" priority="642" stopIfTrue="1" operator="equal">
      <formula>"3 Delete"</formula>
    </cfRule>
  </conditionalFormatting>
  <conditionalFormatting sqref="C216">
    <cfRule type="cellIs" dxfId="5456" priority="643" stopIfTrue="1" operator="equal">
      <formula>"1 Modify"</formula>
    </cfRule>
  </conditionalFormatting>
  <conditionalFormatting sqref="C216">
    <cfRule type="cellIs" dxfId="5455" priority="644" stopIfTrue="1" operator="equal">
      <formula>"2 Add"</formula>
    </cfRule>
  </conditionalFormatting>
  <conditionalFormatting sqref="C216">
    <cfRule type="cellIs" dxfId="5454" priority="645" stopIfTrue="1" operator="equal">
      <formula>"3 Delete"</formula>
    </cfRule>
  </conditionalFormatting>
  <conditionalFormatting sqref="C217">
    <cfRule type="cellIs" dxfId="5453" priority="646" stopIfTrue="1" operator="equal">
      <formula>"1 Modify"</formula>
    </cfRule>
  </conditionalFormatting>
  <conditionalFormatting sqref="C217">
    <cfRule type="cellIs" dxfId="5452" priority="647" stopIfTrue="1" operator="equal">
      <formula>"2 Add"</formula>
    </cfRule>
  </conditionalFormatting>
  <conditionalFormatting sqref="C217">
    <cfRule type="cellIs" dxfId="5451" priority="648" stopIfTrue="1" operator="equal">
      <formula>"3 Delete"</formula>
    </cfRule>
  </conditionalFormatting>
  <conditionalFormatting sqref="C218">
    <cfRule type="cellIs" dxfId="5450" priority="649" stopIfTrue="1" operator="equal">
      <formula>"1 Modify"</formula>
    </cfRule>
  </conditionalFormatting>
  <conditionalFormatting sqref="C218">
    <cfRule type="cellIs" dxfId="5449" priority="650" stopIfTrue="1" operator="equal">
      <formula>"2 Add"</formula>
    </cfRule>
  </conditionalFormatting>
  <conditionalFormatting sqref="C218">
    <cfRule type="cellIs" dxfId="5448" priority="651" stopIfTrue="1" operator="equal">
      <formula>"3 Delete"</formula>
    </cfRule>
  </conditionalFormatting>
  <conditionalFormatting sqref="C219">
    <cfRule type="cellIs" dxfId="5447" priority="652" stopIfTrue="1" operator="equal">
      <formula>"1 Modify"</formula>
    </cfRule>
  </conditionalFormatting>
  <conditionalFormatting sqref="C219">
    <cfRule type="cellIs" dxfId="5446" priority="653" stopIfTrue="1" operator="equal">
      <formula>"2 Add"</formula>
    </cfRule>
  </conditionalFormatting>
  <conditionalFormatting sqref="C219">
    <cfRule type="cellIs" dxfId="5445" priority="654" stopIfTrue="1" operator="equal">
      <formula>"3 Delete"</formula>
    </cfRule>
  </conditionalFormatting>
  <conditionalFormatting sqref="C220">
    <cfRule type="cellIs" dxfId="5444" priority="655" stopIfTrue="1" operator="equal">
      <formula>"1 Modify"</formula>
    </cfRule>
  </conditionalFormatting>
  <conditionalFormatting sqref="C220">
    <cfRule type="cellIs" dxfId="5443" priority="656" stopIfTrue="1" operator="equal">
      <formula>"2 Add"</formula>
    </cfRule>
  </conditionalFormatting>
  <conditionalFormatting sqref="C220">
    <cfRule type="cellIs" dxfId="5442" priority="657" stopIfTrue="1" operator="equal">
      <formula>"3 Delete"</formula>
    </cfRule>
  </conditionalFormatting>
  <conditionalFormatting sqref="C221">
    <cfRule type="cellIs" dxfId="5441" priority="658" stopIfTrue="1" operator="equal">
      <formula>"1 Modify"</formula>
    </cfRule>
  </conditionalFormatting>
  <conditionalFormatting sqref="C221">
    <cfRule type="cellIs" dxfId="5440" priority="659" stopIfTrue="1" operator="equal">
      <formula>"2 Add"</formula>
    </cfRule>
  </conditionalFormatting>
  <conditionalFormatting sqref="C221">
    <cfRule type="cellIs" dxfId="5439" priority="660" stopIfTrue="1" operator="equal">
      <formula>"3 Delete"</formula>
    </cfRule>
  </conditionalFormatting>
  <conditionalFormatting sqref="C222">
    <cfRule type="cellIs" dxfId="5438" priority="661" stopIfTrue="1" operator="equal">
      <formula>"1 Modify"</formula>
    </cfRule>
  </conditionalFormatting>
  <conditionalFormatting sqref="C222">
    <cfRule type="cellIs" dxfId="5437" priority="662" stopIfTrue="1" operator="equal">
      <formula>"2 Add"</formula>
    </cfRule>
  </conditionalFormatting>
  <conditionalFormatting sqref="C222">
    <cfRule type="cellIs" dxfId="5436" priority="663" stopIfTrue="1" operator="equal">
      <formula>"3 Delete"</formula>
    </cfRule>
  </conditionalFormatting>
  <conditionalFormatting sqref="C223">
    <cfRule type="cellIs" dxfId="5435" priority="664" stopIfTrue="1" operator="equal">
      <formula>"1 Modify"</formula>
    </cfRule>
  </conditionalFormatting>
  <conditionalFormatting sqref="C223">
    <cfRule type="cellIs" dxfId="5434" priority="665" stopIfTrue="1" operator="equal">
      <formula>"2 Add"</formula>
    </cfRule>
  </conditionalFormatting>
  <conditionalFormatting sqref="C223">
    <cfRule type="cellIs" dxfId="5433" priority="666" stopIfTrue="1" operator="equal">
      <formula>"3 Delete"</formula>
    </cfRule>
  </conditionalFormatting>
  <conditionalFormatting sqref="C224">
    <cfRule type="cellIs" dxfId="5432" priority="667" stopIfTrue="1" operator="equal">
      <formula>"1 Modify"</formula>
    </cfRule>
  </conditionalFormatting>
  <conditionalFormatting sqref="C224">
    <cfRule type="cellIs" dxfId="5431" priority="668" stopIfTrue="1" operator="equal">
      <formula>"2 Add"</formula>
    </cfRule>
  </conditionalFormatting>
  <conditionalFormatting sqref="C224">
    <cfRule type="cellIs" dxfId="5430" priority="669" stopIfTrue="1" operator="equal">
      <formula>"3 Delete"</formula>
    </cfRule>
  </conditionalFormatting>
  <conditionalFormatting sqref="C225">
    <cfRule type="cellIs" dxfId="5429" priority="670" stopIfTrue="1" operator="equal">
      <formula>"1 Modify"</formula>
    </cfRule>
  </conditionalFormatting>
  <conditionalFormatting sqref="C225">
    <cfRule type="cellIs" dxfId="5428" priority="671" stopIfTrue="1" operator="equal">
      <formula>"2 Add"</formula>
    </cfRule>
  </conditionalFormatting>
  <conditionalFormatting sqref="C225">
    <cfRule type="cellIs" dxfId="5427" priority="672" stopIfTrue="1" operator="equal">
      <formula>"3 Delete"</formula>
    </cfRule>
  </conditionalFormatting>
  <conditionalFormatting sqref="C226">
    <cfRule type="cellIs" dxfId="5426" priority="673" stopIfTrue="1" operator="equal">
      <formula>"1 Modify"</formula>
    </cfRule>
  </conditionalFormatting>
  <conditionalFormatting sqref="C226">
    <cfRule type="cellIs" dxfId="5425" priority="674" stopIfTrue="1" operator="equal">
      <formula>"2 Add"</formula>
    </cfRule>
  </conditionalFormatting>
  <conditionalFormatting sqref="C226">
    <cfRule type="cellIs" dxfId="5424" priority="675" stopIfTrue="1" operator="equal">
      <formula>"3 Delete"</formula>
    </cfRule>
  </conditionalFormatting>
  <conditionalFormatting sqref="C227">
    <cfRule type="cellIs" dxfId="5423" priority="676" stopIfTrue="1" operator="equal">
      <formula>"1 Modify"</formula>
    </cfRule>
  </conditionalFormatting>
  <conditionalFormatting sqref="C227">
    <cfRule type="cellIs" dxfId="5422" priority="677" stopIfTrue="1" operator="equal">
      <formula>"2 Add"</formula>
    </cfRule>
  </conditionalFormatting>
  <conditionalFormatting sqref="C227">
    <cfRule type="cellIs" dxfId="5421" priority="678" stopIfTrue="1" operator="equal">
      <formula>"3 Delete"</formula>
    </cfRule>
  </conditionalFormatting>
  <conditionalFormatting sqref="C228">
    <cfRule type="cellIs" dxfId="5420" priority="679" stopIfTrue="1" operator="equal">
      <formula>"1 Modify"</formula>
    </cfRule>
  </conditionalFormatting>
  <conditionalFormatting sqref="C228">
    <cfRule type="cellIs" dxfId="5419" priority="680" stopIfTrue="1" operator="equal">
      <formula>"2 Add"</formula>
    </cfRule>
  </conditionalFormatting>
  <conditionalFormatting sqref="C228">
    <cfRule type="cellIs" dxfId="5418" priority="681" stopIfTrue="1" operator="equal">
      <formula>"3 Delete"</formula>
    </cfRule>
  </conditionalFormatting>
  <conditionalFormatting sqref="C229">
    <cfRule type="cellIs" dxfId="5417" priority="682" stopIfTrue="1" operator="equal">
      <formula>"1 Modify"</formula>
    </cfRule>
  </conditionalFormatting>
  <conditionalFormatting sqref="C229">
    <cfRule type="cellIs" dxfId="5416" priority="683" stopIfTrue="1" operator="equal">
      <formula>"2 Add"</formula>
    </cfRule>
  </conditionalFormatting>
  <conditionalFormatting sqref="C229">
    <cfRule type="cellIs" dxfId="5415" priority="684" stopIfTrue="1" operator="equal">
      <formula>"3 Delete"</formula>
    </cfRule>
  </conditionalFormatting>
  <conditionalFormatting sqref="C230">
    <cfRule type="cellIs" dxfId="5414" priority="685" stopIfTrue="1" operator="equal">
      <formula>"1 Modify"</formula>
    </cfRule>
  </conditionalFormatting>
  <conditionalFormatting sqref="C230">
    <cfRule type="cellIs" dxfId="5413" priority="686" stopIfTrue="1" operator="equal">
      <formula>"2 Add"</formula>
    </cfRule>
  </conditionalFormatting>
  <conditionalFormatting sqref="C230">
    <cfRule type="cellIs" dxfId="5412" priority="687" stopIfTrue="1" operator="equal">
      <formula>"3 Delete"</formula>
    </cfRule>
  </conditionalFormatting>
  <conditionalFormatting sqref="C231">
    <cfRule type="cellIs" dxfId="5411" priority="688" stopIfTrue="1" operator="equal">
      <formula>"1 Modify"</formula>
    </cfRule>
  </conditionalFormatting>
  <conditionalFormatting sqref="C231">
    <cfRule type="cellIs" dxfId="5410" priority="689" stopIfTrue="1" operator="equal">
      <formula>"2 Add"</formula>
    </cfRule>
  </conditionalFormatting>
  <conditionalFormatting sqref="C231">
    <cfRule type="cellIs" dxfId="5409" priority="690" stopIfTrue="1" operator="equal">
      <formula>"3 Delete"</formula>
    </cfRule>
  </conditionalFormatting>
  <conditionalFormatting sqref="C232">
    <cfRule type="cellIs" dxfId="5408" priority="691" stopIfTrue="1" operator="equal">
      <formula>"1 Modify"</formula>
    </cfRule>
  </conditionalFormatting>
  <conditionalFormatting sqref="C232">
    <cfRule type="cellIs" dxfId="5407" priority="692" stopIfTrue="1" operator="equal">
      <formula>"2 Add"</formula>
    </cfRule>
  </conditionalFormatting>
  <conditionalFormatting sqref="C232">
    <cfRule type="cellIs" dxfId="5406" priority="693" stopIfTrue="1" operator="equal">
      <formula>"3 Delete"</formula>
    </cfRule>
  </conditionalFormatting>
  <conditionalFormatting sqref="C233">
    <cfRule type="cellIs" dxfId="5405" priority="694" stopIfTrue="1" operator="equal">
      <formula>"1 Modify"</formula>
    </cfRule>
  </conditionalFormatting>
  <conditionalFormatting sqref="C233">
    <cfRule type="cellIs" dxfId="5404" priority="695" stopIfTrue="1" operator="equal">
      <formula>"2 Add"</formula>
    </cfRule>
  </conditionalFormatting>
  <conditionalFormatting sqref="C233">
    <cfRule type="cellIs" dxfId="5403" priority="696" stopIfTrue="1" operator="equal">
      <formula>"3 Delete"</formula>
    </cfRule>
  </conditionalFormatting>
  <conditionalFormatting sqref="C234">
    <cfRule type="cellIs" dxfId="5402" priority="697" stopIfTrue="1" operator="equal">
      <formula>"1 Modify"</formula>
    </cfRule>
  </conditionalFormatting>
  <conditionalFormatting sqref="C234">
    <cfRule type="cellIs" dxfId="5401" priority="698" stopIfTrue="1" operator="equal">
      <formula>"2 Add"</formula>
    </cfRule>
  </conditionalFormatting>
  <conditionalFormatting sqref="C234">
    <cfRule type="cellIs" dxfId="5400" priority="699" stopIfTrue="1" operator="equal">
      <formula>"3 Delete"</formula>
    </cfRule>
  </conditionalFormatting>
  <conditionalFormatting sqref="C235">
    <cfRule type="cellIs" dxfId="5399" priority="700" stopIfTrue="1" operator="equal">
      <formula>"1 Modify"</formula>
    </cfRule>
  </conditionalFormatting>
  <conditionalFormatting sqref="C235">
    <cfRule type="cellIs" dxfId="5398" priority="701" stopIfTrue="1" operator="equal">
      <formula>"2 Add"</formula>
    </cfRule>
  </conditionalFormatting>
  <conditionalFormatting sqref="C235">
    <cfRule type="cellIs" dxfId="5397" priority="702" stopIfTrue="1" operator="equal">
      <formula>"3 Delete"</formula>
    </cfRule>
  </conditionalFormatting>
  <conditionalFormatting sqref="C236">
    <cfRule type="cellIs" dxfId="5396" priority="703" stopIfTrue="1" operator="equal">
      <formula>"1 Modify"</formula>
    </cfRule>
  </conditionalFormatting>
  <conditionalFormatting sqref="C236">
    <cfRule type="cellIs" dxfId="5395" priority="704" stopIfTrue="1" operator="equal">
      <formula>"2 Add"</formula>
    </cfRule>
  </conditionalFormatting>
  <conditionalFormatting sqref="C236">
    <cfRule type="cellIs" dxfId="5394" priority="705" stopIfTrue="1" operator="equal">
      <formula>"3 Delete"</formula>
    </cfRule>
  </conditionalFormatting>
  <conditionalFormatting sqref="C237">
    <cfRule type="cellIs" dxfId="5393" priority="706" stopIfTrue="1" operator="equal">
      <formula>"1 Modify"</formula>
    </cfRule>
  </conditionalFormatting>
  <conditionalFormatting sqref="C237">
    <cfRule type="cellIs" dxfId="5392" priority="707" stopIfTrue="1" operator="equal">
      <formula>"2 Add"</formula>
    </cfRule>
  </conditionalFormatting>
  <conditionalFormatting sqref="C237">
    <cfRule type="cellIs" dxfId="5391" priority="708" stopIfTrue="1" operator="equal">
      <formula>"3 Delete"</formula>
    </cfRule>
  </conditionalFormatting>
  <conditionalFormatting sqref="C238">
    <cfRule type="cellIs" dxfId="5390" priority="709" stopIfTrue="1" operator="equal">
      <formula>"1 Modify"</formula>
    </cfRule>
  </conditionalFormatting>
  <conditionalFormatting sqref="C238">
    <cfRule type="cellIs" dxfId="5389" priority="710" stopIfTrue="1" operator="equal">
      <formula>"2 Add"</formula>
    </cfRule>
  </conditionalFormatting>
  <conditionalFormatting sqref="C238">
    <cfRule type="cellIs" dxfId="5388" priority="711" stopIfTrue="1" operator="equal">
      <formula>"3 Delete"</formula>
    </cfRule>
  </conditionalFormatting>
  <conditionalFormatting sqref="C239">
    <cfRule type="cellIs" dxfId="5387" priority="712" stopIfTrue="1" operator="equal">
      <formula>"1 Modify"</formula>
    </cfRule>
  </conditionalFormatting>
  <conditionalFormatting sqref="C239">
    <cfRule type="cellIs" dxfId="5386" priority="713" stopIfTrue="1" operator="equal">
      <formula>"2 Add"</formula>
    </cfRule>
  </conditionalFormatting>
  <conditionalFormatting sqref="C239">
    <cfRule type="cellIs" dxfId="5385" priority="714" stopIfTrue="1" operator="equal">
      <formula>"3 Delete"</formula>
    </cfRule>
  </conditionalFormatting>
  <conditionalFormatting sqref="C240">
    <cfRule type="cellIs" dxfId="5384" priority="715" stopIfTrue="1" operator="equal">
      <formula>"1 Modify"</formula>
    </cfRule>
  </conditionalFormatting>
  <conditionalFormatting sqref="C240">
    <cfRule type="cellIs" dxfId="5383" priority="716" stopIfTrue="1" operator="equal">
      <formula>"2 Add"</formula>
    </cfRule>
  </conditionalFormatting>
  <conditionalFormatting sqref="C240">
    <cfRule type="cellIs" dxfId="5382" priority="717" stopIfTrue="1" operator="equal">
      <formula>"3 Delete"</formula>
    </cfRule>
  </conditionalFormatting>
  <conditionalFormatting sqref="C241">
    <cfRule type="cellIs" dxfId="5381" priority="718" stopIfTrue="1" operator="equal">
      <formula>"1 Modify"</formula>
    </cfRule>
  </conditionalFormatting>
  <conditionalFormatting sqref="C241">
    <cfRule type="cellIs" dxfId="5380" priority="719" stopIfTrue="1" operator="equal">
      <formula>"2 Add"</formula>
    </cfRule>
  </conditionalFormatting>
  <conditionalFormatting sqref="C241">
    <cfRule type="cellIs" dxfId="5379" priority="720" stopIfTrue="1" operator="equal">
      <formula>"3 Delete"</formula>
    </cfRule>
  </conditionalFormatting>
  <conditionalFormatting sqref="C242">
    <cfRule type="cellIs" dxfId="5378" priority="721" stopIfTrue="1" operator="equal">
      <formula>"1 Modify"</formula>
    </cfRule>
  </conditionalFormatting>
  <conditionalFormatting sqref="C242">
    <cfRule type="cellIs" dxfId="5377" priority="722" stopIfTrue="1" operator="equal">
      <formula>"2 Add"</formula>
    </cfRule>
  </conditionalFormatting>
  <conditionalFormatting sqref="C242">
    <cfRule type="cellIs" dxfId="5376" priority="723" stopIfTrue="1" operator="equal">
      <formula>"3 Delete"</formula>
    </cfRule>
  </conditionalFormatting>
  <conditionalFormatting sqref="C243">
    <cfRule type="cellIs" dxfId="5375" priority="724" stopIfTrue="1" operator="equal">
      <formula>"1 Modify"</formula>
    </cfRule>
  </conditionalFormatting>
  <conditionalFormatting sqref="C243">
    <cfRule type="cellIs" dxfId="5374" priority="725" stopIfTrue="1" operator="equal">
      <formula>"2 Add"</formula>
    </cfRule>
  </conditionalFormatting>
  <conditionalFormatting sqref="C243">
    <cfRule type="cellIs" dxfId="5373" priority="726" stopIfTrue="1" operator="equal">
      <formula>"3 Delete"</formula>
    </cfRule>
  </conditionalFormatting>
  <conditionalFormatting sqref="C244">
    <cfRule type="cellIs" dxfId="5372" priority="727" stopIfTrue="1" operator="equal">
      <formula>"1 Modify"</formula>
    </cfRule>
  </conditionalFormatting>
  <conditionalFormatting sqref="C244">
    <cfRule type="cellIs" dxfId="5371" priority="728" stopIfTrue="1" operator="equal">
      <formula>"2 Add"</formula>
    </cfRule>
  </conditionalFormatting>
  <conditionalFormatting sqref="C244">
    <cfRule type="cellIs" dxfId="5370" priority="729" stopIfTrue="1" operator="equal">
      <formula>"3 Delete"</formula>
    </cfRule>
  </conditionalFormatting>
  <conditionalFormatting sqref="C245">
    <cfRule type="cellIs" dxfId="5369" priority="730" stopIfTrue="1" operator="equal">
      <formula>"1 Modify"</formula>
    </cfRule>
  </conditionalFormatting>
  <conditionalFormatting sqref="C245">
    <cfRule type="cellIs" dxfId="5368" priority="731" stopIfTrue="1" operator="equal">
      <formula>"2 Add"</formula>
    </cfRule>
  </conditionalFormatting>
  <conditionalFormatting sqref="C245">
    <cfRule type="cellIs" dxfId="5367" priority="732" stopIfTrue="1" operator="equal">
      <formula>"3 Delete"</formula>
    </cfRule>
  </conditionalFormatting>
  <conditionalFormatting sqref="C246">
    <cfRule type="cellIs" dxfId="5366" priority="733" stopIfTrue="1" operator="equal">
      <formula>"1 Modify"</formula>
    </cfRule>
  </conditionalFormatting>
  <conditionalFormatting sqref="C246">
    <cfRule type="cellIs" dxfId="5365" priority="734" stopIfTrue="1" operator="equal">
      <formula>"2 Add"</formula>
    </cfRule>
  </conditionalFormatting>
  <conditionalFormatting sqref="C246">
    <cfRule type="cellIs" dxfId="5364" priority="735" stopIfTrue="1" operator="equal">
      <formula>"3 Delete"</formula>
    </cfRule>
  </conditionalFormatting>
  <conditionalFormatting sqref="C247">
    <cfRule type="cellIs" dxfId="5363" priority="736" stopIfTrue="1" operator="equal">
      <formula>"1 Modify"</formula>
    </cfRule>
  </conditionalFormatting>
  <conditionalFormatting sqref="C247">
    <cfRule type="cellIs" dxfId="5362" priority="737" stopIfTrue="1" operator="equal">
      <formula>"2 Add"</formula>
    </cfRule>
  </conditionalFormatting>
  <conditionalFormatting sqref="C247">
    <cfRule type="cellIs" dxfId="5361" priority="738" stopIfTrue="1" operator="equal">
      <formula>"3 Delete"</formula>
    </cfRule>
  </conditionalFormatting>
  <conditionalFormatting sqref="C248">
    <cfRule type="cellIs" dxfId="5360" priority="739" stopIfTrue="1" operator="equal">
      <formula>"1 Modify"</formula>
    </cfRule>
  </conditionalFormatting>
  <conditionalFormatting sqref="C248">
    <cfRule type="cellIs" dxfId="5359" priority="740" stopIfTrue="1" operator="equal">
      <formula>"2 Add"</formula>
    </cfRule>
  </conditionalFormatting>
  <conditionalFormatting sqref="C248">
    <cfRule type="cellIs" dxfId="5358" priority="741" stopIfTrue="1" operator="equal">
      <formula>"3 Delete"</formula>
    </cfRule>
  </conditionalFormatting>
  <conditionalFormatting sqref="C249">
    <cfRule type="cellIs" dxfId="5357" priority="742" stopIfTrue="1" operator="equal">
      <formula>"1 Modify"</formula>
    </cfRule>
  </conditionalFormatting>
  <conditionalFormatting sqref="C249">
    <cfRule type="cellIs" dxfId="5356" priority="743" stopIfTrue="1" operator="equal">
      <formula>"2 Add"</formula>
    </cfRule>
  </conditionalFormatting>
  <conditionalFormatting sqref="C249">
    <cfRule type="cellIs" dxfId="5355" priority="744" stopIfTrue="1" operator="equal">
      <formula>"3 Delete"</formula>
    </cfRule>
  </conditionalFormatting>
  <conditionalFormatting sqref="C250">
    <cfRule type="cellIs" dxfId="5354" priority="745" stopIfTrue="1" operator="equal">
      <formula>"1 Modify"</formula>
    </cfRule>
  </conditionalFormatting>
  <conditionalFormatting sqref="C250">
    <cfRule type="cellIs" dxfId="5353" priority="746" stopIfTrue="1" operator="equal">
      <formula>"2 Add"</formula>
    </cfRule>
  </conditionalFormatting>
  <conditionalFormatting sqref="C250">
    <cfRule type="cellIs" dxfId="5352" priority="747" stopIfTrue="1" operator="equal">
      <formula>"3 Delete"</formula>
    </cfRule>
  </conditionalFormatting>
  <conditionalFormatting sqref="C251">
    <cfRule type="cellIs" dxfId="5351" priority="748" stopIfTrue="1" operator="equal">
      <formula>"1 Modify"</formula>
    </cfRule>
  </conditionalFormatting>
  <conditionalFormatting sqref="C251">
    <cfRule type="cellIs" dxfId="5350" priority="749" stopIfTrue="1" operator="equal">
      <formula>"2 Add"</formula>
    </cfRule>
  </conditionalFormatting>
  <conditionalFormatting sqref="C251">
    <cfRule type="cellIs" dxfId="5349" priority="750" stopIfTrue="1" operator="equal">
      <formula>"3 Delete"</formula>
    </cfRule>
  </conditionalFormatting>
  <conditionalFormatting sqref="C252">
    <cfRule type="cellIs" dxfId="5348" priority="751" stopIfTrue="1" operator="equal">
      <formula>"1 Modify"</formula>
    </cfRule>
  </conditionalFormatting>
  <conditionalFormatting sqref="C252">
    <cfRule type="cellIs" dxfId="5347" priority="752" stopIfTrue="1" operator="equal">
      <formula>"2 Add"</formula>
    </cfRule>
  </conditionalFormatting>
  <conditionalFormatting sqref="C252">
    <cfRule type="cellIs" dxfId="5346" priority="753" stopIfTrue="1" operator="equal">
      <formula>"3 Delete"</formula>
    </cfRule>
  </conditionalFormatting>
  <conditionalFormatting sqref="C253">
    <cfRule type="cellIs" dxfId="5345" priority="754" stopIfTrue="1" operator="equal">
      <formula>"1 Modify"</formula>
    </cfRule>
  </conditionalFormatting>
  <conditionalFormatting sqref="C253">
    <cfRule type="cellIs" dxfId="5344" priority="755" stopIfTrue="1" operator="equal">
      <formula>"2 Add"</formula>
    </cfRule>
  </conditionalFormatting>
  <conditionalFormatting sqref="C253">
    <cfRule type="cellIs" dxfId="5343" priority="756" stopIfTrue="1" operator="equal">
      <formula>"3 Delete"</formula>
    </cfRule>
  </conditionalFormatting>
  <conditionalFormatting sqref="C254">
    <cfRule type="cellIs" dxfId="5342" priority="757" stopIfTrue="1" operator="equal">
      <formula>"1 Modify"</formula>
    </cfRule>
  </conditionalFormatting>
  <conditionalFormatting sqref="C254">
    <cfRule type="cellIs" dxfId="5341" priority="758" stopIfTrue="1" operator="equal">
      <formula>"2 Add"</formula>
    </cfRule>
  </conditionalFormatting>
  <conditionalFormatting sqref="C254">
    <cfRule type="cellIs" dxfId="5340" priority="759" stopIfTrue="1" operator="equal">
      <formula>"3 Delete"</formula>
    </cfRule>
  </conditionalFormatting>
  <conditionalFormatting sqref="C255">
    <cfRule type="cellIs" dxfId="5339" priority="760" stopIfTrue="1" operator="equal">
      <formula>"1 Modify"</formula>
    </cfRule>
  </conditionalFormatting>
  <conditionalFormatting sqref="C255">
    <cfRule type="cellIs" dxfId="5338" priority="761" stopIfTrue="1" operator="equal">
      <formula>"2 Add"</formula>
    </cfRule>
  </conditionalFormatting>
  <conditionalFormatting sqref="C255">
    <cfRule type="cellIs" dxfId="5337" priority="762" stopIfTrue="1" operator="equal">
      <formula>"3 Delete"</formula>
    </cfRule>
  </conditionalFormatting>
  <conditionalFormatting sqref="C256">
    <cfRule type="cellIs" dxfId="5336" priority="763" stopIfTrue="1" operator="equal">
      <formula>"1 Modify"</formula>
    </cfRule>
  </conditionalFormatting>
  <conditionalFormatting sqref="C256">
    <cfRule type="cellIs" dxfId="5335" priority="764" stopIfTrue="1" operator="equal">
      <formula>"2 Add"</formula>
    </cfRule>
  </conditionalFormatting>
  <conditionalFormatting sqref="C256">
    <cfRule type="cellIs" dxfId="5334" priority="765" stopIfTrue="1" operator="equal">
      <formula>"3 Delete"</formula>
    </cfRule>
  </conditionalFormatting>
  <conditionalFormatting sqref="C257">
    <cfRule type="cellIs" dxfId="5333" priority="766" stopIfTrue="1" operator="equal">
      <formula>"1 Modify"</formula>
    </cfRule>
  </conditionalFormatting>
  <conditionalFormatting sqref="C257">
    <cfRule type="cellIs" dxfId="5332" priority="767" stopIfTrue="1" operator="equal">
      <formula>"2 Add"</formula>
    </cfRule>
  </conditionalFormatting>
  <conditionalFormatting sqref="C257">
    <cfRule type="cellIs" dxfId="5331" priority="768" stopIfTrue="1" operator="equal">
      <formula>"3 Delete"</formula>
    </cfRule>
  </conditionalFormatting>
  <conditionalFormatting sqref="C258">
    <cfRule type="cellIs" dxfId="5330" priority="769" stopIfTrue="1" operator="equal">
      <formula>"1 Modify"</formula>
    </cfRule>
  </conditionalFormatting>
  <conditionalFormatting sqref="C258">
    <cfRule type="cellIs" dxfId="5329" priority="770" stopIfTrue="1" operator="equal">
      <formula>"2 Add"</formula>
    </cfRule>
  </conditionalFormatting>
  <conditionalFormatting sqref="C258">
    <cfRule type="cellIs" dxfId="5328" priority="771" stopIfTrue="1" operator="equal">
      <formula>"3 Delete"</formula>
    </cfRule>
  </conditionalFormatting>
  <conditionalFormatting sqref="C259">
    <cfRule type="cellIs" dxfId="5327" priority="772" stopIfTrue="1" operator="equal">
      <formula>"1 Modify"</formula>
    </cfRule>
  </conditionalFormatting>
  <conditionalFormatting sqref="C259">
    <cfRule type="cellIs" dxfId="5326" priority="773" stopIfTrue="1" operator="equal">
      <formula>"2 Add"</formula>
    </cfRule>
  </conditionalFormatting>
  <conditionalFormatting sqref="C259">
    <cfRule type="cellIs" dxfId="5325" priority="774" stopIfTrue="1" operator="equal">
      <formula>"3 Delete"</formula>
    </cfRule>
  </conditionalFormatting>
  <conditionalFormatting sqref="C260">
    <cfRule type="cellIs" dxfId="5324" priority="775" stopIfTrue="1" operator="equal">
      <formula>"1 Modify"</formula>
    </cfRule>
  </conditionalFormatting>
  <conditionalFormatting sqref="C260">
    <cfRule type="cellIs" dxfId="5323" priority="776" stopIfTrue="1" operator="equal">
      <formula>"2 Add"</formula>
    </cfRule>
  </conditionalFormatting>
  <conditionalFormatting sqref="C260">
    <cfRule type="cellIs" dxfId="5322" priority="777" stopIfTrue="1" operator="equal">
      <formula>"3 Delete"</formula>
    </cfRule>
  </conditionalFormatting>
  <conditionalFormatting sqref="C261">
    <cfRule type="cellIs" dxfId="5321" priority="778" stopIfTrue="1" operator="equal">
      <formula>"1 Modify"</formula>
    </cfRule>
  </conditionalFormatting>
  <conditionalFormatting sqref="C261">
    <cfRule type="cellIs" dxfId="5320" priority="779" stopIfTrue="1" operator="equal">
      <formula>"2 Add"</formula>
    </cfRule>
  </conditionalFormatting>
  <conditionalFormatting sqref="C261">
    <cfRule type="cellIs" dxfId="5319" priority="780" stopIfTrue="1" operator="equal">
      <formula>"3 Delete"</formula>
    </cfRule>
  </conditionalFormatting>
  <conditionalFormatting sqref="C262">
    <cfRule type="cellIs" dxfId="5318" priority="781" stopIfTrue="1" operator="equal">
      <formula>"1 Modify"</formula>
    </cfRule>
  </conditionalFormatting>
  <conditionalFormatting sqref="C262">
    <cfRule type="cellIs" dxfId="5317" priority="782" stopIfTrue="1" operator="equal">
      <formula>"2 Add"</formula>
    </cfRule>
  </conditionalFormatting>
  <conditionalFormatting sqref="C262">
    <cfRule type="cellIs" dxfId="5316" priority="783" stopIfTrue="1" operator="equal">
      <formula>"3 Delete"</formula>
    </cfRule>
  </conditionalFormatting>
  <conditionalFormatting sqref="C263">
    <cfRule type="cellIs" dxfId="5315" priority="784" stopIfTrue="1" operator="equal">
      <formula>"1 Modify"</formula>
    </cfRule>
  </conditionalFormatting>
  <conditionalFormatting sqref="C263">
    <cfRule type="cellIs" dxfId="5314" priority="785" stopIfTrue="1" operator="equal">
      <formula>"2 Add"</formula>
    </cfRule>
  </conditionalFormatting>
  <conditionalFormatting sqref="C263">
    <cfRule type="cellIs" dxfId="5313" priority="786" stopIfTrue="1" operator="equal">
      <formula>"3 Delete"</formula>
    </cfRule>
  </conditionalFormatting>
  <conditionalFormatting sqref="C264">
    <cfRule type="cellIs" dxfId="5312" priority="787" stopIfTrue="1" operator="equal">
      <formula>"1 Modify"</formula>
    </cfRule>
  </conditionalFormatting>
  <conditionalFormatting sqref="C264">
    <cfRule type="cellIs" dxfId="5311" priority="788" stopIfTrue="1" operator="equal">
      <formula>"2 Add"</formula>
    </cfRule>
  </conditionalFormatting>
  <conditionalFormatting sqref="C264">
    <cfRule type="cellIs" dxfId="5310" priority="789" stopIfTrue="1" operator="equal">
      <formula>"3 Delete"</formula>
    </cfRule>
  </conditionalFormatting>
  <conditionalFormatting sqref="C265">
    <cfRule type="cellIs" dxfId="5309" priority="790" stopIfTrue="1" operator="equal">
      <formula>"1 Modify"</formula>
    </cfRule>
  </conditionalFormatting>
  <conditionalFormatting sqref="C265">
    <cfRule type="cellIs" dxfId="5308" priority="791" stopIfTrue="1" operator="equal">
      <formula>"2 Add"</formula>
    </cfRule>
  </conditionalFormatting>
  <conditionalFormatting sqref="C265">
    <cfRule type="cellIs" dxfId="5307" priority="792" stopIfTrue="1" operator="equal">
      <formula>"3 Delete"</formula>
    </cfRule>
  </conditionalFormatting>
  <conditionalFormatting sqref="C266">
    <cfRule type="cellIs" dxfId="5306" priority="793" stopIfTrue="1" operator="equal">
      <formula>"1 Modify"</formula>
    </cfRule>
  </conditionalFormatting>
  <conditionalFormatting sqref="C266">
    <cfRule type="cellIs" dxfId="5305" priority="794" stopIfTrue="1" operator="equal">
      <formula>"2 Add"</formula>
    </cfRule>
  </conditionalFormatting>
  <conditionalFormatting sqref="C266">
    <cfRule type="cellIs" dxfId="5304" priority="795" stopIfTrue="1" operator="equal">
      <formula>"3 Delete"</formula>
    </cfRule>
  </conditionalFormatting>
  <conditionalFormatting sqref="C267">
    <cfRule type="cellIs" dxfId="5303" priority="796" stopIfTrue="1" operator="equal">
      <formula>"1 Modify"</formula>
    </cfRule>
  </conditionalFormatting>
  <conditionalFormatting sqref="C267">
    <cfRule type="cellIs" dxfId="5302" priority="797" stopIfTrue="1" operator="equal">
      <formula>"2 Add"</formula>
    </cfRule>
  </conditionalFormatting>
  <conditionalFormatting sqref="C267">
    <cfRule type="cellIs" dxfId="5301" priority="798" stopIfTrue="1" operator="equal">
      <formula>"3 Delete"</formula>
    </cfRule>
  </conditionalFormatting>
  <conditionalFormatting sqref="C268">
    <cfRule type="cellIs" dxfId="5300" priority="799" stopIfTrue="1" operator="equal">
      <formula>"1 Modify"</formula>
    </cfRule>
  </conditionalFormatting>
  <conditionalFormatting sqref="C268">
    <cfRule type="cellIs" dxfId="5299" priority="800" stopIfTrue="1" operator="equal">
      <formula>"2 Add"</formula>
    </cfRule>
  </conditionalFormatting>
  <conditionalFormatting sqref="C268">
    <cfRule type="cellIs" dxfId="5298" priority="801" stopIfTrue="1" operator="equal">
      <formula>"3 Delete"</formula>
    </cfRule>
  </conditionalFormatting>
  <conditionalFormatting sqref="C269">
    <cfRule type="cellIs" dxfId="5297" priority="802" stopIfTrue="1" operator="equal">
      <formula>"1 Modify"</formula>
    </cfRule>
  </conditionalFormatting>
  <conditionalFormatting sqref="C269">
    <cfRule type="cellIs" dxfId="5296" priority="803" stopIfTrue="1" operator="equal">
      <formula>"2 Add"</formula>
    </cfRule>
  </conditionalFormatting>
  <conditionalFormatting sqref="C269">
    <cfRule type="cellIs" dxfId="5295" priority="804" stopIfTrue="1" operator="equal">
      <formula>"3 Delete"</formula>
    </cfRule>
  </conditionalFormatting>
  <conditionalFormatting sqref="C270">
    <cfRule type="cellIs" dxfId="5294" priority="805" stopIfTrue="1" operator="equal">
      <formula>"1 Modify"</formula>
    </cfRule>
  </conditionalFormatting>
  <conditionalFormatting sqref="C270">
    <cfRule type="cellIs" dxfId="5293" priority="806" stopIfTrue="1" operator="equal">
      <formula>"2 Add"</formula>
    </cfRule>
  </conditionalFormatting>
  <conditionalFormatting sqref="C270">
    <cfRule type="cellIs" dxfId="5292" priority="807" stopIfTrue="1" operator="equal">
      <formula>"3 Delete"</formula>
    </cfRule>
  </conditionalFormatting>
  <conditionalFormatting sqref="C271">
    <cfRule type="cellIs" dxfId="5291" priority="808" stopIfTrue="1" operator="equal">
      <formula>"1 Modify"</formula>
    </cfRule>
  </conditionalFormatting>
  <conditionalFormatting sqref="C271">
    <cfRule type="cellIs" dxfId="5290" priority="809" stopIfTrue="1" operator="equal">
      <formula>"2 Add"</formula>
    </cfRule>
  </conditionalFormatting>
  <conditionalFormatting sqref="C271">
    <cfRule type="cellIs" dxfId="5289" priority="810" stopIfTrue="1" operator="equal">
      <formula>"3 Delete"</formula>
    </cfRule>
  </conditionalFormatting>
  <conditionalFormatting sqref="C272">
    <cfRule type="cellIs" dxfId="5288" priority="811" stopIfTrue="1" operator="equal">
      <formula>"1 Modify"</formula>
    </cfRule>
  </conditionalFormatting>
  <conditionalFormatting sqref="C272">
    <cfRule type="cellIs" dxfId="5287" priority="812" stopIfTrue="1" operator="equal">
      <formula>"2 Add"</formula>
    </cfRule>
  </conditionalFormatting>
  <conditionalFormatting sqref="C272">
    <cfRule type="cellIs" dxfId="5286" priority="813" stopIfTrue="1" operator="equal">
      <formula>"3 Delete"</formula>
    </cfRule>
  </conditionalFormatting>
  <conditionalFormatting sqref="C273">
    <cfRule type="cellIs" dxfId="5285" priority="814" stopIfTrue="1" operator="equal">
      <formula>"1 Modify"</formula>
    </cfRule>
  </conditionalFormatting>
  <conditionalFormatting sqref="C273">
    <cfRule type="cellIs" dxfId="5284" priority="815" stopIfTrue="1" operator="equal">
      <formula>"2 Add"</formula>
    </cfRule>
  </conditionalFormatting>
  <conditionalFormatting sqref="C273">
    <cfRule type="cellIs" dxfId="5283" priority="816" stopIfTrue="1" operator="equal">
      <formula>"3 Delete"</formula>
    </cfRule>
  </conditionalFormatting>
  <conditionalFormatting sqref="C274">
    <cfRule type="cellIs" dxfId="5282" priority="817" stopIfTrue="1" operator="equal">
      <formula>"1 Modify"</formula>
    </cfRule>
  </conditionalFormatting>
  <conditionalFormatting sqref="C274">
    <cfRule type="cellIs" dxfId="5281" priority="818" stopIfTrue="1" operator="equal">
      <formula>"2 Add"</formula>
    </cfRule>
  </conditionalFormatting>
  <conditionalFormatting sqref="C274">
    <cfRule type="cellIs" dxfId="5280" priority="819" stopIfTrue="1" operator="equal">
      <formula>"3 Delete"</formula>
    </cfRule>
  </conditionalFormatting>
  <conditionalFormatting sqref="C275">
    <cfRule type="cellIs" dxfId="5279" priority="820" stopIfTrue="1" operator="equal">
      <formula>"1 Modify"</formula>
    </cfRule>
  </conditionalFormatting>
  <conditionalFormatting sqref="C275">
    <cfRule type="cellIs" dxfId="5278" priority="821" stopIfTrue="1" operator="equal">
      <formula>"2 Add"</formula>
    </cfRule>
  </conditionalFormatting>
  <conditionalFormatting sqref="C275">
    <cfRule type="cellIs" dxfId="5277" priority="822" stopIfTrue="1" operator="equal">
      <formula>"3 Delete"</formula>
    </cfRule>
  </conditionalFormatting>
  <conditionalFormatting sqref="C276">
    <cfRule type="cellIs" dxfId="5276" priority="823" stopIfTrue="1" operator="equal">
      <formula>"1 Modify"</formula>
    </cfRule>
  </conditionalFormatting>
  <conditionalFormatting sqref="C276">
    <cfRule type="cellIs" dxfId="5275" priority="824" stopIfTrue="1" operator="equal">
      <formula>"2 Add"</formula>
    </cfRule>
  </conditionalFormatting>
  <conditionalFormatting sqref="C276">
    <cfRule type="cellIs" dxfId="5274" priority="825" stopIfTrue="1" operator="equal">
      <formula>"3 Delete"</formula>
    </cfRule>
  </conditionalFormatting>
  <conditionalFormatting sqref="C277">
    <cfRule type="cellIs" dxfId="5273" priority="826" stopIfTrue="1" operator="equal">
      <formula>"1 Modify"</formula>
    </cfRule>
  </conditionalFormatting>
  <conditionalFormatting sqref="C277">
    <cfRule type="cellIs" dxfId="5272" priority="827" stopIfTrue="1" operator="equal">
      <formula>"2 Add"</formula>
    </cfRule>
  </conditionalFormatting>
  <conditionalFormatting sqref="C277">
    <cfRule type="cellIs" dxfId="5271" priority="828" stopIfTrue="1" operator="equal">
      <formula>"3 Delete"</formula>
    </cfRule>
  </conditionalFormatting>
  <conditionalFormatting sqref="C278">
    <cfRule type="cellIs" dxfId="5270" priority="829" stopIfTrue="1" operator="equal">
      <formula>"1 Modify"</formula>
    </cfRule>
  </conditionalFormatting>
  <conditionalFormatting sqref="C278">
    <cfRule type="cellIs" dxfId="5269" priority="830" stopIfTrue="1" operator="equal">
      <formula>"2 Add"</formula>
    </cfRule>
  </conditionalFormatting>
  <conditionalFormatting sqref="C278">
    <cfRule type="cellIs" dxfId="5268" priority="831" stopIfTrue="1" operator="equal">
      <formula>"3 Delete"</formula>
    </cfRule>
  </conditionalFormatting>
  <conditionalFormatting sqref="C279">
    <cfRule type="cellIs" dxfId="5267" priority="832" stopIfTrue="1" operator="equal">
      <formula>"1 Modify"</formula>
    </cfRule>
  </conditionalFormatting>
  <conditionalFormatting sqref="C279">
    <cfRule type="cellIs" dxfId="5266" priority="833" stopIfTrue="1" operator="equal">
      <formula>"2 Add"</formula>
    </cfRule>
  </conditionalFormatting>
  <conditionalFormatting sqref="C279">
    <cfRule type="cellIs" dxfId="5265" priority="834" stopIfTrue="1" operator="equal">
      <formula>"3 Delete"</formula>
    </cfRule>
  </conditionalFormatting>
  <conditionalFormatting sqref="C280">
    <cfRule type="cellIs" dxfId="5264" priority="835" stopIfTrue="1" operator="equal">
      <formula>"1 Modify"</formula>
    </cfRule>
  </conditionalFormatting>
  <conditionalFormatting sqref="C280">
    <cfRule type="cellIs" dxfId="5263" priority="836" stopIfTrue="1" operator="equal">
      <formula>"2 Add"</formula>
    </cfRule>
  </conditionalFormatting>
  <conditionalFormatting sqref="C280">
    <cfRule type="cellIs" dxfId="5262" priority="837" stopIfTrue="1" operator="equal">
      <formula>"3 Delete"</formula>
    </cfRule>
  </conditionalFormatting>
  <conditionalFormatting sqref="C281">
    <cfRule type="cellIs" dxfId="5261" priority="838" stopIfTrue="1" operator="equal">
      <formula>"1 Modify"</formula>
    </cfRule>
  </conditionalFormatting>
  <conditionalFormatting sqref="C281">
    <cfRule type="cellIs" dxfId="5260" priority="839" stopIfTrue="1" operator="equal">
      <formula>"2 Add"</formula>
    </cfRule>
  </conditionalFormatting>
  <conditionalFormatting sqref="C281">
    <cfRule type="cellIs" dxfId="5259" priority="840" stopIfTrue="1" operator="equal">
      <formula>"3 Delete"</formula>
    </cfRule>
  </conditionalFormatting>
  <conditionalFormatting sqref="C282">
    <cfRule type="cellIs" dxfId="5258" priority="841" stopIfTrue="1" operator="equal">
      <formula>"1 Modify"</formula>
    </cfRule>
  </conditionalFormatting>
  <conditionalFormatting sqref="C282">
    <cfRule type="cellIs" dxfId="5257" priority="842" stopIfTrue="1" operator="equal">
      <formula>"2 Add"</formula>
    </cfRule>
  </conditionalFormatting>
  <conditionalFormatting sqref="C282">
    <cfRule type="cellIs" dxfId="5256" priority="843" stopIfTrue="1" operator="equal">
      <formula>"3 Delete"</formula>
    </cfRule>
  </conditionalFormatting>
  <conditionalFormatting sqref="C283">
    <cfRule type="cellIs" dxfId="5255" priority="844" stopIfTrue="1" operator="equal">
      <formula>"1 Modify"</formula>
    </cfRule>
  </conditionalFormatting>
  <conditionalFormatting sqref="C283">
    <cfRule type="cellIs" dxfId="5254" priority="845" stopIfTrue="1" operator="equal">
      <formula>"2 Add"</formula>
    </cfRule>
  </conditionalFormatting>
  <conditionalFormatting sqref="C283">
    <cfRule type="cellIs" dxfId="5253" priority="846" stopIfTrue="1" operator="equal">
      <formula>"3 Delete"</formula>
    </cfRule>
  </conditionalFormatting>
  <conditionalFormatting sqref="C284">
    <cfRule type="cellIs" dxfId="5252" priority="847" stopIfTrue="1" operator="equal">
      <formula>"1 Modify"</formula>
    </cfRule>
  </conditionalFormatting>
  <conditionalFormatting sqref="C284">
    <cfRule type="cellIs" dxfId="5251" priority="848" stopIfTrue="1" operator="equal">
      <formula>"2 Add"</formula>
    </cfRule>
  </conditionalFormatting>
  <conditionalFormatting sqref="C284">
    <cfRule type="cellIs" dxfId="5250" priority="849" stopIfTrue="1" operator="equal">
      <formula>"3 Delete"</formula>
    </cfRule>
  </conditionalFormatting>
  <conditionalFormatting sqref="C285">
    <cfRule type="cellIs" dxfId="5249" priority="850" stopIfTrue="1" operator="equal">
      <formula>"1 Modify"</formula>
    </cfRule>
  </conditionalFormatting>
  <conditionalFormatting sqref="C285">
    <cfRule type="cellIs" dxfId="5248" priority="851" stopIfTrue="1" operator="equal">
      <formula>"2 Add"</formula>
    </cfRule>
  </conditionalFormatting>
  <conditionalFormatting sqref="C285">
    <cfRule type="cellIs" dxfId="5247" priority="852" stopIfTrue="1" operator="equal">
      <formula>"3 Delete"</formula>
    </cfRule>
  </conditionalFormatting>
  <conditionalFormatting sqref="C286">
    <cfRule type="cellIs" dxfId="5246" priority="853" stopIfTrue="1" operator="equal">
      <formula>"1 Modify"</formula>
    </cfRule>
  </conditionalFormatting>
  <conditionalFormatting sqref="C286">
    <cfRule type="cellIs" dxfId="5245" priority="854" stopIfTrue="1" operator="equal">
      <formula>"2 Add"</formula>
    </cfRule>
  </conditionalFormatting>
  <conditionalFormatting sqref="C286">
    <cfRule type="cellIs" dxfId="5244" priority="855" stopIfTrue="1" operator="equal">
      <formula>"3 Delete"</formula>
    </cfRule>
  </conditionalFormatting>
  <conditionalFormatting sqref="C287">
    <cfRule type="cellIs" dxfId="5243" priority="856" stopIfTrue="1" operator="equal">
      <formula>"1 Modify"</formula>
    </cfRule>
  </conditionalFormatting>
  <conditionalFormatting sqref="C287">
    <cfRule type="cellIs" dxfId="5242" priority="857" stopIfTrue="1" operator="equal">
      <formula>"2 Add"</formula>
    </cfRule>
  </conditionalFormatting>
  <conditionalFormatting sqref="C287">
    <cfRule type="cellIs" dxfId="5241" priority="858" stopIfTrue="1" operator="equal">
      <formula>"3 Delete"</formula>
    </cfRule>
  </conditionalFormatting>
  <conditionalFormatting sqref="C288">
    <cfRule type="cellIs" dxfId="5240" priority="859" stopIfTrue="1" operator="equal">
      <formula>"1 Modify"</formula>
    </cfRule>
  </conditionalFormatting>
  <conditionalFormatting sqref="C288">
    <cfRule type="cellIs" dxfId="5239" priority="860" stopIfTrue="1" operator="equal">
      <formula>"2 Add"</formula>
    </cfRule>
  </conditionalFormatting>
  <conditionalFormatting sqref="C288">
    <cfRule type="cellIs" dxfId="5238" priority="861" stopIfTrue="1" operator="equal">
      <formula>"3 Delete"</formula>
    </cfRule>
  </conditionalFormatting>
  <conditionalFormatting sqref="C289">
    <cfRule type="cellIs" dxfId="5237" priority="862" stopIfTrue="1" operator="equal">
      <formula>"1 Modify"</formula>
    </cfRule>
  </conditionalFormatting>
  <conditionalFormatting sqref="C289">
    <cfRule type="cellIs" dxfId="5236" priority="863" stopIfTrue="1" operator="equal">
      <formula>"2 Add"</formula>
    </cfRule>
  </conditionalFormatting>
  <conditionalFormatting sqref="C289">
    <cfRule type="cellIs" dxfId="5235" priority="864" stopIfTrue="1" operator="equal">
      <formula>"3 Delete"</formula>
    </cfRule>
  </conditionalFormatting>
  <conditionalFormatting sqref="C290">
    <cfRule type="cellIs" dxfId="5234" priority="865" stopIfTrue="1" operator="equal">
      <formula>"1 Modify"</formula>
    </cfRule>
  </conditionalFormatting>
  <conditionalFormatting sqref="C290">
    <cfRule type="cellIs" dxfId="5233" priority="866" stopIfTrue="1" operator="equal">
      <formula>"2 Add"</formula>
    </cfRule>
  </conditionalFormatting>
  <conditionalFormatting sqref="C290">
    <cfRule type="cellIs" dxfId="5232" priority="867" stopIfTrue="1" operator="equal">
      <formula>"3 Delete"</formula>
    </cfRule>
  </conditionalFormatting>
  <conditionalFormatting sqref="C291">
    <cfRule type="cellIs" dxfId="5231" priority="868" stopIfTrue="1" operator="equal">
      <formula>"1 Modify"</formula>
    </cfRule>
  </conditionalFormatting>
  <conditionalFormatting sqref="C291">
    <cfRule type="cellIs" dxfId="5230" priority="869" stopIfTrue="1" operator="equal">
      <formula>"2 Add"</formula>
    </cfRule>
  </conditionalFormatting>
  <conditionalFormatting sqref="C291">
    <cfRule type="cellIs" dxfId="5229" priority="870" stopIfTrue="1" operator="equal">
      <formula>"3 Delete"</formula>
    </cfRule>
  </conditionalFormatting>
  <conditionalFormatting sqref="C292">
    <cfRule type="cellIs" dxfId="5228" priority="871" stopIfTrue="1" operator="equal">
      <formula>"1 Modify"</formula>
    </cfRule>
  </conditionalFormatting>
  <conditionalFormatting sqref="C292">
    <cfRule type="cellIs" dxfId="5227" priority="872" stopIfTrue="1" operator="equal">
      <formula>"2 Add"</formula>
    </cfRule>
  </conditionalFormatting>
  <conditionalFormatting sqref="C292">
    <cfRule type="cellIs" dxfId="5226" priority="873" stopIfTrue="1" operator="equal">
      <formula>"3 Delete"</formula>
    </cfRule>
  </conditionalFormatting>
  <conditionalFormatting sqref="C293">
    <cfRule type="cellIs" dxfId="5225" priority="874" stopIfTrue="1" operator="equal">
      <formula>"1 Modify"</formula>
    </cfRule>
  </conditionalFormatting>
  <conditionalFormatting sqref="C293">
    <cfRule type="cellIs" dxfId="5224" priority="875" stopIfTrue="1" operator="equal">
      <formula>"2 Add"</formula>
    </cfRule>
  </conditionalFormatting>
  <conditionalFormatting sqref="C293">
    <cfRule type="cellIs" dxfId="5223" priority="876" stopIfTrue="1" operator="equal">
      <formula>"3 Delete"</formula>
    </cfRule>
  </conditionalFormatting>
  <conditionalFormatting sqref="C294">
    <cfRule type="cellIs" dxfId="5222" priority="877" stopIfTrue="1" operator="equal">
      <formula>"1 Modify"</formula>
    </cfRule>
  </conditionalFormatting>
  <conditionalFormatting sqref="C294">
    <cfRule type="cellIs" dxfId="5221" priority="878" stopIfTrue="1" operator="equal">
      <formula>"2 Add"</formula>
    </cfRule>
  </conditionalFormatting>
  <conditionalFormatting sqref="C294">
    <cfRule type="cellIs" dxfId="5220" priority="879" stopIfTrue="1" operator="equal">
      <formula>"3 Delete"</formula>
    </cfRule>
  </conditionalFormatting>
  <conditionalFormatting sqref="C295">
    <cfRule type="cellIs" dxfId="5219" priority="880" stopIfTrue="1" operator="equal">
      <formula>"1 Modify"</formula>
    </cfRule>
  </conditionalFormatting>
  <conditionalFormatting sqref="C295">
    <cfRule type="cellIs" dxfId="5218" priority="881" stopIfTrue="1" operator="equal">
      <formula>"2 Add"</formula>
    </cfRule>
  </conditionalFormatting>
  <conditionalFormatting sqref="C295">
    <cfRule type="cellIs" dxfId="5217" priority="882" stopIfTrue="1" operator="equal">
      <formula>"3 Delete"</formula>
    </cfRule>
  </conditionalFormatting>
  <conditionalFormatting sqref="C296">
    <cfRule type="cellIs" dxfId="5216" priority="883" stopIfTrue="1" operator="equal">
      <formula>"1 Modify"</formula>
    </cfRule>
  </conditionalFormatting>
  <conditionalFormatting sqref="C296">
    <cfRule type="cellIs" dxfId="5215" priority="884" stopIfTrue="1" operator="equal">
      <formula>"2 Add"</formula>
    </cfRule>
  </conditionalFormatting>
  <conditionalFormatting sqref="C296">
    <cfRule type="cellIs" dxfId="5214" priority="885" stopIfTrue="1" operator="equal">
      <formula>"3 Delete"</formula>
    </cfRule>
  </conditionalFormatting>
  <conditionalFormatting sqref="C297">
    <cfRule type="cellIs" dxfId="5213" priority="886" stopIfTrue="1" operator="equal">
      <formula>"1 Modify"</formula>
    </cfRule>
  </conditionalFormatting>
  <conditionalFormatting sqref="C297">
    <cfRule type="cellIs" dxfId="5212" priority="887" stopIfTrue="1" operator="equal">
      <formula>"2 Add"</formula>
    </cfRule>
  </conditionalFormatting>
  <conditionalFormatting sqref="C297">
    <cfRule type="cellIs" dxfId="5211" priority="888" stopIfTrue="1" operator="equal">
      <formula>"3 Delete"</formula>
    </cfRule>
  </conditionalFormatting>
  <conditionalFormatting sqref="C298">
    <cfRule type="cellIs" dxfId="5210" priority="889" stopIfTrue="1" operator="equal">
      <formula>"1 Modify"</formula>
    </cfRule>
  </conditionalFormatting>
  <conditionalFormatting sqref="C298">
    <cfRule type="cellIs" dxfId="5209" priority="890" stopIfTrue="1" operator="equal">
      <formula>"2 Add"</formula>
    </cfRule>
  </conditionalFormatting>
  <conditionalFormatting sqref="C298">
    <cfRule type="cellIs" dxfId="5208" priority="891" stopIfTrue="1" operator="equal">
      <formula>"3 Delete"</formula>
    </cfRule>
  </conditionalFormatting>
  <conditionalFormatting sqref="C299">
    <cfRule type="cellIs" dxfId="5207" priority="892" stopIfTrue="1" operator="equal">
      <formula>"1 Modify"</formula>
    </cfRule>
  </conditionalFormatting>
  <conditionalFormatting sqref="C299">
    <cfRule type="cellIs" dxfId="5206" priority="893" stopIfTrue="1" operator="equal">
      <formula>"2 Add"</formula>
    </cfRule>
  </conditionalFormatting>
  <conditionalFormatting sqref="C299">
    <cfRule type="cellIs" dxfId="5205" priority="894" stopIfTrue="1" operator="equal">
      <formula>"3 Delete"</formula>
    </cfRule>
  </conditionalFormatting>
  <conditionalFormatting sqref="C300">
    <cfRule type="cellIs" dxfId="5204" priority="895" stopIfTrue="1" operator="equal">
      <formula>"1 Modify"</formula>
    </cfRule>
  </conditionalFormatting>
  <conditionalFormatting sqref="C300">
    <cfRule type="cellIs" dxfId="5203" priority="896" stopIfTrue="1" operator="equal">
      <formula>"2 Add"</formula>
    </cfRule>
  </conditionalFormatting>
  <conditionalFormatting sqref="C300">
    <cfRule type="cellIs" dxfId="5202" priority="897" stopIfTrue="1" operator="equal">
      <formula>"3 Delete"</formula>
    </cfRule>
  </conditionalFormatting>
  <conditionalFormatting sqref="C301">
    <cfRule type="cellIs" dxfId="5201" priority="898" stopIfTrue="1" operator="equal">
      <formula>"1 Modify"</formula>
    </cfRule>
  </conditionalFormatting>
  <conditionalFormatting sqref="C301">
    <cfRule type="cellIs" dxfId="5200" priority="899" stopIfTrue="1" operator="equal">
      <formula>"2 Add"</formula>
    </cfRule>
  </conditionalFormatting>
  <conditionalFormatting sqref="C301">
    <cfRule type="cellIs" dxfId="5199" priority="900" stopIfTrue="1" operator="equal">
      <formula>"3 Delete"</formula>
    </cfRule>
  </conditionalFormatting>
  <conditionalFormatting sqref="C302">
    <cfRule type="cellIs" dxfId="5198" priority="901" stopIfTrue="1" operator="equal">
      <formula>"1 Modify"</formula>
    </cfRule>
  </conditionalFormatting>
  <conditionalFormatting sqref="C302">
    <cfRule type="cellIs" dxfId="5197" priority="902" stopIfTrue="1" operator="equal">
      <formula>"2 Add"</formula>
    </cfRule>
  </conditionalFormatting>
  <conditionalFormatting sqref="C302">
    <cfRule type="cellIs" dxfId="5196" priority="903" stopIfTrue="1" operator="equal">
      <formula>"3 Delete"</formula>
    </cfRule>
  </conditionalFormatting>
  <conditionalFormatting sqref="C303">
    <cfRule type="cellIs" dxfId="5195" priority="904" stopIfTrue="1" operator="equal">
      <formula>"1 Modify"</formula>
    </cfRule>
  </conditionalFormatting>
  <conditionalFormatting sqref="C303">
    <cfRule type="cellIs" dxfId="5194" priority="905" stopIfTrue="1" operator="equal">
      <formula>"2 Add"</formula>
    </cfRule>
  </conditionalFormatting>
  <conditionalFormatting sqref="C303">
    <cfRule type="cellIs" dxfId="5193" priority="906" stopIfTrue="1" operator="equal">
      <formula>"3 Delete"</formula>
    </cfRule>
  </conditionalFormatting>
  <conditionalFormatting sqref="C304">
    <cfRule type="cellIs" dxfId="5192" priority="907" stopIfTrue="1" operator="equal">
      <formula>"1 Modify"</formula>
    </cfRule>
  </conditionalFormatting>
  <conditionalFormatting sqref="C304">
    <cfRule type="cellIs" dxfId="5191" priority="908" stopIfTrue="1" operator="equal">
      <formula>"2 Add"</formula>
    </cfRule>
  </conditionalFormatting>
  <conditionalFormatting sqref="C304">
    <cfRule type="cellIs" dxfId="5190" priority="909" stopIfTrue="1" operator="equal">
      <formula>"3 Delete"</formula>
    </cfRule>
  </conditionalFormatting>
  <conditionalFormatting sqref="C305">
    <cfRule type="cellIs" dxfId="5189" priority="910" stopIfTrue="1" operator="equal">
      <formula>"1 Modify"</formula>
    </cfRule>
  </conditionalFormatting>
  <conditionalFormatting sqref="C305">
    <cfRule type="cellIs" dxfId="5188" priority="911" stopIfTrue="1" operator="equal">
      <formula>"2 Add"</formula>
    </cfRule>
  </conditionalFormatting>
  <conditionalFormatting sqref="C305">
    <cfRule type="cellIs" dxfId="5187" priority="912" stopIfTrue="1" operator="equal">
      <formula>"3 Delete"</formula>
    </cfRule>
  </conditionalFormatting>
  <conditionalFormatting sqref="C306">
    <cfRule type="cellIs" dxfId="5186" priority="913" stopIfTrue="1" operator="equal">
      <formula>"1 Modify"</formula>
    </cfRule>
  </conditionalFormatting>
  <conditionalFormatting sqref="C306">
    <cfRule type="cellIs" dxfId="5185" priority="914" stopIfTrue="1" operator="equal">
      <formula>"2 Add"</formula>
    </cfRule>
  </conditionalFormatting>
  <conditionalFormatting sqref="C306">
    <cfRule type="cellIs" dxfId="5184" priority="915" stopIfTrue="1" operator="equal">
      <formula>"3 Delete"</formula>
    </cfRule>
  </conditionalFormatting>
  <conditionalFormatting sqref="C307">
    <cfRule type="cellIs" dxfId="5183" priority="916" stopIfTrue="1" operator="equal">
      <formula>"1 Modify"</formula>
    </cfRule>
  </conditionalFormatting>
  <conditionalFormatting sqref="C307">
    <cfRule type="cellIs" dxfId="5182" priority="917" stopIfTrue="1" operator="equal">
      <formula>"2 Add"</formula>
    </cfRule>
  </conditionalFormatting>
  <conditionalFormatting sqref="C307">
    <cfRule type="cellIs" dxfId="5181" priority="918" stopIfTrue="1" operator="equal">
      <formula>"3 Delete"</formula>
    </cfRule>
  </conditionalFormatting>
  <conditionalFormatting sqref="C308">
    <cfRule type="cellIs" dxfId="5180" priority="919" stopIfTrue="1" operator="equal">
      <formula>"1 Modify"</formula>
    </cfRule>
  </conditionalFormatting>
  <conditionalFormatting sqref="C308">
    <cfRule type="cellIs" dxfId="5179" priority="920" stopIfTrue="1" operator="equal">
      <formula>"2 Add"</formula>
    </cfRule>
  </conditionalFormatting>
  <conditionalFormatting sqref="C308">
    <cfRule type="cellIs" dxfId="5178" priority="921" stopIfTrue="1" operator="equal">
      <formula>"3 Delete"</formula>
    </cfRule>
  </conditionalFormatting>
  <conditionalFormatting sqref="C309">
    <cfRule type="cellIs" dxfId="5177" priority="922" stopIfTrue="1" operator="equal">
      <formula>"1 Modify"</formula>
    </cfRule>
  </conditionalFormatting>
  <conditionalFormatting sqref="C309">
    <cfRule type="cellIs" dxfId="5176" priority="923" stopIfTrue="1" operator="equal">
      <formula>"2 Add"</formula>
    </cfRule>
  </conditionalFormatting>
  <conditionalFormatting sqref="C309">
    <cfRule type="cellIs" dxfId="5175" priority="924" stopIfTrue="1" operator="equal">
      <formula>"3 Delete"</formula>
    </cfRule>
  </conditionalFormatting>
  <conditionalFormatting sqref="C310">
    <cfRule type="cellIs" dxfId="5174" priority="925" stopIfTrue="1" operator="equal">
      <formula>"1 Modify"</formula>
    </cfRule>
  </conditionalFormatting>
  <conditionalFormatting sqref="C310">
    <cfRule type="cellIs" dxfId="5173" priority="926" stopIfTrue="1" operator="equal">
      <formula>"2 Add"</formula>
    </cfRule>
  </conditionalFormatting>
  <conditionalFormatting sqref="C310">
    <cfRule type="cellIs" dxfId="5172" priority="927" stopIfTrue="1" operator="equal">
      <formula>"3 Delete"</formula>
    </cfRule>
  </conditionalFormatting>
  <conditionalFormatting sqref="C311">
    <cfRule type="cellIs" dxfId="5171" priority="928" stopIfTrue="1" operator="equal">
      <formula>"1 Modify"</formula>
    </cfRule>
  </conditionalFormatting>
  <conditionalFormatting sqref="C311">
    <cfRule type="cellIs" dxfId="5170" priority="929" stopIfTrue="1" operator="equal">
      <formula>"2 Add"</formula>
    </cfRule>
  </conditionalFormatting>
  <conditionalFormatting sqref="C311">
    <cfRule type="cellIs" dxfId="5169" priority="930" stopIfTrue="1" operator="equal">
      <formula>"3 Delete"</formula>
    </cfRule>
  </conditionalFormatting>
  <conditionalFormatting sqref="C312">
    <cfRule type="cellIs" dxfId="5168" priority="931" stopIfTrue="1" operator="equal">
      <formula>"1 Modify"</formula>
    </cfRule>
  </conditionalFormatting>
  <conditionalFormatting sqref="C312">
    <cfRule type="cellIs" dxfId="5167" priority="932" stopIfTrue="1" operator="equal">
      <formula>"2 Add"</formula>
    </cfRule>
  </conditionalFormatting>
  <conditionalFormatting sqref="C312">
    <cfRule type="cellIs" dxfId="5166" priority="933" stopIfTrue="1" operator="equal">
      <formula>"3 Delete"</formula>
    </cfRule>
  </conditionalFormatting>
  <conditionalFormatting sqref="C313">
    <cfRule type="cellIs" dxfId="5165" priority="934" stopIfTrue="1" operator="equal">
      <formula>"1 Modify"</formula>
    </cfRule>
  </conditionalFormatting>
  <conditionalFormatting sqref="C313">
    <cfRule type="cellIs" dxfId="5164" priority="935" stopIfTrue="1" operator="equal">
      <formula>"2 Add"</formula>
    </cfRule>
  </conditionalFormatting>
  <conditionalFormatting sqref="C313">
    <cfRule type="cellIs" dxfId="5163" priority="936" stopIfTrue="1" operator="equal">
      <formula>"3 Delete"</formula>
    </cfRule>
  </conditionalFormatting>
  <conditionalFormatting sqref="C314">
    <cfRule type="cellIs" dxfId="5162" priority="937" stopIfTrue="1" operator="equal">
      <formula>"1 Modify"</formula>
    </cfRule>
  </conditionalFormatting>
  <conditionalFormatting sqref="C314">
    <cfRule type="cellIs" dxfId="5161" priority="938" stopIfTrue="1" operator="equal">
      <formula>"2 Add"</formula>
    </cfRule>
  </conditionalFormatting>
  <conditionalFormatting sqref="C314">
    <cfRule type="cellIs" dxfId="5160" priority="939" stopIfTrue="1" operator="equal">
      <formula>"3 Delete"</formula>
    </cfRule>
  </conditionalFormatting>
  <conditionalFormatting sqref="C315">
    <cfRule type="cellIs" dxfId="5159" priority="940" stopIfTrue="1" operator="equal">
      <formula>"1 Modify"</formula>
    </cfRule>
  </conditionalFormatting>
  <conditionalFormatting sqref="C315">
    <cfRule type="cellIs" dxfId="5158" priority="941" stopIfTrue="1" operator="equal">
      <formula>"2 Add"</formula>
    </cfRule>
  </conditionalFormatting>
  <conditionalFormatting sqref="C315">
    <cfRule type="cellIs" dxfId="5157" priority="942" stopIfTrue="1" operator="equal">
      <formula>"3 Delete"</formula>
    </cfRule>
  </conditionalFormatting>
  <conditionalFormatting sqref="C316">
    <cfRule type="cellIs" dxfId="5156" priority="943" stopIfTrue="1" operator="equal">
      <formula>"1 Modify"</formula>
    </cfRule>
  </conditionalFormatting>
  <conditionalFormatting sqref="C316">
    <cfRule type="cellIs" dxfId="5155" priority="944" stopIfTrue="1" operator="equal">
      <formula>"2 Add"</formula>
    </cfRule>
  </conditionalFormatting>
  <conditionalFormatting sqref="C316">
    <cfRule type="cellIs" dxfId="5154" priority="945" stopIfTrue="1" operator="equal">
      <formula>"3 Delete"</formula>
    </cfRule>
  </conditionalFormatting>
  <conditionalFormatting sqref="C317">
    <cfRule type="cellIs" dxfId="5153" priority="946" stopIfTrue="1" operator="equal">
      <formula>"1 Modify"</formula>
    </cfRule>
  </conditionalFormatting>
  <conditionalFormatting sqref="C317">
    <cfRule type="cellIs" dxfId="5152" priority="947" stopIfTrue="1" operator="equal">
      <formula>"2 Add"</formula>
    </cfRule>
  </conditionalFormatting>
  <conditionalFormatting sqref="C317">
    <cfRule type="cellIs" dxfId="5151" priority="948" stopIfTrue="1" operator="equal">
      <formula>"3 Delete"</formula>
    </cfRule>
  </conditionalFormatting>
  <conditionalFormatting sqref="C318">
    <cfRule type="cellIs" dxfId="5150" priority="949" stopIfTrue="1" operator="equal">
      <formula>"1 Modify"</formula>
    </cfRule>
  </conditionalFormatting>
  <conditionalFormatting sqref="C318">
    <cfRule type="cellIs" dxfId="5149" priority="950" stopIfTrue="1" operator="equal">
      <formula>"2 Add"</formula>
    </cfRule>
  </conditionalFormatting>
  <conditionalFormatting sqref="C318">
    <cfRule type="cellIs" dxfId="5148" priority="951" stopIfTrue="1" operator="equal">
      <formula>"3 Delete"</formula>
    </cfRule>
  </conditionalFormatting>
  <conditionalFormatting sqref="C319">
    <cfRule type="cellIs" dxfId="5147" priority="952" stopIfTrue="1" operator="equal">
      <formula>"1 Modify"</formula>
    </cfRule>
  </conditionalFormatting>
  <conditionalFormatting sqref="C319">
    <cfRule type="cellIs" dxfId="5146" priority="953" stopIfTrue="1" operator="equal">
      <formula>"2 Add"</formula>
    </cfRule>
  </conditionalFormatting>
  <conditionalFormatting sqref="C319">
    <cfRule type="cellIs" dxfId="5145" priority="954" stopIfTrue="1" operator="equal">
      <formula>"3 Delete"</formula>
    </cfRule>
  </conditionalFormatting>
  <conditionalFormatting sqref="C320">
    <cfRule type="cellIs" dxfId="5144" priority="955" stopIfTrue="1" operator="equal">
      <formula>"1 Modify"</formula>
    </cfRule>
  </conditionalFormatting>
  <conditionalFormatting sqref="C320">
    <cfRule type="cellIs" dxfId="5143" priority="956" stopIfTrue="1" operator="equal">
      <formula>"2 Add"</formula>
    </cfRule>
  </conditionalFormatting>
  <conditionalFormatting sqref="C320">
    <cfRule type="cellIs" dxfId="5142" priority="957" stopIfTrue="1" operator="equal">
      <formula>"3 Delete"</formula>
    </cfRule>
  </conditionalFormatting>
  <conditionalFormatting sqref="C321">
    <cfRule type="cellIs" dxfId="5141" priority="958" stopIfTrue="1" operator="equal">
      <formula>"1 Modify"</formula>
    </cfRule>
  </conditionalFormatting>
  <conditionalFormatting sqref="C321">
    <cfRule type="cellIs" dxfId="5140" priority="959" stopIfTrue="1" operator="equal">
      <formula>"2 Add"</formula>
    </cfRule>
  </conditionalFormatting>
  <conditionalFormatting sqref="C321">
    <cfRule type="cellIs" dxfId="5139" priority="960" stopIfTrue="1" operator="equal">
      <formula>"3 Delete"</formula>
    </cfRule>
  </conditionalFormatting>
  <conditionalFormatting sqref="C322">
    <cfRule type="cellIs" dxfId="5138" priority="961" stopIfTrue="1" operator="equal">
      <formula>"1 Modify"</formula>
    </cfRule>
  </conditionalFormatting>
  <conditionalFormatting sqref="C322">
    <cfRule type="cellIs" dxfId="5137" priority="962" stopIfTrue="1" operator="equal">
      <formula>"2 Add"</formula>
    </cfRule>
  </conditionalFormatting>
  <conditionalFormatting sqref="C322">
    <cfRule type="cellIs" dxfId="5136" priority="963" stopIfTrue="1" operator="equal">
      <formula>"3 Delete"</formula>
    </cfRule>
  </conditionalFormatting>
  <conditionalFormatting sqref="C323">
    <cfRule type="cellIs" dxfId="5135" priority="964" stopIfTrue="1" operator="equal">
      <formula>"1 Modify"</formula>
    </cfRule>
  </conditionalFormatting>
  <conditionalFormatting sqref="C323">
    <cfRule type="cellIs" dxfId="5134" priority="965" stopIfTrue="1" operator="equal">
      <formula>"2 Add"</formula>
    </cfRule>
  </conditionalFormatting>
  <conditionalFormatting sqref="C323">
    <cfRule type="cellIs" dxfId="5133" priority="966" stopIfTrue="1" operator="equal">
      <formula>"3 Delete"</formula>
    </cfRule>
  </conditionalFormatting>
  <conditionalFormatting sqref="C324">
    <cfRule type="cellIs" dxfId="5132" priority="967" stopIfTrue="1" operator="equal">
      <formula>"1 Modify"</formula>
    </cfRule>
  </conditionalFormatting>
  <conditionalFormatting sqref="C324">
    <cfRule type="cellIs" dxfId="5131" priority="968" stopIfTrue="1" operator="equal">
      <formula>"2 Add"</formula>
    </cfRule>
  </conditionalFormatting>
  <conditionalFormatting sqref="C324">
    <cfRule type="cellIs" dxfId="5130" priority="969" stopIfTrue="1" operator="equal">
      <formula>"3 Delete"</formula>
    </cfRule>
  </conditionalFormatting>
  <conditionalFormatting sqref="C325">
    <cfRule type="cellIs" dxfId="5129" priority="970" stopIfTrue="1" operator="equal">
      <formula>"1 Modify"</formula>
    </cfRule>
  </conditionalFormatting>
  <conditionalFormatting sqref="C325">
    <cfRule type="cellIs" dxfId="5128" priority="971" stopIfTrue="1" operator="equal">
      <formula>"2 Add"</formula>
    </cfRule>
  </conditionalFormatting>
  <conditionalFormatting sqref="C325">
    <cfRule type="cellIs" dxfId="5127" priority="972" stopIfTrue="1" operator="equal">
      <formula>"3 Delete"</formula>
    </cfRule>
  </conditionalFormatting>
  <conditionalFormatting sqref="C326">
    <cfRule type="cellIs" dxfId="5126" priority="973" stopIfTrue="1" operator="equal">
      <formula>"1 Modify"</formula>
    </cfRule>
  </conditionalFormatting>
  <conditionalFormatting sqref="C326">
    <cfRule type="cellIs" dxfId="5125" priority="974" stopIfTrue="1" operator="equal">
      <formula>"2 Add"</formula>
    </cfRule>
  </conditionalFormatting>
  <conditionalFormatting sqref="C326">
    <cfRule type="cellIs" dxfId="5124" priority="975" stopIfTrue="1" operator="equal">
      <formula>"3 Delete"</formula>
    </cfRule>
  </conditionalFormatting>
  <conditionalFormatting sqref="C327">
    <cfRule type="cellIs" dxfId="5123" priority="976" stopIfTrue="1" operator="equal">
      <formula>"1 Modify"</formula>
    </cfRule>
  </conditionalFormatting>
  <conditionalFormatting sqref="C327">
    <cfRule type="cellIs" dxfId="5122" priority="977" stopIfTrue="1" operator="equal">
      <formula>"2 Add"</formula>
    </cfRule>
  </conditionalFormatting>
  <conditionalFormatting sqref="C327">
    <cfRule type="cellIs" dxfId="5121" priority="978" stopIfTrue="1" operator="equal">
      <formula>"3 Delete"</formula>
    </cfRule>
  </conditionalFormatting>
  <conditionalFormatting sqref="C328">
    <cfRule type="cellIs" dxfId="5120" priority="979" stopIfTrue="1" operator="equal">
      <formula>"1 Modify"</formula>
    </cfRule>
  </conditionalFormatting>
  <conditionalFormatting sqref="C328">
    <cfRule type="cellIs" dxfId="5119" priority="980" stopIfTrue="1" operator="equal">
      <formula>"2 Add"</formula>
    </cfRule>
  </conditionalFormatting>
  <conditionalFormatting sqref="C328">
    <cfRule type="cellIs" dxfId="5118" priority="981" stopIfTrue="1" operator="equal">
      <formula>"3 Delete"</formula>
    </cfRule>
  </conditionalFormatting>
  <conditionalFormatting sqref="C329">
    <cfRule type="cellIs" dxfId="5117" priority="982" stopIfTrue="1" operator="equal">
      <formula>"1 Modify"</formula>
    </cfRule>
  </conditionalFormatting>
  <conditionalFormatting sqref="C329">
    <cfRule type="cellIs" dxfId="5116" priority="983" stopIfTrue="1" operator="equal">
      <formula>"2 Add"</formula>
    </cfRule>
  </conditionalFormatting>
  <conditionalFormatting sqref="C329">
    <cfRule type="cellIs" dxfId="5115" priority="984" stopIfTrue="1" operator="equal">
      <formula>"3 Delete"</formula>
    </cfRule>
  </conditionalFormatting>
  <conditionalFormatting sqref="C330">
    <cfRule type="cellIs" dxfId="5114" priority="985" stopIfTrue="1" operator="equal">
      <formula>"1 Modify"</formula>
    </cfRule>
  </conditionalFormatting>
  <conditionalFormatting sqref="C330">
    <cfRule type="cellIs" dxfId="5113" priority="986" stopIfTrue="1" operator="equal">
      <formula>"2 Add"</formula>
    </cfRule>
  </conditionalFormatting>
  <conditionalFormatting sqref="C330">
    <cfRule type="cellIs" dxfId="5112" priority="987" stopIfTrue="1" operator="equal">
      <formula>"3 Delete"</formula>
    </cfRule>
  </conditionalFormatting>
  <conditionalFormatting sqref="C331">
    <cfRule type="cellIs" dxfId="5111" priority="988" stopIfTrue="1" operator="equal">
      <formula>"1 Modify"</formula>
    </cfRule>
  </conditionalFormatting>
  <conditionalFormatting sqref="C331">
    <cfRule type="cellIs" dxfId="5110" priority="989" stopIfTrue="1" operator="equal">
      <formula>"2 Add"</formula>
    </cfRule>
  </conditionalFormatting>
  <conditionalFormatting sqref="C331">
    <cfRule type="cellIs" dxfId="5109" priority="990" stopIfTrue="1" operator="equal">
      <formula>"3 Delete"</formula>
    </cfRule>
  </conditionalFormatting>
  <conditionalFormatting sqref="C332">
    <cfRule type="cellIs" dxfId="5108" priority="991" stopIfTrue="1" operator="equal">
      <formula>"1 Modify"</formula>
    </cfRule>
  </conditionalFormatting>
  <conditionalFormatting sqref="C332">
    <cfRule type="cellIs" dxfId="5107" priority="992" stopIfTrue="1" operator="equal">
      <formula>"2 Add"</formula>
    </cfRule>
  </conditionalFormatting>
  <conditionalFormatting sqref="C332">
    <cfRule type="cellIs" dxfId="5106" priority="993" stopIfTrue="1" operator="equal">
      <formula>"3 Delete"</formula>
    </cfRule>
  </conditionalFormatting>
  <conditionalFormatting sqref="C333">
    <cfRule type="cellIs" dxfId="5105" priority="994" stopIfTrue="1" operator="equal">
      <formula>"1 Modify"</formula>
    </cfRule>
  </conditionalFormatting>
  <conditionalFormatting sqref="C333">
    <cfRule type="cellIs" dxfId="5104" priority="995" stopIfTrue="1" operator="equal">
      <formula>"2 Add"</formula>
    </cfRule>
  </conditionalFormatting>
  <conditionalFormatting sqref="C333">
    <cfRule type="cellIs" dxfId="5103" priority="996" stopIfTrue="1" operator="equal">
      <formula>"3 Delete"</formula>
    </cfRule>
  </conditionalFormatting>
  <conditionalFormatting sqref="C334">
    <cfRule type="cellIs" dxfId="5102" priority="997" stopIfTrue="1" operator="equal">
      <formula>"1 Modify"</formula>
    </cfRule>
  </conditionalFormatting>
  <conditionalFormatting sqref="C334">
    <cfRule type="cellIs" dxfId="5101" priority="998" stopIfTrue="1" operator="equal">
      <formula>"2 Add"</formula>
    </cfRule>
  </conditionalFormatting>
  <conditionalFormatting sqref="C334">
    <cfRule type="cellIs" dxfId="5100" priority="999" stopIfTrue="1" operator="equal">
      <formula>"3 Delete"</formula>
    </cfRule>
  </conditionalFormatting>
  <conditionalFormatting sqref="C335">
    <cfRule type="cellIs" dxfId="5099" priority="1000" stopIfTrue="1" operator="equal">
      <formula>"1 Modify"</formula>
    </cfRule>
  </conditionalFormatting>
  <conditionalFormatting sqref="C335">
    <cfRule type="cellIs" dxfId="5098" priority="1001" stopIfTrue="1" operator="equal">
      <formula>"2 Add"</formula>
    </cfRule>
  </conditionalFormatting>
  <conditionalFormatting sqref="C335">
    <cfRule type="cellIs" dxfId="5097" priority="1002" stopIfTrue="1" operator="equal">
      <formula>"3 Delete"</formula>
    </cfRule>
  </conditionalFormatting>
  <conditionalFormatting sqref="C336">
    <cfRule type="cellIs" dxfId="5096" priority="1003" stopIfTrue="1" operator="equal">
      <formula>"1 Modify"</formula>
    </cfRule>
  </conditionalFormatting>
  <conditionalFormatting sqref="C336">
    <cfRule type="cellIs" dxfId="5095" priority="1004" stopIfTrue="1" operator="equal">
      <formula>"2 Add"</formula>
    </cfRule>
  </conditionalFormatting>
  <conditionalFormatting sqref="C336">
    <cfRule type="cellIs" dxfId="5094" priority="1005" stopIfTrue="1" operator="equal">
      <formula>"3 Delete"</formula>
    </cfRule>
  </conditionalFormatting>
  <conditionalFormatting sqref="C337">
    <cfRule type="cellIs" dxfId="5093" priority="1006" stopIfTrue="1" operator="equal">
      <formula>"1 Modify"</formula>
    </cfRule>
  </conditionalFormatting>
  <conditionalFormatting sqref="C337">
    <cfRule type="cellIs" dxfId="5092" priority="1007" stopIfTrue="1" operator="equal">
      <formula>"2 Add"</formula>
    </cfRule>
  </conditionalFormatting>
  <conditionalFormatting sqref="C337">
    <cfRule type="cellIs" dxfId="5091" priority="1008" stopIfTrue="1" operator="equal">
      <formula>"3 Delete"</formula>
    </cfRule>
  </conditionalFormatting>
  <conditionalFormatting sqref="C338">
    <cfRule type="cellIs" dxfId="5090" priority="1009" stopIfTrue="1" operator="equal">
      <formula>"1 Modify"</formula>
    </cfRule>
  </conditionalFormatting>
  <conditionalFormatting sqref="C338">
    <cfRule type="cellIs" dxfId="5089" priority="1010" stopIfTrue="1" operator="equal">
      <formula>"2 Add"</formula>
    </cfRule>
  </conditionalFormatting>
  <conditionalFormatting sqref="C338">
    <cfRule type="cellIs" dxfId="5088" priority="1011" stopIfTrue="1" operator="equal">
      <formula>"3 Delete"</formula>
    </cfRule>
  </conditionalFormatting>
  <conditionalFormatting sqref="C339">
    <cfRule type="cellIs" dxfId="5087" priority="1012" stopIfTrue="1" operator="equal">
      <formula>"1 Modify"</formula>
    </cfRule>
  </conditionalFormatting>
  <conditionalFormatting sqref="C339">
    <cfRule type="cellIs" dxfId="5086" priority="1013" stopIfTrue="1" operator="equal">
      <formula>"2 Add"</formula>
    </cfRule>
  </conditionalFormatting>
  <conditionalFormatting sqref="C339">
    <cfRule type="cellIs" dxfId="5085" priority="1014" stopIfTrue="1" operator="equal">
      <formula>"3 Delete"</formula>
    </cfRule>
  </conditionalFormatting>
  <conditionalFormatting sqref="C340">
    <cfRule type="cellIs" dxfId="5084" priority="1015" stopIfTrue="1" operator="equal">
      <formula>"1 Modify"</formula>
    </cfRule>
  </conditionalFormatting>
  <conditionalFormatting sqref="C340">
    <cfRule type="cellIs" dxfId="5083" priority="1016" stopIfTrue="1" operator="equal">
      <formula>"2 Add"</formula>
    </cfRule>
  </conditionalFormatting>
  <conditionalFormatting sqref="C340">
    <cfRule type="cellIs" dxfId="5082" priority="1017" stopIfTrue="1" operator="equal">
      <formula>"3 Delete"</formula>
    </cfRule>
  </conditionalFormatting>
  <conditionalFormatting sqref="C341">
    <cfRule type="cellIs" dxfId="5081" priority="1018" stopIfTrue="1" operator="equal">
      <formula>"1 Modify"</formula>
    </cfRule>
  </conditionalFormatting>
  <conditionalFormatting sqref="C341">
    <cfRule type="cellIs" dxfId="5080" priority="1019" stopIfTrue="1" operator="equal">
      <formula>"2 Add"</formula>
    </cfRule>
  </conditionalFormatting>
  <conditionalFormatting sqref="C341">
    <cfRule type="cellIs" dxfId="5079" priority="1020" stopIfTrue="1" operator="equal">
      <formula>"3 Delete"</formula>
    </cfRule>
  </conditionalFormatting>
  <conditionalFormatting sqref="C342">
    <cfRule type="cellIs" dxfId="5078" priority="1021" stopIfTrue="1" operator="equal">
      <formula>"1 Modify"</formula>
    </cfRule>
  </conditionalFormatting>
  <conditionalFormatting sqref="C342">
    <cfRule type="cellIs" dxfId="5077" priority="1022" stopIfTrue="1" operator="equal">
      <formula>"2 Add"</formula>
    </cfRule>
  </conditionalFormatting>
  <conditionalFormatting sqref="C342">
    <cfRule type="cellIs" dxfId="5076" priority="1023" stopIfTrue="1" operator="equal">
      <formula>"3 Delete"</formula>
    </cfRule>
  </conditionalFormatting>
  <conditionalFormatting sqref="C343">
    <cfRule type="cellIs" dxfId="5075" priority="1024" stopIfTrue="1" operator="equal">
      <formula>"1 Modify"</formula>
    </cfRule>
  </conditionalFormatting>
  <conditionalFormatting sqref="C343">
    <cfRule type="cellIs" dxfId="5074" priority="1025" stopIfTrue="1" operator="equal">
      <formula>"2 Add"</formula>
    </cfRule>
  </conditionalFormatting>
  <conditionalFormatting sqref="C343">
    <cfRule type="cellIs" dxfId="5073" priority="1026" stopIfTrue="1" operator="equal">
      <formula>"3 Delete"</formula>
    </cfRule>
  </conditionalFormatting>
  <conditionalFormatting sqref="C344">
    <cfRule type="cellIs" dxfId="5072" priority="1027" stopIfTrue="1" operator="equal">
      <formula>"1 Modify"</formula>
    </cfRule>
  </conditionalFormatting>
  <conditionalFormatting sqref="C344">
    <cfRule type="cellIs" dxfId="5071" priority="1028" stopIfTrue="1" operator="equal">
      <formula>"2 Add"</formula>
    </cfRule>
  </conditionalFormatting>
  <conditionalFormatting sqref="C344">
    <cfRule type="cellIs" dxfId="5070" priority="1029" stopIfTrue="1" operator="equal">
      <formula>"3 Delete"</formula>
    </cfRule>
  </conditionalFormatting>
  <conditionalFormatting sqref="C345">
    <cfRule type="cellIs" dxfId="5069" priority="1030" stopIfTrue="1" operator="equal">
      <formula>"1 Modify"</formula>
    </cfRule>
  </conditionalFormatting>
  <conditionalFormatting sqref="C345">
    <cfRule type="cellIs" dxfId="5068" priority="1031" stopIfTrue="1" operator="equal">
      <formula>"2 Add"</formula>
    </cfRule>
  </conditionalFormatting>
  <conditionalFormatting sqref="C345">
    <cfRule type="cellIs" dxfId="5067" priority="1032" stopIfTrue="1" operator="equal">
      <formula>"3 Delete"</formula>
    </cfRule>
  </conditionalFormatting>
  <conditionalFormatting sqref="C346">
    <cfRule type="cellIs" dxfId="5066" priority="1033" stopIfTrue="1" operator="equal">
      <formula>"1 Modify"</formula>
    </cfRule>
  </conditionalFormatting>
  <conditionalFormatting sqref="C346">
    <cfRule type="cellIs" dxfId="5065" priority="1034" stopIfTrue="1" operator="equal">
      <formula>"2 Add"</formula>
    </cfRule>
  </conditionalFormatting>
  <conditionalFormatting sqref="C346">
    <cfRule type="cellIs" dxfId="5064" priority="1035" stopIfTrue="1" operator="equal">
      <formula>"3 Delete"</formula>
    </cfRule>
  </conditionalFormatting>
  <conditionalFormatting sqref="C347">
    <cfRule type="cellIs" dxfId="5063" priority="1036" stopIfTrue="1" operator="equal">
      <formula>"1 Modify"</formula>
    </cfRule>
  </conditionalFormatting>
  <conditionalFormatting sqref="C347">
    <cfRule type="cellIs" dxfId="5062" priority="1037" stopIfTrue="1" operator="equal">
      <formula>"2 Add"</formula>
    </cfRule>
  </conditionalFormatting>
  <conditionalFormatting sqref="C347">
    <cfRule type="cellIs" dxfId="5061" priority="1038" stopIfTrue="1" operator="equal">
      <formula>"3 Delete"</formula>
    </cfRule>
  </conditionalFormatting>
  <conditionalFormatting sqref="C348">
    <cfRule type="cellIs" dxfId="5060" priority="1039" stopIfTrue="1" operator="equal">
      <formula>"1 Modify"</formula>
    </cfRule>
  </conditionalFormatting>
  <conditionalFormatting sqref="C348">
    <cfRule type="cellIs" dxfId="5059" priority="1040" stopIfTrue="1" operator="equal">
      <formula>"2 Add"</formula>
    </cfRule>
  </conditionalFormatting>
  <conditionalFormatting sqref="C348">
    <cfRule type="cellIs" dxfId="5058" priority="1041" stopIfTrue="1" operator="equal">
      <formula>"3 Delete"</formula>
    </cfRule>
  </conditionalFormatting>
  <conditionalFormatting sqref="C349">
    <cfRule type="cellIs" dxfId="5057" priority="1042" stopIfTrue="1" operator="equal">
      <formula>"1 Modify"</formula>
    </cfRule>
  </conditionalFormatting>
  <conditionalFormatting sqref="C349">
    <cfRule type="cellIs" dxfId="5056" priority="1043" stopIfTrue="1" operator="equal">
      <formula>"2 Add"</formula>
    </cfRule>
  </conditionalFormatting>
  <conditionalFormatting sqref="C349">
    <cfRule type="cellIs" dxfId="5055" priority="1044" stopIfTrue="1" operator="equal">
      <formula>"3 Delete"</formula>
    </cfRule>
  </conditionalFormatting>
  <conditionalFormatting sqref="C350">
    <cfRule type="cellIs" dxfId="5054" priority="1045" stopIfTrue="1" operator="equal">
      <formula>"1 Modify"</formula>
    </cfRule>
  </conditionalFormatting>
  <conditionalFormatting sqref="C350">
    <cfRule type="cellIs" dxfId="5053" priority="1046" stopIfTrue="1" operator="equal">
      <formula>"2 Add"</formula>
    </cfRule>
  </conditionalFormatting>
  <conditionalFormatting sqref="C350">
    <cfRule type="cellIs" dxfId="5052" priority="1047" stopIfTrue="1" operator="equal">
      <formula>"3 Delete"</formula>
    </cfRule>
  </conditionalFormatting>
  <conditionalFormatting sqref="C351">
    <cfRule type="cellIs" dxfId="5051" priority="1048" stopIfTrue="1" operator="equal">
      <formula>"1 Modify"</formula>
    </cfRule>
  </conditionalFormatting>
  <conditionalFormatting sqref="C351">
    <cfRule type="cellIs" dxfId="5050" priority="1049" stopIfTrue="1" operator="equal">
      <formula>"2 Add"</formula>
    </cfRule>
  </conditionalFormatting>
  <conditionalFormatting sqref="C351">
    <cfRule type="cellIs" dxfId="5049" priority="1050" stopIfTrue="1" operator="equal">
      <formula>"3 Delete"</formula>
    </cfRule>
  </conditionalFormatting>
  <conditionalFormatting sqref="C352">
    <cfRule type="cellIs" dxfId="5048" priority="1051" stopIfTrue="1" operator="equal">
      <formula>"1 Modify"</formula>
    </cfRule>
  </conditionalFormatting>
  <conditionalFormatting sqref="C352">
    <cfRule type="cellIs" dxfId="5047" priority="1052" stopIfTrue="1" operator="equal">
      <formula>"2 Add"</formula>
    </cfRule>
  </conditionalFormatting>
  <conditionalFormatting sqref="C352">
    <cfRule type="cellIs" dxfId="5046" priority="1053" stopIfTrue="1" operator="equal">
      <formula>"3 Delete"</formula>
    </cfRule>
  </conditionalFormatting>
  <conditionalFormatting sqref="C353">
    <cfRule type="cellIs" dxfId="5045" priority="1054" stopIfTrue="1" operator="equal">
      <formula>"1 Modify"</formula>
    </cfRule>
  </conditionalFormatting>
  <conditionalFormatting sqref="C353">
    <cfRule type="cellIs" dxfId="5044" priority="1055" stopIfTrue="1" operator="equal">
      <formula>"2 Add"</formula>
    </cfRule>
  </conditionalFormatting>
  <conditionalFormatting sqref="C353">
    <cfRule type="cellIs" dxfId="5043" priority="1056" stopIfTrue="1" operator="equal">
      <formula>"3 Delete"</formula>
    </cfRule>
  </conditionalFormatting>
  <conditionalFormatting sqref="C354">
    <cfRule type="cellIs" dxfId="5042" priority="1057" stopIfTrue="1" operator="equal">
      <formula>"1 Modify"</formula>
    </cfRule>
  </conditionalFormatting>
  <conditionalFormatting sqref="C354">
    <cfRule type="cellIs" dxfId="5041" priority="1058" stopIfTrue="1" operator="equal">
      <formula>"2 Add"</formula>
    </cfRule>
  </conditionalFormatting>
  <conditionalFormatting sqref="C354">
    <cfRule type="cellIs" dxfId="5040" priority="1059" stopIfTrue="1" operator="equal">
      <formula>"3 Delete"</formula>
    </cfRule>
  </conditionalFormatting>
  <conditionalFormatting sqref="C355">
    <cfRule type="cellIs" dxfId="5039" priority="1060" stopIfTrue="1" operator="equal">
      <formula>"1 Modify"</formula>
    </cfRule>
  </conditionalFormatting>
  <conditionalFormatting sqref="C355">
    <cfRule type="cellIs" dxfId="5038" priority="1061" stopIfTrue="1" operator="equal">
      <formula>"2 Add"</formula>
    </cfRule>
  </conditionalFormatting>
  <conditionalFormatting sqref="C355">
    <cfRule type="cellIs" dxfId="5037" priority="1062" stopIfTrue="1" operator="equal">
      <formula>"3 Delete"</formula>
    </cfRule>
  </conditionalFormatting>
  <conditionalFormatting sqref="C356">
    <cfRule type="cellIs" dxfId="5036" priority="1063" stopIfTrue="1" operator="equal">
      <formula>"1 Modify"</formula>
    </cfRule>
  </conditionalFormatting>
  <conditionalFormatting sqref="C356">
    <cfRule type="cellIs" dxfId="5035" priority="1064" stopIfTrue="1" operator="equal">
      <formula>"2 Add"</formula>
    </cfRule>
  </conditionalFormatting>
  <conditionalFormatting sqref="C356">
    <cfRule type="cellIs" dxfId="5034" priority="1065" stopIfTrue="1" operator="equal">
      <formula>"3 Delete"</formula>
    </cfRule>
  </conditionalFormatting>
  <conditionalFormatting sqref="C357">
    <cfRule type="cellIs" dxfId="5033" priority="1066" stopIfTrue="1" operator="equal">
      <formula>"1 Modify"</formula>
    </cfRule>
  </conditionalFormatting>
  <conditionalFormatting sqref="C357">
    <cfRule type="cellIs" dxfId="5032" priority="1067" stopIfTrue="1" operator="equal">
      <formula>"2 Add"</formula>
    </cfRule>
  </conditionalFormatting>
  <conditionalFormatting sqref="C357">
    <cfRule type="cellIs" dxfId="5031" priority="1068" stopIfTrue="1" operator="equal">
      <formula>"3 Delete"</formula>
    </cfRule>
  </conditionalFormatting>
  <conditionalFormatting sqref="C358">
    <cfRule type="cellIs" dxfId="5030" priority="1069" stopIfTrue="1" operator="equal">
      <formula>"1 Modify"</formula>
    </cfRule>
  </conditionalFormatting>
  <conditionalFormatting sqref="C358">
    <cfRule type="cellIs" dxfId="5029" priority="1070" stopIfTrue="1" operator="equal">
      <formula>"2 Add"</formula>
    </cfRule>
  </conditionalFormatting>
  <conditionalFormatting sqref="C358">
    <cfRule type="cellIs" dxfId="5028" priority="1071" stopIfTrue="1" operator="equal">
      <formula>"3 Delete"</formula>
    </cfRule>
  </conditionalFormatting>
  <conditionalFormatting sqref="C359">
    <cfRule type="cellIs" dxfId="5027" priority="1072" stopIfTrue="1" operator="equal">
      <formula>"1 Modify"</formula>
    </cfRule>
  </conditionalFormatting>
  <conditionalFormatting sqref="C359">
    <cfRule type="cellIs" dxfId="5026" priority="1073" stopIfTrue="1" operator="equal">
      <formula>"2 Add"</formula>
    </cfRule>
  </conditionalFormatting>
  <conditionalFormatting sqref="C359">
    <cfRule type="cellIs" dxfId="5025" priority="1074" stopIfTrue="1" operator="equal">
      <formula>"3 Delete"</formula>
    </cfRule>
  </conditionalFormatting>
  <conditionalFormatting sqref="C360">
    <cfRule type="cellIs" dxfId="5024" priority="1075" stopIfTrue="1" operator="equal">
      <formula>"1 Modify"</formula>
    </cfRule>
  </conditionalFormatting>
  <conditionalFormatting sqref="C360">
    <cfRule type="cellIs" dxfId="5023" priority="1076" stopIfTrue="1" operator="equal">
      <formula>"2 Add"</formula>
    </cfRule>
  </conditionalFormatting>
  <conditionalFormatting sqref="C360">
    <cfRule type="cellIs" dxfId="5022" priority="1077" stopIfTrue="1" operator="equal">
      <formula>"3 Delete"</formula>
    </cfRule>
  </conditionalFormatting>
  <conditionalFormatting sqref="C361">
    <cfRule type="cellIs" dxfId="5021" priority="1078" stopIfTrue="1" operator="equal">
      <formula>"1 Modify"</formula>
    </cfRule>
  </conditionalFormatting>
  <conditionalFormatting sqref="C361">
    <cfRule type="cellIs" dxfId="5020" priority="1079" stopIfTrue="1" operator="equal">
      <formula>"2 Add"</formula>
    </cfRule>
  </conditionalFormatting>
  <conditionalFormatting sqref="C361">
    <cfRule type="cellIs" dxfId="5019" priority="1080" stopIfTrue="1" operator="equal">
      <formula>"3 Delete"</formula>
    </cfRule>
  </conditionalFormatting>
  <conditionalFormatting sqref="C362">
    <cfRule type="cellIs" dxfId="5018" priority="1081" stopIfTrue="1" operator="equal">
      <formula>"1 Modify"</formula>
    </cfRule>
  </conditionalFormatting>
  <conditionalFormatting sqref="C362">
    <cfRule type="cellIs" dxfId="5017" priority="1082" stopIfTrue="1" operator="equal">
      <formula>"2 Add"</formula>
    </cfRule>
  </conditionalFormatting>
  <conditionalFormatting sqref="C362">
    <cfRule type="cellIs" dxfId="5016" priority="1083" stopIfTrue="1" operator="equal">
      <formula>"3 Delete"</formula>
    </cfRule>
  </conditionalFormatting>
  <conditionalFormatting sqref="C363">
    <cfRule type="cellIs" dxfId="5015" priority="1084" stopIfTrue="1" operator="equal">
      <formula>"1 Modify"</formula>
    </cfRule>
  </conditionalFormatting>
  <conditionalFormatting sqref="C363">
    <cfRule type="cellIs" dxfId="5014" priority="1085" stopIfTrue="1" operator="equal">
      <formula>"2 Add"</formula>
    </cfRule>
  </conditionalFormatting>
  <conditionalFormatting sqref="C363">
    <cfRule type="cellIs" dxfId="5013" priority="1086" stopIfTrue="1" operator="equal">
      <formula>"3 Delete"</formula>
    </cfRule>
  </conditionalFormatting>
  <conditionalFormatting sqref="C364">
    <cfRule type="cellIs" dxfId="5012" priority="1087" stopIfTrue="1" operator="equal">
      <formula>"1 Modify"</formula>
    </cfRule>
  </conditionalFormatting>
  <conditionalFormatting sqref="C364">
    <cfRule type="cellIs" dxfId="5011" priority="1088" stopIfTrue="1" operator="equal">
      <formula>"2 Add"</formula>
    </cfRule>
  </conditionalFormatting>
  <conditionalFormatting sqref="C364">
    <cfRule type="cellIs" dxfId="5010" priority="1089" stopIfTrue="1" operator="equal">
      <formula>"3 Delete"</formula>
    </cfRule>
  </conditionalFormatting>
  <conditionalFormatting sqref="C365">
    <cfRule type="cellIs" dxfId="5009" priority="1090" stopIfTrue="1" operator="equal">
      <formula>"1 Modify"</formula>
    </cfRule>
  </conditionalFormatting>
  <conditionalFormatting sqref="C365">
    <cfRule type="cellIs" dxfId="5008" priority="1091" stopIfTrue="1" operator="equal">
      <formula>"2 Add"</formula>
    </cfRule>
  </conditionalFormatting>
  <conditionalFormatting sqref="C365">
    <cfRule type="cellIs" dxfId="5007" priority="1092" stopIfTrue="1" operator="equal">
      <formula>"3 Delete"</formula>
    </cfRule>
  </conditionalFormatting>
  <conditionalFormatting sqref="C366">
    <cfRule type="cellIs" dxfId="5006" priority="1093" stopIfTrue="1" operator="equal">
      <formula>"1 Modify"</formula>
    </cfRule>
  </conditionalFormatting>
  <conditionalFormatting sqref="C366">
    <cfRule type="cellIs" dxfId="5005" priority="1094" stopIfTrue="1" operator="equal">
      <formula>"2 Add"</formula>
    </cfRule>
  </conditionalFormatting>
  <conditionalFormatting sqref="C366">
    <cfRule type="cellIs" dxfId="5004" priority="1095" stopIfTrue="1" operator="equal">
      <formula>"3 Delete"</formula>
    </cfRule>
  </conditionalFormatting>
  <conditionalFormatting sqref="C367">
    <cfRule type="cellIs" dxfId="5003" priority="1096" stopIfTrue="1" operator="equal">
      <formula>"1 Modify"</formula>
    </cfRule>
  </conditionalFormatting>
  <conditionalFormatting sqref="C367">
    <cfRule type="cellIs" dxfId="5002" priority="1097" stopIfTrue="1" operator="equal">
      <formula>"2 Add"</formula>
    </cfRule>
  </conditionalFormatting>
  <conditionalFormatting sqref="C367">
    <cfRule type="cellIs" dxfId="5001" priority="1098" stopIfTrue="1" operator="equal">
      <formula>"3 Delete"</formula>
    </cfRule>
  </conditionalFormatting>
  <conditionalFormatting sqref="C368">
    <cfRule type="cellIs" dxfId="5000" priority="1099" stopIfTrue="1" operator="equal">
      <formula>"1 Modify"</formula>
    </cfRule>
  </conditionalFormatting>
  <conditionalFormatting sqref="C368">
    <cfRule type="cellIs" dxfId="4999" priority="1100" stopIfTrue="1" operator="equal">
      <formula>"2 Add"</formula>
    </cfRule>
  </conditionalFormatting>
  <conditionalFormatting sqref="C368">
    <cfRule type="cellIs" dxfId="4998" priority="1101" stopIfTrue="1" operator="equal">
      <formula>"3 Delete"</formula>
    </cfRule>
  </conditionalFormatting>
  <conditionalFormatting sqref="C369">
    <cfRule type="cellIs" dxfId="4997" priority="1102" stopIfTrue="1" operator="equal">
      <formula>"1 Modify"</formula>
    </cfRule>
  </conditionalFormatting>
  <conditionalFormatting sqref="C369">
    <cfRule type="cellIs" dxfId="4996" priority="1103" stopIfTrue="1" operator="equal">
      <formula>"2 Add"</formula>
    </cfRule>
  </conditionalFormatting>
  <conditionalFormatting sqref="C369">
    <cfRule type="cellIs" dxfId="4995" priority="1104" stopIfTrue="1" operator="equal">
      <formula>"3 Delete"</formula>
    </cfRule>
  </conditionalFormatting>
  <conditionalFormatting sqref="C370">
    <cfRule type="cellIs" dxfId="4994" priority="1105" stopIfTrue="1" operator="equal">
      <formula>"1 Modify"</formula>
    </cfRule>
  </conditionalFormatting>
  <conditionalFormatting sqref="C370">
    <cfRule type="cellIs" dxfId="4993" priority="1106" stopIfTrue="1" operator="equal">
      <formula>"2 Add"</formula>
    </cfRule>
  </conditionalFormatting>
  <conditionalFormatting sqref="C370">
    <cfRule type="cellIs" dxfId="4992" priority="1107" stopIfTrue="1" operator="equal">
      <formula>"3 Delete"</formula>
    </cfRule>
  </conditionalFormatting>
  <conditionalFormatting sqref="C371">
    <cfRule type="cellIs" dxfId="4991" priority="1108" stopIfTrue="1" operator="equal">
      <formula>"1 Modify"</formula>
    </cfRule>
  </conditionalFormatting>
  <conditionalFormatting sqref="C371">
    <cfRule type="cellIs" dxfId="4990" priority="1109" stopIfTrue="1" operator="equal">
      <formula>"2 Add"</formula>
    </cfRule>
  </conditionalFormatting>
  <conditionalFormatting sqref="C371">
    <cfRule type="cellIs" dxfId="4989" priority="1110" stopIfTrue="1" operator="equal">
      <formula>"3 Delete"</formula>
    </cfRule>
  </conditionalFormatting>
  <conditionalFormatting sqref="C372">
    <cfRule type="cellIs" dxfId="4988" priority="1111" stopIfTrue="1" operator="equal">
      <formula>"1 Modify"</formula>
    </cfRule>
  </conditionalFormatting>
  <conditionalFormatting sqref="C372">
    <cfRule type="cellIs" dxfId="4987" priority="1112" stopIfTrue="1" operator="equal">
      <formula>"2 Add"</formula>
    </cfRule>
  </conditionalFormatting>
  <conditionalFormatting sqref="C372">
    <cfRule type="cellIs" dxfId="4986" priority="1113" stopIfTrue="1" operator="equal">
      <formula>"3 Delete"</formula>
    </cfRule>
  </conditionalFormatting>
  <conditionalFormatting sqref="C373">
    <cfRule type="cellIs" dxfId="4985" priority="1114" stopIfTrue="1" operator="equal">
      <formula>"1 Modify"</formula>
    </cfRule>
  </conditionalFormatting>
  <conditionalFormatting sqref="C373">
    <cfRule type="cellIs" dxfId="4984" priority="1115" stopIfTrue="1" operator="equal">
      <formula>"2 Add"</formula>
    </cfRule>
  </conditionalFormatting>
  <conditionalFormatting sqref="C373">
    <cfRule type="cellIs" dxfId="4983" priority="1116" stopIfTrue="1" operator="equal">
      <formula>"3 Delete"</formula>
    </cfRule>
  </conditionalFormatting>
  <conditionalFormatting sqref="C374">
    <cfRule type="cellIs" dxfId="4982" priority="1117" stopIfTrue="1" operator="equal">
      <formula>"1 Modify"</formula>
    </cfRule>
  </conditionalFormatting>
  <conditionalFormatting sqref="C374">
    <cfRule type="cellIs" dxfId="4981" priority="1118" stopIfTrue="1" operator="equal">
      <formula>"2 Add"</formula>
    </cfRule>
  </conditionalFormatting>
  <conditionalFormatting sqref="C374">
    <cfRule type="cellIs" dxfId="4980" priority="1119" stopIfTrue="1" operator="equal">
      <formula>"3 Delete"</formula>
    </cfRule>
  </conditionalFormatting>
  <conditionalFormatting sqref="C375">
    <cfRule type="cellIs" dxfId="4979" priority="1120" stopIfTrue="1" operator="equal">
      <formula>"1 Modify"</formula>
    </cfRule>
  </conditionalFormatting>
  <conditionalFormatting sqref="C375">
    <cfRule type="cellIs" dxfId="4978" priority="1121" stopIfTrue="1" operator="equal">
      <formula>"2 Add"</formula>
    </cfRule>
  </conditionalFormatting>
  <conditionalFormatting sqref="C375">
    <cfRule type="cellIs" dxfId="4977" priority="1122" stopIfTrue="1" operator="equal">
      <formula>"3 Delete"</formula>
    </cfRule>
  </conditionalFormatting>
  <conditionalFormatting sqref="C376">
    <cfRule type="cellIs" dxfId="4976" priority="1123" stopIfTrue="1" operator="equal">
      <formula>"1 Modify"</formula>
    </cfRule>
  </conditionalFormatting>
  <conditionalFormatting sqref="C376">
    <cfRule type="cellIs" dxfId="4975" priority="1124" stopIfTrue="1" operator="equal">
      <formula>"2 Add"</formula>
    </cfRule>
  </conditionalFormatting>
  <conditionalFormatting sqref="C376">
    <cfRule type="cellIs" dxfId="4974" priority="1125" stopIfTrue="1" operator="equal">
      <formula>"3 Delete"</formula>
    </cfRule>
  </conditionalFormatting>
  <conditionalFormatting sqref="C377">
    <cfRule type="cellIs" dxfId="4973" priority="1126" stopIfTrue="1" operator="equal">
      <formula>"1 Modify"</formula>
    </cfRule>
  </conditionalFormatting>
  <conditionalFormatting sqref="C377">
    <cfRule type="cellIs" dxfId="4972" priority="1127" stopIfTrue="1" operator="equal">
      <formula>"2 Add"</formula>
    </cfRule>
  </conditionalFormatting>
  <conditionalFormatting sqref="C377">
    <cfRule type="cellIs" dxfId="4971" priority="1128" stopIfTrue="1" operator="equal">
      <formula>"3 Delete"</formula>
    </cfRule>
  </conditionalFormatting>
  <conditionalFormatting sqref="C378">
    <cfRule type="cellIs" dxfId="4970" priority="1129" stopIfTrue="1" operator="equal">
      <formula>"1 Modify"</formula>
    </cfRule>
  </conditionalFormatting>
  <conditionalFormatting sqref="C378">
    <cfRule type="cellIs" dxfId="4969" priority="1130" stopIfTrue="1" operator="equal">
      <formula>"2 Add"</formula>
    </cfRule>
  </conditionalFormatting>
  <conditionalFormatting sqref="C378">
    <cfRule type="cellIs" dxfId="4968" priority="1131" stopIfTrue="1" operator="equal">
      <formula>"3 Delete"</formula>
    </cfRule>
  </conditionalFormatting>
  <conditionalFormatting sqref="C379">
    <cfRule type="cellIs" dxfId="4967" priority="1132" stopIfTrue="1" operator="equal">
      <formula>"1 Modify"</formula>
    </cfRule>
  </conditionalFormatting>
  <conditionalFormatting sqref="C379">
    <cfRule type="cellIs" dxfId="4966" priority="1133" stopIfTrue="1" operator="equal">
      <formula>"2 Add"</formula>
    </cfRule>
  </conditionalFormatting>
  <conditionalFormatting sqref="C379">
    <cfRule type="cellIs" dxfId="4965" priority="1134" stopIfTrue="1" operator="equal">
      <formula>"3 Delete"</formula>
    </cfRule>
  </conditionalFormatting>
  <conditionalFormatting sqref="C380">
    <cfRule type="cellIs" dxfId="4964" priority="1135" stopIfTrue="1" operator="equal">
      <formula>"1 Modify"</formula>
    </cfRule>
  </conditionalFormatting>
  <conditionalFormatting sqref="C380">
    <cfRule type="cellIs" dxfId="4963" priority="1136" stopIfTrue="1" operator="equal">
      <formula>"2 Add"</formula>
    </cfRule>
  </conditionalFormatting>
  <conditionalFormatting sqref="C380">
    <cfRule type="cellIs" dxfId="4962" priority="1137" stopIfTrue="1" operator="equal">
      <formula>"3 Delete"</formula>
    </cfRule>
  </conditionalFormatting>
  <conditionalFormatting sqref="C381">
    <cfRule type="cellIs" dxfId="4961" priority="1138" stopIfTrue="1" operator="equal">
      <formula>"1 Modify"</formula>
    </cfRule>
  </conditionalFormatting>
  <conditionalFormatting sqref="C381">
    <cfRule type="cellIs" dxfId="4960" priority="1139" stopIfTrue="1" operator="equal">
      <formula>"2 Add"</formula>
    </cfRule>
  </conditionalFormatting>
  <conditionalFormatting sqref="C381">
    <cfRule type="cellIs" dxfId="4959" priority="1140" stopIfTrue="1" operator="equal">
      <formula>"3 Delete"</formula>
    </cfRule>
  </conditionalFormatting>
  <conditionalFormatting sqref="C382">
    <cfRule type="cellIs" dxfId="4958" priority="1141" stopIfTrue="1" operator="equal">
      <formula>"1 Modify"</formula>
    </cfRule>
  </conditionalFormatting>
  <conditionalFormatting sqref="C382">
    <cfRule type="cellIs" dxfId="4957" priority="1142" stopIfTrue="1" operator="equal">
      <formula>"2 Add"</formula>
    </cfRule>
  </conditionalFormatting>
  <conditionalFormatting sqref="C382">
    <cfRule type="cellIs" dxfId="4956" priority="1143" stopIfTrue="1" operator="equal">
      <formula>"3 Delete"</formula>
    </cfRule>
  </conditionalFormatting>
  <conditionalFormatting sqref="C383">
    <cfRule type="cellIs" dxfId="4955" priority="1144" stopIfTrue="1" operator="equal">
      <formula>"1 Modify"</formula>
    </cfRule>
  </conditionalFormatting>
  <conditionalFormatting sqref="C383">
    <cfRule type="cellIs" dxfId="4954" priority="1145" stopIfTrue="1" operator="equal">
      <formula>"2 Add"</formula>
    </cfRule>
  </conditionalFormatting>
  <conditionalFormatting sqref="C383">
    <cfRule type="cellIs" dxfId="4953" priority="1146" stopIfTrue="1" operator="equal">
      <formula>"3 Delete"</formula>
    </cfRule>
  </conditionalFormatting>
  <conditionalFormatting sqref="C384">
    <cfRule type="cellIs" dxfId="4952" priority="1147" stopIfTrue="1" operator="equal">
      <formula>"1 Modify"</formula>
    </cfRule>
  </conditionalFormatting>
  <conditionalFormatting sqref="C384">
    <cfRule type="cellIs" dxfId="4951" priority="1148" stopIfTrue="1" operator="equal">
      <formula>"2 Add"</formula>
    </cfRule>
  </conditionalFormatting>
  <conditionalFormatting sqref="C384">
    <cfRule type="cellIs" dxfId="4950" priority="1149" stopIfTrue="1" operator="equal">
      <formula>"3 Delete"</formula>
    </cfRule>
  </conditionalFormatting>
  <conditionalFormatting sqref="C385">
    <cfRule type="cellIs" dxfId="4949" priority="1150" stopIfTrue="1" operator="equal">
      <formula>"1 Modify"</formula>
    </cfRule>
  </conditionalFormatting>
  <conditionalFormatting sqref="C385">
    <cfRule type="cellIs" dxfId="4948" priority="1151" stopIfTrue="1" operator="equal">
      <formula>"2 Add"</formula>
    </cfRule>
  </conditionalFormatting>
  <conditionalFormatting sqref="C385">
    <cfRule type="cellIs" dxfId="4947" priority="1152" stopIfTrue="1" operator="equal">
      <formula>"3 Delete"</formula>
    </cfRule>
  </conditionalFormatting>
  <conditionalFormatting sqref="C386">
    <cfRule type="cellIs" dxfId="4946" priority="1153" stopIfTrue="1" operator="equal">
      <formula>"1 Modify"</formula>
    </cfRule>
  </conditionalFormatting>
  <conditionalFormatting sqref="C386">
    <cfRule type="cellIs" dxfId="4945" priority="1154" stopIfTrue="1" operator="equal">
      <formula>"2 Add"</formula>
    </cfRule>
  </conditionalFormatting>
  <conditionalFormatting sqref="C386">
    <cfRule type="cellIs" dxfId="4944" priority="1155" stopIfTrue="1" operator="equal">
      <formula>"3 Delete"</formula>
    </cfRule>
  </conditionalFormatting>
  <conditionalFormatting sqref="C387">
    <cfRule type="cellIs" dxfId="4943" priority="1156" stopIfTrue="1" operator="equal">
      <formula>"1 Modify"</formula>
    </cfRule>
  </conditionalFormatting>
  <conditionalFormatting sqref="C387">
    <cfRule type="cellIs" dxfId="4942" priority="1157" stopIfTrue="1" operator="equal">
      <formula>"2 Add"</formula>
    </cfRule>
  </conditionalFormatting>
  <conditionalFormatting sqref="C387">
    <cfRule type="cellIs" dxfId="4941" priority="1158" stopIfTrue="1" operator="equal">
      <formula>"3 Delete"</formula>
    </cfRule>
  </conditionalFormatting>
  <conditionalFormatting sqref="C388">
    <cfRule type="cellIs" dxfId="4940" priority="1159" stopIfTrue="1" operator="equal">
      <formula>"1 Modify"</formula>
    </cfRule>
  </conditionalFormatting>
  <conditionalFormatting sqref="C388">
    <cfRule type="cellIs" dxfId="4939" priority="1160" stopIfTrue="1" operator="equal">
      <formula>"2 Add"</formula>
    </cfRule>
  </conditionalFormatting>
  <conditionalFormatting sqref="C388">
    <cfRule type="cellIs" dxfId="4938" priority="1161" stopIfTrue="1" operator="equal">
      <formula>"3 Delete"</formula>
    </cfRule>
  </conditionalFormatting>
  <conditionalFormatting sqref="C389">
    <cfRule type="cellIs" dxfId="4937" priority="1162" stopIfTrue="1" operator="equal">
      <formula>"1 Modify"</formula>
    </cfRule>
  </conditionalFormatting>
  <conditionalFormatting sqref="C389">
    <cfRule type="cellIs" dxfId="4936" priority="1163" stopIfTrue="1" operator="equal">
      <formula>"2 Add"</formula>
    </cfRule>
  </conditionalFormatting>
  <conditionalFormatting sqref="C389">
    <cfRule type="cellIs" dxfId="4935" priority="1164" stopIfTrue="1" operator="equal">
      <formula>"3 Delete"</formula>
    </cfRule>
  </conditionalFormatting>
  <conditionalFormatting sqref="C390">
    <cfRule type="cellIs" dxfId="4934" priority="1165" stopIfTrue="1" operator="equal">
      <formula>"1 Modify"</formula>
    </cfRule>
  </conditionalFormatting>
  <conditionalFormatting sqref="C390">
    <cfRule type="cellIs" dxfId="4933" priority="1166" stopIfTrue="1" operator="equal">
      <formula>"2 Add"</formula>
    </cfRule>
  </conditionalFormatting>
  <conditionalFormatting sqref="C390">
    <cfRule type="cellIs" dxfId="4932" priority="1167" stopIfTrue="1" operator="equal">
      <formula>"3 Delete"</formula>
    </cfRule>
  </conditionalFormatting>
  <conditionalFormatting sqref="C391">
    <cfRule type="cellIs" dxfId="4931" priority="1168" stopIfTrue="1" operator="equal">
      <formula>"1 Modify"</formula>
    </cfRule>
  </conditionalFormatting>
  <conditionalFormatting sqref="C391">
    <cfRule type="cellIs" dxfId="4930" priority="1169" stopIfTrue="1" operator="equal">
      <formula>"2 Add"</formula>
    </cfRule>
  </conditionalFormatting>
  <conditionalFormatting sqref="C391">
    <cfRule type="cellIs" dxfId="4929" priority="1170" stopIfTrue="1" operator="equal">
      <formula>"3 Delete"</formula>
    </cfRule>
  </conditionalFormatting>
  <conditionalFormatting sqref="C392">
    <cfRule type="cellIs" dxfId="4928" priority="1171" stopIfTrue="1" operator="equal">
      <formula>"1 Modify"</formula>
    </cfRule>
  </conditionalFormatting>
  <conditionalFormatting sqref="C392">
    <cfRule type="cellIs" dxfId="4927" priority="1172" stopIfTrue="1" operator="equal">
      <formula>"2 Add"</formula>
    </cfRule>
  </conditionalFormatting>
  <conditionalFormatting sqref="C392">
    <cfRule type="cellIs" dxfId="4926" priority="1173" stopIfTrue="1" operator="equal">
      <formula>"3 Delete"</formula>
    </cfRule>
  </conditionalFormatting>
  <conditionalFormatting sqref="C393">
    <cfRule type="cellIs" dxfId="4925" priority="1174" stopIfTrue="1" operator="equal">
      <formula>"1 Modify"</formula>
    </cfRule>
  </conditionalFormatting>
  <conditionalFormatting sqref="C393">
    <cfRule type="cellIs" dxfId="4924" priority="1175" stopIfTrue="1" operator="equal">
      <formula>"2 Add"</formula>
    </cfRule>
  </conditionalFormatting>
  <conditionalFormatting sqref="C393">
    <cfRule type="cellIs" dxfId="4923" priority="1176" stopIfTrue="1" operator="equal">
      <formula>"3 Delete"</formula>
    </cfRule>
  </conditionalFormatting>
  <conditionalFormatting sqref="C394">
    <cfRule type="cellIs" dxfId="4922" priority="1177" stopIfTrue="1" operator="equal">
      <formula>"1 Modify"</formula>
    </cfRule>
  </conditionalFormatting>
  <conditionalFormatting sqref="C394">
    <cfRule type="cellIs" dxfId="4921" priority="1178" stopIfTrue="1" operator="equal">
      <formula>"2 Add"</formula>
    </cfRule>
  </conditionalFormatting>
  <conditionalFormatting sqref="C394">
    <cfRule type="cellIs" dxfId="4920" priority="1179" stopIfTrue="1" operator="equal">
      <formula>"3 Delete"</formula>
    </cfRule>
  </conditionalFormatting>
  <conditionalFormatting sqref="C395">
    <cfRule type="cellIs" dxfId="4919" priority="1180" stopIfTrue="1" operator="equal">
      <formula>"1 Modify"</formula>
    </cfRule>
  </conditionalFormatting>
  <conditionalFormatting sqref="C395">
    <cfRule type="cellIs" dxfId="4918" priority="1181" stopIfTrue="1" operator="equal">
      <formula>"2 Add"</formula>
    </cfRule>
  </conditionalFormatting>
  <conditionalFormatting sqref="C395">
    <cfRule type="cellIs" dxfId="4917" priority="1182" stopIfTrue="1" operator="equal">
      <formula>"3 Delete"</formula>
    </cfRule>
  </conditionalFormatting>
  <conditionalFormatting sqref="C396">
    <cfRule type="cellIs" dxfId="4916" priority="1183" stopIfTrue="1" operator="equal">
      <formula>"1 Modify"</formula>
    </cfRule>
  </conditionalFormatting>
  <conditionalFormatting sqref="C396">
    <cfRule type="cellIs" dxfId="4915" priority="1184" stopIfTrue="1" operator="equal">
      <formula>"2 Add"</formula>
    </cfRule>
  </conditionalFormatting>
  <conditionalFormatting sqref="C396">
    <cfRule type="cellIs" dxfId="4914" priority="1185" stopIfTrue="1" operator="equal">
      <formula>"3 Delete"</formula>
    </cfRule>
  </conditionalFormatting>
  <conditionalFormatting sqref="C397">
    <cfRule type="cellIs" dxfId="4913" priority="1186" stopIfTrue="1" operator="equal">
      <formula>"1 Modify"</formula>
    </cfRule>
  </conditionalFormatting>
  <conditionalFormatting sqref="C397">
    <cfRule type="cellIs" dxfId="4912" priority="1187" stopIfTrue="1" operator="equal">
      <formula>"2 Add"</formula>
    </cfRule>
  </conditionalFormatting>
  <conditionalFormatting sqref="C397">
    <cfRule type="cellIs" dxfId="4911" priority="1188" stopIfTrue="1" operator="equal">
      <formula>"3 Delete"</formula>
    </cfRule>
  </conditionalFormatting>
  <conditionalFormatting sqref="C398">
    <cfRule type="cellIs" dxfId="4910" priority="1189" stopIfTrue="1" operator="equal">
      <formula>"1 Modify"</formula>
    </cfRule>
  </conditionalFormatting>
  <conditionalFormatting sqref="C398">
    <cfRule type="cellIs" dxfId="4909" priority="1190" stopIfTrue="1" operator="equal">
      <formula>"2 Add"</formula>
    </cfRule>
  </conditionalFormatting>
  <conditionalFormatting sqref="C398">
    <cfRule type="cellIs" dxfId="4908" priority="1191" stopIfTrue="1" operator="equal">
      <formula>"3 Delete"</formula>
    </cfRule>
  </conditionalFormatting>
  <conditionalFormatting sqref="C399">
    <cfRule type="cellIs" dxfId="4907" priority="1192" stopIfTrue="1" operator="equal">
      <formula>"1 Modify"</formula>
    </cfRule>
  </conditionalFormatting>
  <conditionalFormatting sqref="C399">
    <cfRule type="cellIs" dxfId="4906" priority="1193" stopIfTrue="1" operator="equal">
      <formula>"2 Add"</formula>
    </cfRule>
  </conditionalFormatting>
  <conditionalFormatting sqref="C399">
    <cfRule type="cellIs" dxfId="4905" priority="1194" stopIfTrue="1" operator="equal">
      <formula>"3 Delete"</formula>
    </cfRule>
  </conditionalFormatting>
  <conditionalFormatting sqref="C400">
    <cfRule type="cellIs" dxfId="4904" priority="1195" stopIfTrue="1" operator="equal">
      <formula>"1 Modify"</formula>
    </cfRule>
  </conditionalFormatting>
  <conditionalFormatting sqref="C400">
    <cfRule type="cellIs" dxfId="4903" priority="1196" stopIfTrue="1" operator="equal">
      <formula>"2 Add"</formula>
    </cfRule>
  </conditionalFormatting>
  <conditionalFormatting sqref="C400">
    <cfRule type="cellIs" dxfId="4902" priority="1197" stopIfTrue="1" operator="equal">
      <formula>"3 Delete"</formula>
    </cfRule>
  </conditionalFormatting>
  <conditionalFormatting sqref="C401">
    <cfRule type="cellIs" dxfId="4901" priority="1198" stopIfTrue="1" operator="equal">
      <formula>"1 Modify"</formula>
    </cfRule>
  </conditionalFormatting>
  <conditionalFormatting sqref="C401">
    <cfRule type="cellIs" dxfId="4900" priority="1199" stopIfTrue="1" operator="equal">
      <formula>"2 Add"</formula>
    </cfRule>
  </conditionalFormatting>
  <conditionalFormatting sqref="C401">
    <cfRule type="cellIs" dxfId="4899" priority="1200" stopIfTrue="1" operator="equal">
      <formula>"3 Delete"</formula>
    </cfRule>
  </conditionalFormatting>
  <conditionalFormatting sqref="C402">
    <cfRule type="cellIs" dxfId="4898" priority="1201" stopIfTrue="1" operator="equal">
      <formula>"1 Modify"</formula>
    </cfRule>
  </conditionalFormatting>
  <conditionalFormatting sqref="C402">
    <cfRule type="cellIs" dxfId="4897" priority="1202" stopIfTrue="1" operator="equal">
      <formula>"2 Add"</formula>
    </cfRule>
  </conditionalFormatting>
  <conditionalFormatting sqref="C402">
    <cfRule type="cellIs" dxfId="4896" priority="1203" stopIfTrue="1" operator="equal">
      <formula>"3 Delete"</formula>
    </cfRule>
  </conditionalFormatting>
  <conditionalFormatting sqref="C403">
    <cfRule type="cellIs" dxfId="4895" priority="1204" stopIfTrue="1" operator="equal">
      <formula>"1 Modify"</formula>
    </cfRule>
  </conditionalFormatting>
  <conditionalFormatting sqref="C403">
    <cfRule type="cellIs" dxfId="4894" priority="1205" stopIfTrue="1" operator="equal">
      <formula>"2 Add"</formula>
    </cfRule>
  </conditionalFormatting>
  <conditionalFormatting sqref="C403">
    <cfRule type="cellIs" dxfId="4893" priority="1206" stopIfTrue="1" operator="equal">
      <formula>"3 Delete"</formula>
    </cfRule>
  </conditionalFormatting>
  <conditionalFormatting sqref="C404">
    <cfRule type="cellIs" dxfId="4892" priority="1207" stopIfTrue="1" operator="equal">
      <formula>"1 Modify"</formula>
    </cfRule>
  </conditionalFormatting>
  <conditionalFormatting sqref="C404">
    <cfRule type="cellIs" dxfId="4891" priority="1208" stopIfTrue="1" operator="equal">
      <formula>"2 Add"</formula>
    </cfRule>
  </conditionalFormatting>
  <conditionalFormatting sqref="C404">
    <cfRule type="cellIs" dxfId="4890" priority="1209" stopIfTrue="1" operator="equal">
      <formula>"3 Delete"</formula>
    </cfRule>
  </conditionalFormatting>
  <conditionalFormatting sqref="C405">
    <cfRule type="cellIs" dxfId="4889" priority="1210" stopIfTrue="1" operator="equal">
      <formula>"1 Modify"</formula>
    </cfRule>
  </conditionalFormatting>
  <conditionalFormatting sqref="C405">
    <cfRule type="cellIs" dxfId="4888" priority="1211" stopIfTrue="1" operator="equal">
      <formula>"2 Add"</formula>
    </cfRule>
  </conditionalFormatting>
  <conditionalFormatting sqref="C405">
    <cfRule type="cellIs" dxfId="4887" priority="1212" stopIfTrue="1" operator="equal">
      <formula>"3 Delete"</formula>
    </cfRule>
  </conditionalFormatting>
  <conditionalFormatting sqref="C406">
    <cfRule type="cellIs" dxfId="4886" priority="1213" stopIfTrue="1" operator="equal">
      <formula>"1 Modify"</formula>
    </cfRule>
  </conditionalFormatting>
  <conditionalFormatting sqref="C406">
    <cfRule type="cellIs" dxfId="4885" priority="1214" stopIfTrue="1" operator="equal">
      <formula>"2 Add"</formula>
    </cfRule>
  </conditionalFormatting>
  <conditionalFormatting sqref="C406">
    <cfRule type="cellIs" dxfId="4884" priority="1215" stopIfTrue="1" operator="equal">
      <formula>"3 Delete"</formula>
    </cfRule>
  </conditionalFormatting>
  <conditionalFormatting sqref="C407">
    <cfRule type="cellIs" dxfId="4883" priority="1216" stopIfTrue="1" operator="equal">
      <formula>"1 Modify"</formula>
    </cfRule>
  </conditionalFormatting>
  <conditionalFormatting sqref="C407">
    <cfRule type="cellIs" dxfId="4882" priority="1217" stopIfTrue="1" operator="equal">
      <formula>"2 Add"</formula>
    </cfRule>
  </conditionalFormatting>
  <conditionalFormatting sqref="C407">
    <cfRule type="cellIs" dxfId="4881" priority="1218" stopIfTrue="1" operator="equal">
      <formula>"3 Delete"</formula>
    </cfRule>
  </conditionalFormatting>
  <conditionalFormatting sqref="C408">
    <cfRule type="cellIs" dxfId="4880" priority="1219" stopIfTrue="1" operator="equal">
      <formula>"1 Modify"</formula>
    </cfRule>
  </conditionalFormatting>
  <conditionalFormatting sqref="C408">
    <cfRule type="cellIs" dxfId="4879" priority="1220" stopIfTrue="1" operator="equal">
      <formula>"2 Add"</formula>
    </cfRule>
  </conditionalFormatting>
  <conditionalFormatting sqref="C408">
    <cfRule type="cellIs" dxfId="4878" priority="1221" stopIfTrue="1" operator="equal">
      <formula>"3 Delete"</formula>
    </cfRule>
  </conditionalFormatting>
  <conditionalFormatting sqref="C409">
    <cfRule type="cellIs" dxfId="4877" priority="1222" stopIfTrue="1" operator="equal">
      <formula>"1 Modify"</formula>
    </cfRule>
  </conditionalFormatting>
  <conditionalFormatting sqref="C409">
    <cfRule type="cellIs" dxfId="4876" priority="1223" stopIfTrue="1" operator="equal">
      <formula>"2 Add"</formula>
    </cfRule>
  </conditionalFormatting>
  <conditionalFormatting sqref="C409">
    <cfRule type="cellIs" dxfId="4875" priority="1224" stopIfTrue="1" operator="equal">
      <formula>"3 Delete"</formula>
    </cfRule>
  </conditionalFormatting>
  <conditionalFormatting sqref="C410">
    <cfRule type="cellIs" dxfId="4874" priority="1225" stopIfTrue="1" operator="equal">
      <formula>"1 Modify"</formula>
    </cfRule>
  </conditionalFormatting>
  <conditionalFormatting sqref="C410">
    <cfRule type="cellIs" dxfId="4873" priority="1226" stopIfTrue="1" operator="equal">
      <formula>"2 Add"</formula>
    </cfRule>
  </conditionalFormatting>
  <conditionalFormatting sqref="C410">
    <cfRule type="cellIs" dxfId="4872" priority="1227" stopIfTrue="1" operator="equal">
      <formula>"3 Delete"</formula>
    </cfRule>
  </conditionalFormatting>
  <conditionalFormatting sqref="C411">
    <cfRule type="cellIs" dxfId="4871" priority="1228" stopIfTrue="1" operator="equal">
      <formula>"1 Modify"</formula>
    </cfRule>
  </conditionalFormatting>
  <conditionalFormatting sqref="C411">
    <cfRule type="cellIs" dxfId="4870" priority="1229" stopIfTrue="1" operator="equal">
      <formula>"2 Add"</formula>
    </cfRule>
  </conditionalFormatting>
  <conditionalFormatting sqref="C411">
    <cfRule type="cellIs" dxfId="4869" priority="1230" stopIfTrue="1" operator="equal">
      <formula>"3 Delete"</formula>
    </cfRule>
  </conditionalFormatting>
  <conditionalFormatting sqref="C412">
    <cfRule type="cellIs" dxfId="4868" priority="1231" stopIfTrue="1" operator="equal">
      <formula>"1 Modify"</formula>
    </cfRule>
  </conditionalFormatting>
  <conditionalFormatting sqref="C412">
    <cfRule type="cellIs" dxfId="4867" priority="1232" stopIfTrue="1" operator="equal">
      <formula>"2 Add"</formula>
    </cfRule>
  </conditionalFormatting>
  <conditionalFormatting sqref="C412">
    <cfRule type="cellIs" dxfId="4866" priority="1233" stopIfTrue="1" operator="equal">
      <formula>"3 Delete"</formula>
    </cfRule>
  </conditionalFormatting>
  <conditionalFormatting sqref="C413">
    <cfRule type="cellIs" dxfId="4865" priority="1234" stopIfTrue="1" operator="equal">
      <formula>"1 Modify"</formula>
    </cfRule>
  </conditionalFormatting>
  <conditionalFormatting sqref="C413">
    <cfRule type="cellIs" dxfId="4864" priority="1235" stopIfTrue="1" operator="equal">
      <formula>"2 Add"</formula>
    </cfRule>
  </conditionalFormatting>
  <conditionalFormatting sqref="C413">
    <cfRule type="cellIs" dxfId="4863" priority="1236" stopIfTrue="1" operator="equal">
      <formula>"3 Delete"</formula>
    </cfRule>
  </conditionalFormatting>
  <conditionalFormatting sqref="C414">
    <cfRule type="cellIs" dxfId="4862" priority="1237" stopIfTrue="1" operator="equal">
      <formula>"1 Modify"</formula>
    </cfRule>
  </conditionalFormatting>
  <conditionalFormatting sqref="C414">
    <cfRule type="cellIs" dxfId="4861" priority="1238" stopIfTrue="1" operator="equal">
      <formula>"2 Add"</formula>
    </cfRule>
  </conditionalFormatting>
  <conditionalFormatting sqref="C414">
    <cfRule type="cellIs" dxfId="4860" priority="1239" stopIfTrue="1" operator="equal">
      <formula>"3 Delete"</formula>
    </cfRule>
  </conditionalFormatting>
  <conditionalFormatting sqref="C415">
    <cfRule type="cellIs" dxfId="4859" priority="1240" stopIfTrue="1" operator="equal">
      <formula>"1 Modify"</formula>
    </cfRule>
  </conditionalFormatting>
  <conditionalFormatting sqref="C415">
    <cfRule type="cellIs" dxfId="4858" priority="1241" stopIfTrue="1" operator="equal">
      <formula>"2 Add"</formula>
    </cfRule>
  </conditionalFormatting>
  <conditionalFormatting sqref="C415">
    <cfRule type="cellIs" dxfId="4857" priority="1242" stopIfTrue="1" operator="equal">
      <formula>"3 Delete"</formula>
    </cfRule>
  </conditionalFormatting>
  <conditionalFormatting sqref="C416">
    <cfRule type="cellIs" dxfId="4856" priority="1243" stopIfTrue="1" operator="equal">
      <formula>"1 Modify"</formula>
    </cfRule>
  </conditionalFormatting>
  <conditionalFormatting sqref="C416">
    <cfRule type="cellIs" dxfId="4855" priority="1244" stopIfTrue="1" operator="equal">
      <formula>"2 Add"</formula>
    </cfRule>
  </conditionalFormatting>
  <conditionalFormatting sqref="C416">
    <cfRule type="cellIs" dxfId="4854" priority="1245" stopIfTrue="1" operator="equal">
      <formula>"3 Delete"</formula>
    </cfRule>
  </conditionalFormatting>
  <conditionalFormatting sqref="C417">
    <cfRule type="cellIs" dxfId="4853" priority="1246" stopIfTrue="1" operator="equal">
      <formula>"1 Modify"</formula>
    </cfRule>
  </conditionalFormatting>
  <conditionalFormatting sqref="C417">
    <cfRule type="cellIs" dxfId="4852" priority="1247" stopIfTrue="1" operator="equal">
      <formula>"2 Add"</formula>
    </cfRule>
  </conditionalFormatting>
  <conditionalFormatting sqref="C417">
    <cfRule type="cellIs" dxfId="4851" priority="1248" stopIfTrue="1" operator="equal">
      <formula>"3 Delete"</formula>
    </cfRule>
  </conditionalFormatting>
  <conditionalFormatting sqref="C418">
    <cfRule type="cellIs" dxfId="4850" priority="1249" stopIfTrue="1" operator="equal">
      <formula>"1 Modify"</formula>
    </cfRule>
  </conditionalFormatting>
  <conditionalFormatting sqref="C418">
    <cfRule type="cellIs" dxfId="4849" priority="1250" stopIfTrue="1" operator="equal">
      <formula>"2 Add"</formula>
    </cfRule>
  </conditionalFormatting>
  <conditionalFormatting sqref="C418">
    <cfRule type="cellIs" dxfId="4848" priority="1251" stopIfTrue="1" operator="equal">
      <formula>"3 Delete"</formula>
    </cfRule>
  </conditionalFormatting>
  <conditionalFormatting sqref="C419">
    <cfRule type="cellIs" dxfId="4847" priority="1252" stopIfTrue="1" operator="equal">
      <formula>"1 Modify"</formula>
    </cfRule>
  </conditionalFormatting>
  <conditionalFormatting sqref="C419">
    <cfRule type="cellIs" dxfId="4846" priority="1253" stopIfTrue="1" operator="equal">
      <formula>"2 Add"</formula>
    </cfRule>
  </conditionalFormatting>
  <conditionalFormatting sqref="C419">
    <cfRule type="cellIs" dxfId="4845" priority="1254" stopIfTrue="1" operator="equal">
      <formula>"3 Delete"</formula>
    </cfRule>
  </conditionalFormatting>
  <conditionalFormatting sqref="C420">
    <cfRule type="cellIs" dxfId="4844" priority="1255" stopIfTrue="1" operator="equal">
      <formula>"1 Modify"</formula>
    </cfRule>
  </conditionalFormatting>
  <conditionalFormatting sqref="C420">
    <cfRule type="cellIs" dxfId="4843" priority="1256" stopIfTrue="1" operator="equal">
      <formula>"2 Add"</formula>
    </cfRule>
  </conditionalFormatting>
  <conditionalFormatting sqref="C420">
    <cfRule type="cellIs" dxfId="4842" priority="1257" stopIfTrue="1" operator="equal">
      <formula>"3 Delete"</formula>
    </cfRule>
  </conditionalFormatting>
  <conditionalFormatting sqref="C421">
    <cfRule type="cellIs" dxfId="4841" priority="1258" stopIfTrue="1" operator="equal">
      <formula>"1 Modify"</formula>
    </cfRule>
  </conditionalFormatting>
  <conditionalFormatting sqref="C421">
    <cfRule type="cellIs" dxfId="4840" priority="1259" stopIfTrue="1" operator="equal">
      <formula>"2 Add"</formula>
    </cfRule>
  </conditionalFormatting>
  <conditionalFormatting sqref="C421">
    <cfRule type="cellIs" dxfId="4839" priority="1260" stopIfTrue="1" operator="equal">
      <formula>"3 Delete"</formula>
    </cfRule>
  </conditionalFormatting>
  <conditionalFormatting sqref="C422">
    <cfRule type="cellIs" dxfId="4838" priority="1261" stopIfTrue="1" operator="equal">
      <formula>"1 Modify"</formula>
    </cfRule>
  </conditionalFormatting>
  <conditionalFormatting sqref="C422">
    <cfRule type="cellIs" dxfId="4837" priority="1262" stopIfTrue="1" operator="equal">
      <formula>"2 Add"</formula>
    </cfRule>
  </conditionalFormatting>
  <conditionalFormatting sqref="C422">
    <cfRule type="cellIs" dxfId="4836" priority="1263" stopIfTrue="1" operator="equal">
      <formula>"3 Delete"</formula>
    </cfRule>
  </conditionalFormatting>
  <conditionalFormatting sqref="C423">
    <cfRule type="cellIs" dxfId="4835" priority="1264" stopIfTrue="1" operator="equal">
      <formula>"1 Modify"</formula>
    </cfRule>
  </conditionalFormatting>
  <conditionalFormatting sqref="C423">
    <cfRule type="cellIs" dxfId="4834" priority="1265" stopIfTrue="1" operator="equal">
      <formula>"2 Add"</formula>
    </cfRule>
  </conditionalFormatting>
  <conditionalFormatting sqref="C423">
    <cfRule type="cellIs" dxfId="4833" priority="1266" stopIfTrue="1" operator="equal">
      <formula>"3 Delete"</formula>
    </cfRule>
  </conditionalFormatting>
  <conditionalFormatting sqref="C424">
    <cfRule type="cellIs" dxfId="4832" priority="1267" stopIfTrue="1" operator="equal">
      <formula>"1 Modify"</formula>
    </cfRule>
  </conditionalFormatting>
  <conditionalFormatting sqref="C424">
    <cfRule type="cellIs" dxfId="4831" priority="1268" stopIfTrue="1" operator="equal">
      <formula>"2 Add"</formula>
    </cfRule>
  </conditionalFormatting>
  <conditionalFormatting sqref="C424">
    <cfRule type="cellIs" dxfId="4830" priority="1269" stopIfTrue="1" operator="equal">
      <formula>"3 Delete"</formula>
    </cfRule>
  </conditionalFormatting>
  <conditionalFormatting sqref="C425">
    <cfRule type="cellIs" dxfId="4829" priority="1270" stopIfTrue="1" operator="equal">
      <formula>"1 Modify"</formula>
    </cfRule>
  </conditionalFormatting>
  <conditionalFormatting sqref="C425">
    <cfRule type="cellIs" dxfId="4828" priority="1271" stopIfTrue="1" operator="equal">
      <formula>"2 Add"</formula>
    </cfRule>
  </conditionalFormatting>
  <conditionalFormatting sqref="C425">
    <cfRule type="cellIs" dxfId="4827" priority="1272" stopIfTrue="1" operator="equal">
      <formula>"3 Delete"</formula>
    </cfRule>
  </conditionalFormatting>
  <conditionalFormatting sqref="C426">
    <cfRule type="cellIs" dxfId="4826" priority="1273" stopIfTrue="1" operator="equal">
      <formula>"1 Modify"</formula>
    </cfRule>
  </conditionalFormatting>
  <conditionalFormatting sqref="C426">
    <cfRule type="cellIs" dxfId="4825" priority="1274" stopIfTrue="1" operator="equal">
      <formula>"2 Add"</formula>
    </cfRule>
  </conditionalFormatting>
  <conditionalFormatting sqref="C426">
    <cfRule type="cellIs" dxfId="4824" priority="1275" stopIfTrue="1" operator="equal">
      <formula>"3 Delete"</formula>
    </cfRule>
  </conditionalFormatting>
  <conditionalFormatting sqref="C427">
    <cfRule type="cellIs" dxfId="4823" priority="1276" stopIfTrue="1" operator="equal">
      <formula>"1 Modify"</formula>
    </cfRule>
  </conditionalFormatting>
  <conditionalFormatting sqref="C427">
    <cfRule type="cellIs" dxfId="4822" priority="1277" stopIfTrue="1" operator="equal">
      <formula>"2 Add"</formula>
    </cfRule>
  </conditionalFormatting>
  <conditionalFormatting sqref="C427">
    <cfRule type="cellIs" dxfId="4821" priority="1278" stopIfTrue="1" operator="equal">
      <formula>"3 Delete"</formula>
    </cfRule>
  </conditionalFormatting>
  <conditionalFormatting sqref="C428">
    <cfRule type="cellIs" dxfId="4820" priority="1279" stopIfTrue="1" operator="equal">
      <formula>"1 Modify"</formula>
    </cfRule>
  </conditionalFormatting>
  <conditionalFormatting sqref="C428">
    <cfRule type="cellIs" dxfId="4819" priority="1280" stopIfTrue="1" operator="equal">
      <formula>"2 Add"</formula>
    </cfRule>
  </conditionalFormatting>
  <conditionalFormatting sqref="C428">
    <cfRule type="cellIs" dxfId="4818" priority="1281" stopIfTrue="1" operator="equal">
      <formula>"3 Delete"</formula>
    </cfRule>
  </conditionalFormatting>
  <conditionalFormatting sqref="C429">
    <cfRule type="cellIs" dxfId="4817" priority="1282" stopIfTrue="1" operator="equal">
      <formula>"1 Modify"</formula>
    </cfRule>
  </conditionalFormatting>
  <conditionalFormatting sqref="C429">
    <cfRule type="cellIs" dxfId="4816" priority="1283" stopIfTrue="1" operator="equal">
      <formula>"2 Add"</formula>
    </cfRule>
  </conditionalFormatting>
  <conditionalFormatting sqref="C429">
    <cfRule type="cellIs" dxfId="4815" priority="1284" stopIfTrue="1" operator="equal">
      <formula>"3 Delete"</formula>
    </cfRule>
  </conditionalFormatting>
  <conditionalFormatting sqref="C430">
    <cfRule type="cellIs" dxfId="4814" priority="1285" stopIfTrue="1" operator="equal">
      <formula>"1 Modify"</formula>
    </cfRule>
  </conditionalFormatting>
  <conditionalFormatting sqref="C430">
    <cfRule type="cellIs" dxfId="4813" priority="1286" stopIfTrue="1" operator="equal">
      <formula>"2 Add"</formula>
    </cfRule>
  </conditionalFormatting>
  <conditionalFormatting sqref="C430">
    <cfRule type="cellIs" dxfId="4812" priority="1287" stopIfTrue="1" operator="equal">
      <formula>"3 Delete"</formula>
    </cfRule>
  </conditionalFormatting>
  <conditionalFormatting sqref="C431">
    <cfRule type="cellIs" dxfId="4811" priority="1288" stopIfTrue="1" operator="equal">
      <formula>"1 Modify"</formula>
    </cfRule>
  </conditionalFormatting>
  <conditionalFormatting sqref="C431">
    <cfRule type="cellIs" dxfId="4810" priority="1289" stopIfTrue="1" operator="equal">
      <formula>"2 Add"</formula>
    </cfRule>
  </conditionalFormatting>
  <conditionalFormatting sqref="C431">
    <cfRule type="cellIs" dxfId="4809" priority="1290" stopIfTrue="1" operator="equal">
      <formula>"3 Delete"</formula>
    </cfRule>
  </conditionalFormatting>
  <conditionalFormatting sqref="C432">
    <cfRule type="cellIs" dxfId="4808" priority="1291" stopIfTrue="1" operator="equal">
      <formula>"1 Modify"</formula>
    </cfRule>
  </conditionalFormatting>
  <conditionalFormatting sqref="C432">
    <cfRule type="cellIs" dxfId="4807" priority="1292" stopIfTrue="1" operator="equal">
      <formula>"2 Add"</formula>
    </cfRule>
  </conditionalFormatting>
  <conditionalFormatting sqref="C432">
    <cfRule type="cellIs" dxfId="4806" priority="1293" stopIfTrue="1" operator="equal">
      <formula>"3 Delete"</formula>
    </cfRule>
  </conditionalFormatting>
  <conditionalFormatting sqref="C433">
    <cfRule type="cellIs" dxfId="4805" priority="1294" stopIfTrue="1" operator="equal">
      <formula>"1 Modify"</formula>
    </cfRule>
  </conditionalFormatting>
  <conditionalFormatting sqref="C433">
    <cfRule type="cellIs" dxfId="4804" priority="1295" stopIfTrue="1" operator="equal">
      <formula>"2 Add"</formula>
    </cfRule>
  </conditionalFormatting>
  <conditionalFormatting sqref="C433">
    <cfRule type="cellIs" dxfId="4803" priority="1296" stopIfTrue="1" operator="equal">
      <formula>"3 Delete"</formula>
    </cfRule>
  </conditionalFormatting>
  <conditionalFormatting sqref="C434">
    <cfRule type="cellIs" dxfId="4802" priority="1297" stopIfTrue="1" operator="equal">
      <formula>"1 Modify"</formula>
    </cfRule>
  </conditionalFormatting>
  <conditionalFormatting sqref="C434">
    <cfRule type="cellIs" dxfId="4801" priority="1298" stopIfTrue="1" operator="equal">
      <formula>"2 Add"</formula>
    </cfRule>
  </conditionalFormatting>
  <conditionalFormatting sqref="C434">
    <cfRule type="cellIs" dxfId="4800" priority="1299" stopIfTrue="1" operator="equal">
      <formula>"3 Delete"</formula>
    </cfRule>
  </conditionalFormatting>
  <conditionalFormatting sqref="C435">
    <cfRule type="cellIs" dxfId="4799" priority="1300" stopIfTrue="1" operator="equal">
      <formula>"1 Modify"</formula>
    </cfRule>
  </conditionalFormatting>
  <conditionalFormatting sqref="C435">
    <cfRule type="cellIs" dxfId="4798" priority="1301" stopIfTrue="1" operator="equal">
      <formula>"2 Add"</formula>
    </cfRule>
  </conditionalFormatting>
  <conditionalFormatting sqref="C435">
    <cfRule type="cellIs" dxfId="4797" priority="1302" stopIfTrue="1" operator="equal">
      <formula>"3 Delete"</formula>
    </cfRule>
  </conditionalFormatting>
  <conditionalFormatting sqref="C436">
    <cfRule type="cellIs" dxfId="4796" priority="1303" stopIfTrue="1" operator="equal">
      <formula>"1 Modify"</formula>
    </cfRule>
  </conditionalFormatting>
  <conditionalFormatting sqref="C436">
    <cfRule type="cellIs" dxfId="4795" priority="1304" stopIfTrue="1" operator="equal">
      <formula>"2 Add"</formula>
    </cfRule>
  </conditionalFormatting>
  <conditionalFormatting sqref="C436">
    <cfRule type="cellIs" dxfId="4794" priority="1305" stopIfTrue="1" operator="equal">
      <formula>"3 Delete"</formula>
    </cfRule>
  </conditionalFormatting>
  <conditionalFormatting sqref="C437">
    <cfRule type="cellIs" dxfId="4793" priority="1306" stopIfTrue="1" operator="equal">
      <formula>"1 Modify"</formula>
    </cfRule>
  </conditionalFormatting>
  <conditionalFormatting sqref="C437">
    <cfRule type="cellIs" dxfId="4792" priority="1307" stopIfTrue="1" operator="equal">
      <formula>"2 Add"</formula>
    </cfRule>
  </conditionalFormatting>
  <conditionalFormatting sqref="C437">
    <cfRule type="cellIs" dxfId="4791" priority="1308" stopIfTrue="1" operator="equal">
      <formula>"3 Delete"</formula>
    </cfRule>
  </conditionalFormatting>
  <conditionalFormatting sqref="C438">
    <cfRule type="cellIs" dxfId="4790" priority="1309" stopIfTrue="1" operator="equal">
      <formula>"1 Modify"</formula>
    </cfRule>
  </conditionalFormatting>
  <conditionalFormatting sqref="C438">
    <cfRule type="cellIs" dxfId="4789" priority="1310" stopIfTrue="1" operator="equal">
      <formula>"2 Add"</formula>
    </cfRule>
  </conditionalFormatting>
  <conditionalFormatting sqref="C438">
    <cfRule type="cellIs" dxfId="4788" priority="1311" stopIfTrue="1" operator="equal">
      <formula>"3 Delete"</formula>
    </cfRule>
  </conditionalFormatting>
  <conditionalFormatting sqref="C439">
    <cfRule type="cellIs" dxfId="4787" priority="1312" stopIfTrue="1" operator="equal">
      <formula>"1 Modify"</formula>
    </cfRule>
  </conditionalFormatting>
  <conditionalFormatting sqref="C439">
    <cfRule type="cellIs" dxfId="4786" priority="1313" stopIfTrue="1" operator="equal">
      <formula>"2 Add"</formula>
    </cfRule>
  </conditionalFormatting>
  <conditionalFormatting sqref="C439">
    <cfRule type="cellIs" dxfId="4785" priority="1314" stopIfTrue="1" operator="equal">
      <formula>"3 Delete"</formula>
    </cfRule>
  </conditionalFormatting>
  <conditionalFormatting sqref="C440">
    <cfRule type="cellIs" dxfId="4784" priority="1315" stopIfTrue="1" operator="equal">
      <formula>"1 Modify"</formula>
    </cfRule>
  </conditionalFormatting>
  <conditionalFormatting sqref="C440">
    <cfRule type="cellIs" dxfId="4783" priority="1316" stopIfTrue="1" operator="equal">
      <formula>"2 Add"</formula>
    </cfRule>
  </conditionalFormatting>
  <conditionalFormatting sqref="C440">
    <cfRule type="cellIs" dxfId="4782" priority="1317" stopIfTrue="1" operator="equal">
      <formula>"3 Delete"</formula>
    </cfRule>
  </conditionalFormatting>
  <conditionalFormatting sqref="C441">
    <cfRule type="cellIs" dxfId="4781" priority="1318" stopIfTrue="1" operator="equal">
      <formula>"1 Modify"</formula>
    </cfRule>
  </conditionalFormatting>
  <conditionalFormatting sqref="C441">
    <cfRule type="cellIs" dxfId="4780" priority="1319" stopIfTrue="1" operator="equal">
      <formula>"2 Add"</formula>
    </cfRule>
  </conditionalFormatting>
  <conditionalFormatting sqref="C441">
    <cfRule type="cellIs" dxfId="4779" priority="1320" stopIfTrue="1" operator="equal">
      <formula>"3 Delete"</formula>
    </cfRule>
  </conditionalFormatting>
  <conditionalFormatting sqref="C442">
    <cfRule type="cellIs" dxfId="4778" priority="1321" stopIfTrue="1" operator="equal">
      <formula>"1 Modify"</formula>
    </cfRule>
  </conditionalFormatting>
  <conditionalFormatting sqref="C442">
    <cfRule type="cellIs" dxfId="4777" priority="1322" stopIfTrue="1" operator="equal">
      <formula>"2 Add"</formula>
    </cfRule>
  </conditionalFormatting>
  <conditionalFormatting sqref="C442">
    <cfRule type="cellIs" dxfId="4776" priority="1323" stopIfTrue="1" operator="equal">
      <formula>"3 Delete"</formula>
    </cfRule>
  </conditionalFormatting>
  <conditionalFormatting sqref="C443">
    <cfRule type="cellIs" dxfId="4775" priority="1324" stopIfTrue="1" operator="equal">
      <formula>"1 Modify"</formula>
    </cfRule>
  </conditionalFormatting>
  <conditionalFormatting sqref="C443">
    <cfRule type="cellIs" dxfId="4774" priority="1325" stopIfTrue="1" operator="equal">
      <formula>"2 Add"</formula>
    </cfRule>
  </conditionalFormatting>
  <conditionalFormatting sqref="C443">
    <cfRule type="cellIs" dxfId="4773" priority="1326" stopIfTrue="1" operator="equal">
      <formula>"3 Delete"</formula>
    </cfRule>
  </conditionalFormatting>
  <conditionalFormatting sqref="C444">
    <cfRule type="cellIs" dxfId="4772" priority="1327" stopIfTrue="1" operator="equal">
      <formula>"1 Modify"</formula>
    </cfRule>
  </conditionalFormatting>
  <conditionalFormatting sqref="C444">
    <cfRule type="cellIs" dxfId="4771" priority="1328" stopIfTrue="1" operator="equal">
      <formula>"2 Add"</formula>
    </cfRule>
  </conditionalFormatting>
  <conditionalFormatting sqref="C444">
    <cfRule type="cellIs" dxfId="4770" priority="1329" stopIfTrue="1" operator="equal">
      <formula>"3 Delete"</formula>
    </cfRule>
  </conditionalFormatting>
  <conditionalFormatting sqref="C445">
    <cfRule type="cellIs" dxfId="4769" priority="1330" stopIfTrue="1" operator="equal">
      <formula>"1 Modify"</formula>
    </cfRule>
  </conditionalFormatting>
  <conditionalFormatting sqref="C445">
    <cfRule type="cellIs" dxfId="4768" priority="1331" stopIfTrue="1" operator="equal">
      <formula>"2 Add"</formula>
    </cfRule>
  </conditionalFormatting>
  <conditionalFormatting sqref="C445">
    <cfRule type="cellIs" dxfId="4767" priority="1332" stopIfTrue="1" operator="equal">
      <formula>"3 Delete"</formula>
    </cfRule>
  </conditionalFormatting>
  <conditionalFormatting sqref="C446">
    <cfRule type="cellIs" dxfId="4766" priority="1333" stopIfTrue="1" operator="equal">
      <formula>"1 Modify"</formula>
    </cfRule>
  </conditionalFormatting>
  <conditionalFormatting sqref="C446">
    <cfRule type="cellIs" dxfId="4765" priority="1334" stopIfTrue="1" operator="equal">
      <formula>"2 Add"</formula>
    </cfRule>
  </conditionalFormatting>
  <conditionalFormatting sqref="C446">
    <cfRule type="cellIs" dxfId="4764" priority="1335" stopIfTrue="1" operator="equal">
      <formula>"3 Delete"</formula>
    </cfRule>
  </conditionalFormatting>
  <conditionalFormatting sqref="C447">
    <cfRule type="cellIs" dxfId="4763" priority="1336" stopIfTrue="1" operator="equal">
      <formula>"1 Modify"</formula>
    </cfRule>
  </conditionalFormatting>
  <conditionalFormatting sqref="C447">
    <cfRule type="cellIs" dxfId="4762" priority="1337" stopIfTrue="1" operator="equal">
      <formula>"2 Add"</formula>
    </cfRule>
  </conditionalFormatting>
  <conditionalFormatting sqref="C447">
    <cfRule type="cellIs" dxfId="4761" priority="1338" stopIfTrue="1" operator="equal">
      <formula>"3 Delete"</formula>
    </cfRule>
  </conditionalFormatting>
  <conditionalFormatting sqref="C448">
    <cfRule type="cellIs" dxfId="4760" priority="1339" stopIfTrue="1" operator="equal">
      <formula>"1 Modify"</formula>
    </cfRule>
  </conditionalFormatting>
  <conditionalFormatting sqref="C448">
    <cfRule type="cellIs" dxfId="4759" priority="1340" stopIfTrue="1" operator="equal">
      <formula>"2 Add"</formula>
    </cfRule>
  </conditionalFormatting>
  <conditionalFormatting sqref="C448">
    <cfRule type="cellIs" dxfId="4758" priority="1341" stopIfTrue="1" operator="equal">
      <formula>"3 Delete"</formula>
    </cfRule>
  </conditionalFormatting>
  <conditionalFormatting sqref="C449">
    <cfRule type="cellIs" dxfId="4757" priority="1342" stopIfTrue="1" operator="equal">
      <formula>"1 Modify"</formula>
    </cfRule>
  </conditionalFormatting>
  <conditionalFormatting sqref="C449">
    <cfRule type="cellIs" dxfId="4756" priority="1343" stopIfTrue="1" operator="equal">
      <formula>"2 Add"</formula>
    </cfRule>
  </conditionalFormatting>
  <conditionalFormatting sqref="C449">
    <cfRule type="cellIs" dxfId="4755" priority="1344" stopIfTrue="1" operator="equal">
      <formula>"3 Delete"</formula>
    </cfRule>
  </conditionalFormatting>
  <conditionalFormatting sqref="C450">
    <cfRule type="cellIs" dxfId="4754" priority="1345" stopIfTrue="1" operator="equal">
      <formula>"1 Modify"</formula>
    </cfRule>
  </conditionalFormatting>
  <conditionalFormatting sqref="C450">
    <cfRule type="cellIs" dxfId="4753" priority="1346" stopIfTrue="1" operator="equal">
      <formula>"2 Add"</formula>
    </cfRule>
  </conditionalFormatting>
  <conditionalFormatting sqref="C450">
    <cfRule type="cellIs" dxfId="4752" priority="1347" stopIfTrue="1" operator="equal">
      <formula>"3 Delete"</formula>
    </cfRule>
  </conditionalFormatting>
  <conditionalFormatting sqref="C451">
    <cfRule type="cellIs" dxfId="4751" priority="1348" stopIfTrue="1" operator="equal">
      <formula>"1 Modify"</formula>
    </cfRule>
  </conditionalFormatting>
  <conditionalFormatting sqref="C451">
    <cfRule type="cellIs" dxfId="4750" priority="1349" stopIfTrue="1" operator="equal">
      <formula>"2 Add"</formula>
    </cfRule>
  </conditionalFormatting>
  <conditionalFormatting sqref="C451">
    <cfRule type="cellIs" dxfId="4749" priority="1350" stopIfTrue="1" operator="equal">
      <formula>"3 Delete"</formula>
    </cfRule>
  </conditionalFormatting>
  <conditionalFormatting sqref="C452">
    <cfRule type="cellIs" dxfId="4748" priority="1351" stopIfTrue="1" operator="equal">
      <formula>"1 Modify"</formula>
    </cfRule>
  </conditionalFormatting>
  <conditionalFormatting sqref="C452">
    <cfRule type="cellIs" dxfId="4747" priority="1352" stopIfTrue="1" operator="equal">
      <formula>"2 Add"</formula>
    </cfRule>
  </conditionalFormatting>
  <conditionalFormatting sqref="C452">
    <cfRule type="cellIs" dxfId="4746" priority="1353" stopIfTrue="1" operator="equal">
      <formula>"3 Delete"</formula>
    </cfRule>
  </conditionalFormatting>
  <conditionalFormatting sqref="C453">
    <cfRule type="cellIs" dxfId="4745" priority="1354" stopIfTrue="1" operator="equal">
      <formula>"1 Modify"</formula>
    </cfRule>
  </conditionalFormatting>
  <conditionalFormatting sqref="C453">
    <cfRule type="cellIs" dxfId="4744" priority="1355" stopIfTrue="1" operator="equal">
      <formula>"2 Add"</formula>
    </cfRule>
  </conditionalFormatting>
  <conditionalFormatting sqref="C453">
    <cfRule type="cellIs" dxfId="4743" priority="1356" stopIfTrue="1" operator="equal">
      <formula>"3 Delete"</formula>
    </cfRule>
  </conditionalFormatting>
  <conditionalFormatting sqref="C454">
    <cfRule type="cellIs" dxfId="4742" priority="1357" stopIfTrue="1" operator="equal">
      <formula>"1 Modify"</formula>
    </cfRule>
  </conditionalFormatting>
  <conditionalFormatting sqref="C454">
    <cfRule type="cellIs" dxfId="4741" priority="1358" stopIfTrue="1" operator="equal">
      <formula>"2 Add"</formula>
    </cfRule>
  </conditionalFormatting>
  <conditionalFormatting sqref="C454">
    <cfRule type="cellIs" dxfId="4740" priority="1359" stopIfTrue="1" operator="equal">
      <formula>"3 Delete"</formula>
    </cfRule>
  </conditionalFormatting>
  <conditionalFormatting sqref="C455">
    <cfRule type="cellIs" dxfId="4739" priority="1360" stopIfTrue="1" operator="equal">
      <formula>"1 Modify"</formula>
    </cfRule>
  </conditionalFormatting>
  <conditionalFormatting sqref="C455">
    <cfRule type="cellIs" dxfId="4738" priority="1361" stopIfTrue="1" operator="equal">
      <formula>"2 Add"</formula>
    </cfRule>
  </conditionalFormatting>
  <conditionalFormatting sqref="C455">
    <cfRule type="cellIs" dxfId="4737" priority="1362" stopIfTrue="1" operator="equal">
      <formula>"3 Delete"</formula>
    </cfRule>
  </conditionalFormatting>
  <conditionalFormatting sqref="C456">
    <cfRule type="cellIs" dxfId="4736" priority="1363" stopIfTrue="1" operator="equal">
      <formula>"1 Modify"</formula>
    </cfRule>
  </conditionalFormatting>
  <conditionalFormatting sqref="C456">
    <cfRule type="cellIs" dxfId="4735" priority="1364" stopIfTrue="1" operator="equal">
      <formula>"2 Add"</formula>
    </cfRule>
  </conditionalFormatting>
  <conditionalFormatting sqref="C456">
    <cfRule type="cellIs" dxfId="4734" priority="1365" stopIfTrue="1" operator="equal">
      <formula>"3 Delete"</formula>
    </cfRule>
  </conditionalFormatting>
  <conditionalFormatting sqref="C457">
    <cfRule type="cellIs" dxfId="4733" priority="1366" stopIfTrue="1" operator="equal">
      <formula>"1 Modify"</formula>
    </cfRule>
  </conditionalFormatting>
  <conditionalFormatting sqref="C457">
    <cfRule type="cellIs" dxfId="4732" priority="1367" stopIfTrue="1" operator="equal">
      <formula>"2 Add"</formula>
    </cfRule>
  </conditionalFormatting>
  <conditionalFormatting sqref="C457">
    <cfRule type="cellIs" dxfId="4731" priority="1368" stopIfTrue="1" operator="equal">
      <formula>"3 Delete"</formula>
    </cfRule>
  </conditionalFormatting>
  <conditionalFormatting sqref="C458">
    <cfRule type="cellIs" dxfId="4730" priority="1369" stopIfTrue="1" operator="equal">
      <formula>"1 Modify"</formula>
    </cfRule>
  </conditionalFormatting>
  <conditionalFormatting sqref="C458">
    <cfRule type="cellIs" dxfId="4729" priority="1370" stopIfTrue="1" operator="equal">
      <formula>"2 Add"</formula>
    </cfRule>
  </conditionalFormatting>
  <conditionalFormatting sqref="C458">
    <cfRule type="cellIs" dxfId="4728" priority="1371" stopIfTrue="1" operator="equal">
      <formula>"3 Delete"</formula>
    </cfRule>
  </conditionalFormatting>
  <conditionalFormatting sqref="C459">
    <cfRule type="cellIs" dxfId="4727" priority="1372" stopIfTrue="1" operator="equal">
      <formula>"1 Modify"</formula>
    </cfRule>
  </conditionalFormatting>
  <conditionalFormatting sqref="C459">
    <cfRule type="cellIs" dxfId="4726" priority="1373" stopIfTrue="1" operator="equal">
      <formula>"2 Add"</formula>
    </cfRule>
  </conditionalFormatting>
  <conditionalFormatting sqref="C459">
    <cfRule type="cellIs" dxfId="4725" priority="1374" stopIfTrue="1" operator="equal">
      <formula>"3 Delete"</formula>
    </cfRule>
  </conditionalFormatting>
  <conditionalFormatting sqref="C460">
    <cfRule type="cellIs" dxfId="4724" priority="1375" stopIfTrue="1" operator="equal">
      <formula>"1 Modify"</formula>
    </cfRule>
  </conditionalFormatting>
  <conditionalFormatting sqref="C460">
    <cfRule type="cellIs" dxfId="4723" priority="1376" stopIfTrue="1" operator="equal">
      <formula>"2 Add"</formula>
    </cfRule>
  </conditionalFormatting>
  <conditionalFormatting sqref="C460">
    <cfRule type="cellIs" dxfId="4722" priority="1377" stopIfTrue="1" operator="equal">
      <formula>"3 Delete"</formula>
    </cfRule>
  </conditionalFormatting>
  <conditionalFormatting sqref="C461">
    <cfRule type="cellIs" dxfId="4721" priority="1378" stopIfTrue="1" operator="equal">
      <formula>"1 Modify"</formula>
    </cfRule>
  </conditionalFormatting>
  <conditionalFormatting sqref="C461">
    <cfRule type="cellIs" dxfId="4720" priority="1379" stopIfTrue="1" operator="equal">
      <formula>"2 Add"</formula>
    </cfRule>
  </conditionalFormatting>
  <conditionalFormatting sqref="C461">
    <cfRule type="cellIs" dxfId="4719" priority="1380" stopIfTrue="1" operator="equal">
      <formula>"3 Delete"</formula>
    </cfRule>
  </conditionalFormatting>
  <conditionalFormatting sqref="C462">
    <cfRule type="cellIs" dxfId="4718" priority="1381" stopIfTrue="1" operator="equal">
      <formula>"1 Modify"</formula>
    </cfRule>
  </conditionalFormatting>
  <conditionalFormatting sqref="C462">
    <cfRule type="cellIs" dxfId="4717" priority="1382" stopIfTrue="1" operator="equal">
      <formula>"2 Add"</formula>
    </cfRule>
  </conditionalFormatting>
  <conditionalFormatting sqref="C462">
    <cfRule type="cellIs" dxfId="4716" priority="1383" stopIfTrue="1" operator="equal">
      <formula>"3 Delete"</formula>
    </cfRule>
  </conditionalFormatting>
  <conditionalFormatting sqref="C463">
    <cfRule type="cellIs" dxfId="4715" priority="1384" stopIfTrue="1" operator="equal">
      <formula>"1 Modify"</formula>
    </cfRule>
  </conditionalFormatting>
  <conditionalFormatting sqref="C463">
    <cfRule type="cellIs" dxfId="4714" priority="1385" stopIfTrue="1" operator="equal">
      <formula>"2 Add"</formula>
    </cfRule>
  </conditionalFormatting>
  <conditionalFormatting sqref="C463">
    <cfRule type="cellIs" dxfId="4713" priority="1386" stopIfTrue="1" operator="equal">
      <formula>"3 Delete"</formula>
    </cfRule>
  </conditionalFormatting>
  <conditionalFormatting sqref="C464">
    <cfRule type="cellIs" dxfId="4712" priority="1387" stopIfTrue="1" operator="equal">
      <formula>"1 Modify"</formula>
    </cfRule>
  </conditionalFormatting>
  <conditionalFormatting sqref="C464">
    <cfRule type="cellIs" dxfId="4711" priority="1388" stopIfTrue="1" operator="equal">
      <formula>"2 Add"</formula>
    </cfRule>
  </conditionalFormatting>
  <conditionalFormatting sqref="C464">
    <cfRule type="cellIs" dxfId="4710" priority="1389" stopIfTrue="1" operator="equal">
      <formula>"3 Delete"</formula>
    </cfRule>
  </conditionalFormatting>
  <conditionalFormatting sqref="C465">
    <cfRule type="cellIs" dxfId="4709" priority="1390" stopIfTrue="1" operator="equal">
      <formula>"1 Modify"</formula>
    </cfRule>
  </conditionalFormatting>
  <conditionalFormatting sqref="C465">
    <cfRule type="cellIs" dxfId="4708" priority="1391" stopIfTrue="1" operator="equal">
      <formula>"2 Add"</formula>
    </cfRule>
  </conditionalFormatting>
  <conditionalFormatting sqref="C465">
    <cfRule type="cellIs" dxfId="4707" priority="1392" stopIfTrue="1" operator="equal">
      <formula>"3 Delete"</formula>
    </cfRule>
  </conditionalFormatting>
  <conditionalFormatting sqref="C466">
    <cfRule type="cellIs" dxfId="4706" priority="1393" stopIfTrue="1" operator="equal">
      <formula>"1 Modify"</formula>
    </cfRule>
  </conditionalFormatting>
  <conditionalFormatting sqref="C466">
    <cfRule type="cellIs" dxfId="4705" priority="1394" stopIfTrue="1" operator="equal">
      <formula>"2 Add"</formula>
    </cfRule>
  </conditionalFormatting>
  <conditionalFormatting sqref="C466">
    <cfRule type="cellIs" dxfId="4704" priority="1395" stopIfTrue="1" operator="equal">
      <formula>"3 Delete"</formula>
    </cfRule>
  </conditionalFormatting>
  <conditionalFormatting sqref="C467">
    <cfRule type="cellIs" dxfId="4703" priority="1396" stopIfTrue="1" operator="equal">
      <formula>"1 Modify"</formula>
    </cfRule>
  </conditionalFormatting>
  <conditionalFormatting sqref="C467">
    <cfRule type="cellIs" dxfId="4702" priority="1397" stopIfTrue="1" operator="equal">
      <formula>"2 Add"</formula>
    </cfRule>
  </conditionalFormatting>
  <conditionalFormatting sqref="C467">
    <cfRule type="cellIs" dxfId="4701" priority="1398" stopIfTrue="1" operator="equal">
      <formula>"3 Delete"</formula>
    </cfRule>
  </conditionalFormatting>
  <conditionalFormatting sqref="C468">
    <cfRule type="cellIs" dxfId="4700" priority="1399" stopIfTrue="1" operator="equal">
      <formula>"1 Modify"</formula>
    </cfRule>
  </conditionalFormatting>
  <conditionalFormatting sqref="C468">
    <cfRule type="cellIs" dxfId="4699" priority="1400" stopIfTrue="1" operator="equal">
      <formula>"2 Add"</formula>
    </cfRule>
  </conditionalFormatting>
  <conditionalFormatting sqref="C468">
    <cfRule type="cellIs" dxfId="4698" priority="1401" stopIfTrue="1" operator="equal">
      <formula>"3 Delete"</formula>
    </cfRule>
  </conditionalFormatting>
  <conditionalFormatting sqref="C469">
    <cfRule type="cellIs" dxfId="4697" priority="1402" stopIfTrue="1" operator="equal">
      <formula>"1 Modify"</formula>
    </cfRule>
  </conditionalFormatting>
  <conditionalFormatting sqref="C469">
    <cfRule type="cellIs" dxfId="4696" priority="1403" stopIfTrue="1" operator="equal">
      <formula>"2 Add"</formula>
    </cfRule>
  </conditionalFormatting>
  <conditionalFormatting sqref="C469">
    <cfRule type="cellIs" dxfId="4695" priority="1404" stopIfTrue="1" operator="equal">
      <formula>"3 Delete"</formula>
    </cfRule>
  </conditionalFormatting>
  <conditionalFormatting sqref="C470">
    <cfRule type="cellIs" dxfId="4694" priority="1405" stopIfTrue="1" operator="equal">
      <formula>"1 Modify"</formula>
    </cfRule>
  </conditionalFormatting>
  <conditionalFormatting sqref="C470">
    <cfRule type="cellIs" dxfId="4693" priority="1406" stopIfTrue="1" operator="equal">
      <formula>"2 Add"</formula>
    </cfRule>
  </conditionalFormatting>
  <conditionalFormatting sqref="C470">
    <cfRule type="cellIs" dxfId="4692" priority="1407" stopIfTrue="1" operator="equal">
      <formula>"3 Delete"</formula>
    </cfRule>
  </conditionalFormatting>
  <conditionalFormatting sqref="C471">
    <cfRule type="cellIs" dxfId="4691" priority="1408" stopIfTrue="1" operator="equal">
      <formula>"1 Modify"</formula>
    </cfRule>
  </conditionalFormatting>
  <conditionalFormatting sqref="C471">
    <cfRule type="cellIs" dxfId="4690" priority="1409" stopIfTrue="1" operator="equal">
      <formula>"2 Add"</formula>
    </cfRule>
  </conditionalFormatting>
  <conditionalFormatting sqref="C471">
    <cfRule type="cellIs" dxfId="4689" priority="1410" stopIfTrue="1" operator="equal">
      <formula>"3 Delete"</formula>
    </cfRule>
  </conditionalFormatting>
  <conditionalFormatting sqref="C472">
    <cfRule type="cellIs" dxfId="4688" priority="1411" stopIfTrue="1" operator="equal">
      <formula>"1 Modify"</formula>
    </cfRule>
  </conditionalFormatting>
  <conditionalFormatting sqref="C472">
    <cfRule type="cellIs" dxfId="4687" priority="1412" stopIfTrue="1" operator="equal">
      <formula>"2 Add"</formula>
    </cfRule>
  </conditionalFormatting>
  <conditionalFormatting sqref="C472">
    <cfRule type="cellIs" dxfId="4686" priority="1413" stopIfTrue="1" operator="equal">
      <formula>"3 Delete"</formula>
    </cfRule>
  </conditionalFormatting>
  <conditionalFormatting sqref="C473">
    <cfRule type="cellIs" dxfId="4685" priority="1414" stopIfTrue="1" operator="equal">
      <formula>"1 Modify"</formula>
    </cfRule>
  </conditionalFormatting>
  <conditionalFormatting sqref="C473">
    <cfRule type="cellIs" dxfId="4684" priority="1415" stopIfTrue="1" operator="equal">
      <formula>"2 Add"</formula>
    </cfRule>
  </conditionalFormatting>
  <conditionalFormatting sqref="C473">
    <cfRule type="cellIs" dxfId="4683" priority="1416" stopIfTrue="1" operator="equal">
      <formula>"3 Delete"</formula>
    </cfRule>
  </conditionalFormatting>
  <conditionalFormatting sqref="C474">
    <cfRule type="cellIs" dxfId="4682" priority="1417" stopIfTrue="1" operator="equal">
      <formula>"1 Modify"</formula>
    </cfRule>
  </conditionalFormatting>
  <conditionalFormatting sqref="C474">
    <cfRule type="cellIs" dxfId="4681" priority="1418" stopIfTrue="1" operator="equal">
      <formula>"2 Add"</formula>
    </cfRule>
  </conditionalFormatting>
  <conditionalFormatting sqref="C474">
    <cfRule type="cellIs" dxfId="4680" priority="1419" stopIfTrue="1" operator="equal">
      <formula>"3 Delete"</formula>
    </cfRule>
  </conditionalFormatting>
  <conditionalFormatting sqref="C475">
    <cfRule type="cellIs" dxfId="4679" priority="1420" stopIfTrue="1" operator="equal">
      <formula>"1 Modify"</formula>
    </cfRule>
  </conditionalFormatting>
  <conditionalFormatting sqref="C475">
    <cfRule type="cellIs" dxfId="4678" priority="1421" stopIfTrue="1" operator="equal">
      <formula>"2 Add"</formula>
    </cfRule>
  </conditionalFormatting>
  <conditionalFormatting sqref="C475">
    <cfRule type="cellIs" dxfId="4677" priority="1422" stopIfTrue="1" operator="equal">
      <formula>"3 Delete"</formula>
    </cfRule>
  </conditionalFormatting>
  <conditionalFormatting sqref="C476">
    <cfRule type="cellIs" dxfId="4676" priority="1423" stopIfTrue="1" operator="equal">
      <formula>"1 Modify"</formula>
    </cfRule>
  </conditionalFormatting>
  <conditionalFormatting sqref="C476">
    <cfRule type="cellIs" dxfId="4675" priority="1424" stopIfTrue="1" operator="equal">
      <formula>"2 Add"</formula>
    </cfRule>
  </conditionalFormatting>
  <conditionalFormatting sqref="C476">
    <cfRule type="cellIs" dxfId="4674" priority="1425" stopIfTrue="1" operator="equal">
      <formula>"3 Delete"</formula>
    </cfRule>
  </conditionalFormatting>
  <conditionalFormatting sqref="C477">
    <cfRule type="cellIs" dxfId="4673" priority="1426" stopIfTrue="1" operator="equal">
      <formula>"1 Modify"</formula>
    </cfRule>
  </conditionalFormatting>
  <conditionalFormatting sqref="C477">
    <cfRule type="cellIs" dxfId="4672" priority="1427" stopIfTrue="1" operator="equal">
      <formula>"2 Add"</formula>
    </cfRule>
  </conditionalFormatting>
  <conditionalFormatting sqref="C477">
    <cfRule type="cellIs" dxfId="4671" priority="1428" stopIfTrue="1" operator="equal">
      <formula>"3 Delete"</formula>
    </cfRule>
  </conditionalFormatting>
  <conditionalFormatting sqref="C478">
    <cfRule type="cellIs" dxfId="4670" priority="1429" stopIfTrue="1" operator="equal">
      <formula>"1 Modify"</formula>
    </cfRule>
  </conditionalFormatting>
  <conditionalFormatting sqref="C478">
    <cfRule type="cellIs" dxfId="4669" priority="1430" stopIfTrue="1" operator="equal">
      <formula>"2 Add"</formula>
    </cfRule>
  </conditionalFormatting>
  <conditionalFormatting sqref="C478">
    <cfRule type="cellIs" dxfId="4668" priority="1431" stopIfTrue="1" operator="equal">
      <formula>"3 Delete"</formula>
    </cfRule>
  </conditionalFormatting>
  <conditionalFormatting sqref="C479">
    <cfRule type="cellIs" dxfId="4667" priority="1432" stopIfTrue="1" operator="equal">
      <formula>"1 Modify"</formula>
    </cfRule>
  </conditionalFormatting>
  <conditionalFormatting sqref="C479">
    <cfRule type="cellIs" dxfId="4666" priority="1433" stopIfTrue="1" operator="equal">
      <formula>"2 Add"</formula>
    </cfRule>
  </conditionalFormatting>
  <conditionalFormatting sqref="C479">
    <cfRule type="cellIs" dxfId="4665" priority="1434" stopIfTrue="1" operator="equal">
      <formula>"3 Delete"</formula>
    </cfRule>
  </conditionalFormatting>
  <conditionalFormatting sqref="C480">
    <cfRule type="cellIs" dxfId="4664" priority="1435" stopIfTrue="1" operator="equal">
      <formula>"1 Modify"</formula>
    </cfRule>
  </conditionalFormatting>
  <conditionalFormatting sqref="C480">
    <cfRule type="cellIs" dxfId="4663" priority="1436" stopIfTrue="1" operator="equal">
      <formula>"2 Add"</formula>
    </cfRule>
  </conditionalFormatting>
  <conditionalFormatting sqref="C480">
    <cfRule type="cellIs" dxfId="4662" priority="1437" stopIfTrue="1" operator="equal">
      <formula>"3 Delete"</formula>
    </cfRule>
  </conditionalFormatting>
  <conditionalFormatting sqref="C481">
    <cfRule type="cellIs" dxfId="4661" priority="1438" stopIfTrue="1" operator="equal">
      <formula>"1 Modify"</formula>
    </cfRule>
  </conditionalFormatting>
  <conditionalFormatting sqref="C481">
    <cfRule type="cellIs" dxfId="4660" priority="1439" stopIfTrue="1" operator="equal">
      <formula>"2 Add"</formula>
    </cfRule>
  </conditionalFormatting>
  <conditionalFormatting sqref="C481">
    <cfRule type="cellIs" dxfId="4659" priority="1440" stopIfTrue="1" operator="equal">
      <formula>"3 Delete"</formula>
    </cfRule>
  </conditionalFormatting>
  <conditionalFormatting sqref="C482">
    <cfRule type="cellIs" dxfId="4658" priority="1441" stopIfTrue="1" operator="equal">
      <formula>"1 Modify"</formula>
    </cfRule>
  </conditionalFormatting>
  <conditionalFormatting sqref="C482">
    <cfRule type="cellIs" dxfId="4657" priority="1442" stopIfTrue="1" operator="equal">
      <formula>"2 Add"</formula>
    </cfRule>
  </conditionalFormatting>
  <conditionalFormatting sqref="C482">
    <cfRule type="cellIs" dxfId="4656" priority="1443" stopIfTrue="1" operator="equal">
      <formula>"3 Delete"</formula>
    </cfRule>
  </conditionalFormatting>
  <conditionalFormatting sqref="C483">
    <cfRule type="cellIs" dxfId="4655" priority="1444" stopIfTrue="1" operator="equal">
      <formula>"1 Modify"</formula>
    </cfRule>
  </conditionalFormatting>
  <conditionalFormatting sqref="C483">
    <cfRule type="cellIs" dxfId="4654" priority="1445" stopIfTrue="1" operator="equal">
      <formula>"2 Add"</formula>
    </cfRule>
  </conditionalFormatting>
  <conditionalFormatting sqref="C483">
    <cfRule type="cellIs" dxfId="4653" priority="1446" stopIfTrue="1" operator="equal">
      <formula>"3 Delete"</formula>
    </cfRule>
  </conditionalFormatting>
  <conditionalFormatting sqref="C484">
    <cfRule type="cellIs" dxfId="4652" priority="1447" stopIfTrue="1" operator="equal">
      <formula>"1 Modify"</formula>
    </cfRule>
  </conditionalFormatting>
  <conditionalFormatting sqref="C484">
    <cfRule type="cellIs" dxfId="4651" priority="1448" stopIfTrue="1" operator="equal">
      <formula>"2 Add"</formula>
    </cfRule>
  </conditionalFormatting>
  <conditionalFormatting sqref="C484">
    <cfRule type="cellIs" dxfId="4650" priority="1449" stopIfTrue="1" operator="equal">
      <formula>"3 Delete"</formula>
    </cfRule>
  </conditionalFormatting>
  <conditionalFormatting sqref="C485">
    <cfRule type="cellIs" dxfId="4649" priority="1450" stopIfTrue="1" operator="equal">
      <formula>"1 Modify"</formula>
    </cfRule>
  </conditionalFormatting>
  <conditionalFormatting sqref="C485">
    <cfRule type="cellIs" dxfId="4648" priority="1451" stopIfTrue="1" operator="equal">
      <formula>"2 Add"</formula>
    </cfRule>
  </conditionalFormatting>
  <conditionalFormatting sqref="C485">
    <cfRule type="cellIs" dxfId="4647" priority="1452" stopIfTrue="1" operator="equal">
      <formula>"3 Delete"</formula>
    </cfRule>
  </conditionalFormatting>
  <conditionalFormatting sqref="C486">
    <cfRule type="cellIs" dxfId="4646" priority="1453" stopIfTrue="1" operator="equal">
      <formula>"1 Modify"</formula>
    </cfRule>
  </conditionalFormatting>
  <conditionalFormatting sqref="C486">
    <cfRule type="cellIs" dxfId="4645" priority="1454" stopIfTrue="1" operator="equal">
      <formula>"2 Add"</formula>
    </cfRule>
  </conditionalFormatting>
  <conditionalFormatting sqref="C486">
    <cfRule type="cellIs" dxfId="4644" priority="1455" stopIfTrue="1" operator="equal">
      <formula>"3 Delete"</formula>
    </cfRule>
  </conditionalFormatting>
  <conditionalFormatting sqref="C487">
    <cfRule type="cellIs" dxfId="4643" priority="1456" stopIfTrue="1" operator="equal">
      <formula>"1 Modify"</formula>
    </cfRule>
  </conditionalFormatting>
  <conditionalFormatting sqref="C487">
    <cfRule type="cellIs" dxfId="4642" priority="1457" stopIfTrue="1" operator="equal">
      <formula>"2 Add"</formula>
    </cfRule>
  </conditionalFormatting>
  <conditionalFormatting sqref="C487">
    <cfRule type="cellIs" dxfId="4641" priority="1458" stopIfTrue="1" operator="equal">
      <formula>"3 Delete"</formula>
    </cfRule>
  </conditionalFormatting>
  <conditionalFormatting sqref="C488">
    <cfRule type="cellIs" dxfId="4640" priority="1459" stopIfTrue="1" operator="equal">
      <formula>"1 Modify"</formula>
    </cfRule>
  </conditionalFormatting>
  <conditionalFormatting sqref="C488">
    <cfRule type="cellIs" dxfId="4639" priority="1460" stopIfTrue="1" operator="equal">
      <formula>"2 Add"</formula>
    </cfRule>
  </conditionalFormatting>
  <conditionalFormatting sqref="C488">
    <cfRule type="cellIs" dxfId="4638" priority="1461" stopIfTrue="1" operator="equal">
      <formula>"3 Delete"</formula>
    </cfRule>
  </conditionalFormatting>
  <conditionalFormatting sqref="C489">
    <cfRule type="cellIs" dxfId="4637" priority="1462" stopIfTrue="1" operator="equal">
      <formula>"1 Modify"</formula>
    </cfRule>
  </conditionalFormatting>
  <conditionalFormatting sqref="C489">
    <cfRule type="cellIs" dxfId="4636" priority="1463" stopIfTrue="1" operator="equal">
      <formula>"2 Add"</formula>
    </cfRule>
  </conditionalFormatting>
  <conditionalFormatting sqref="C489">
    <cfRule type="cellIs" dxfId="4635" priority="1464" stopIfTrue="1" operator="equal">
      <formula>"3 Delete"</formula>
    </cfRule>
  </conditionalFormatting>
  <conditionalFormatting sqref="C490">
    <cfRule type="cellIs" dxfId="4634" priority="1465" stopIfTrue="1" operator="equal">
      <formula>"1 Modify"</formula>
    </cfRule>
  </conditionalFormatting>
  <conditionalFormatting sqref="C490">
    <cfRule type="cellIs" dxfId="4633" priority="1466" stopIfTrue="1" operator="equal">
      <formula>"2 Add"</formula>
    </cfRule>
  </conditionalFormatting>
  <conditionalFormatting sqref="C490">
    <cfRule type="cellIs" dxfId="4632" priority="1467" stopIfTrue="1" operator="equal">
      <formula>"3 Delete"</formula>
    </cfRule>
  </conditionalFormatting>
  <conditionalFormatting sqref="C491">
    <cfRule type="cellIs" dxfId="4631" priority="1468" stopIfTrue="1" operator="equal">
      <formula>"1 Modify"</formula>
    </cfRule>
  </conditionalFormatting>
  <conditionalFormatting sqref="C491">
    <cfRule type="cellIs" dxfId="4630" priority="1469" stopIfTrue="1" operator="equal">
      <formula>"2 Add"</formula>
    </cfRule>
  </conditionalFormatting>
  <conditionalFormatting sqref="C491">
    <cfRule type="cellIs" dxfId="4629" priority="1470" stopIfTrue="1" operator="equal">
      <formula>"3 Delete"</formula>
    </cfRule>
  </conditionalFormatting>
  <conditionalFormatting sqref="C492">
    <cfRule type="cellIs" dxfId="4628" priority="1471" stopIfTrue="1" operator="equal">
      <formula>"1 Modify"</formula>
    </cfRule>
  </conditionalFormatting>
  <conditionalFormatting sqref="C492">
    <cfRule type="cellIs" dxfId="4627" priority="1472" stopIfTrue="1" operator="equal">
      <formula>"2 Add"</formula>
    </cfRule>
  </conditionalFormatting>
  <conditionalFormatting sqref="C492">
    <cfRule type="cellIs" dxfId="4626" priority="1473" stopIfTrue="1" operator="equal">
      <formula>"3 Delete"</formula>
    </cfRule>
  </conditionalFormatting>
  <conditionalFormatting sqref="C493">
    <cfRule type="cellIs" dxfId="4625" priority="1474" stopIfTrue="1" operator="equal">
      <formula>"1 Modify"</formula>
    </cfRule>
  </conditionalFormatting>
  <conditionalFormatting sqref="C493">
    <cfRule type="cellIs" dxfId="4624" priority="1475" stopIfTrue="1" operator="equal">
      <formula>"2 Add"</formula>
    </cfRule>
  </conditionalFormatting>
  <conditionalFormatting sqref="C493">
    <cfRule type="cellIs" dxfId="4623" priority="1476" stopIfTrue="1" operator="equal">
      <formula>"3 Delete"</formula>
    </cfRule>
  </conditionalFormatting>
  <conditionalFormatting sqref="C494">
    <cfRule type="cellIs" dxfId="4622" priority="1477" stopIfTrue="1" operator="equal">
      <formula>"1 Modify"</formula>
    </cfRule>
  </conditionalFormatting>
  <conditionalFormatting sqref="C494">
    <cfRule type="cellIs" dxfId="4621" priority="1478" stopIfTrue="1" operator="equal">
      <formula>"2 Add"</formula>
    </cfRule>
  </conditionalFormatting>
  <conditionalFormatting sqref="C494">
    <cfRule type="cellIs" dxfId="4620" priority="1479" stopIfTrue="1" operator="equal">
      <formula>"3 Delete"</formula>
    </cfRule>
  </conditionalFormatting>
  <conditionalFormatting sqref="C495">
    <cfRule type="cellIs" dxfId="4619" priority="1480" stopIfTrue="1" operator="equal">
      <formula>"1 Modify"</formula>
    </cfRule>
  </conditionalFormatting>
  <conditionalFormatting sqref="C495">
    <cfRule type="cellIs" dxfId="4618" priority="1481" stopIfTrue="1" operator="equal">
      <formula>"2 Add"</formula>
    </cfRule>
  </conditionalFormatting>
  <conditionalFormatting sqref="C495">
    <cfRule type="cellIs" dxfId="4617" priority="1482" stopIfTrue="1" operator="equal">
      <formula>"3 Delete"</formula>
    </cfRule>
  </conditionalFormatting>
  <conditionalFormatting sqref="C496">
    <cfRule type="cellIs" dxfId="4616" priority="1483" stopIfTrue="1" operator="equal">
      <formula>"1 Modify"</formula>
    </cfRule>
  </conditionalFormatting>
  <conditionalFormatting sqref="C496">
    <cfRule type="cellIs" dxfId="4615" priority="1484" stopIfTrue="1" operator="equal">
      <formula>"2 Add"</formula>
    </cfRule>
  </conditionalFormatting>
  <conditionalFormatting sqref="C496">
    <cfRule type="cellIs" dxfId="4614" priority="1485" stopIfTrue="1" operator="equal">
      <formula>"3 Delete"</formula>
    </cfRule>
  </conditionalFormatting>
  <conditionalFormatting sqref="C497">
    <cfRule type="cellIs" dxfId="4613" priority="1486" stopIfTrue="1" operator="equal">
      <formula>"1 Modify"</formula>
    </cfRule>
  </conditionalFormatting>
  <conditionalFormatting sqref="C497">
    <cfRule type="cellIs" dxfId="4612" priority="1487" stopIfTrue="1" operator="equal">
      <formula>"2 Add"</formula>
    </cfRule>
  </conditionalFormatting>
  <conditionalFormatting sqref="C497">
    <cfRule type="cellIs" dxfId="4611" priority="1488" stopIfTrue="1" operator="equal">
      <formula>"3 Delete"</formula>
    </cfRule>
  </conditionalFormatting>
  <conditionalFormatting sqref="C498">
    <cfRule type="cellIs" dxfId="4610" priority="1489" stopIfTrue="1" operator="equal">
      <formula>"1 Modify"</formula>
    </cfRule>
  </conditionalFormatting>
  <conditionalFormatting sqref="C498">
    <cfRule type="cellIs" dxfId="4609" priority="1490" stopIfTrue="1" operator="equal">
      <formula>"2 Add"</formula>
    </cfRule>
  </conditionalFormatting>
  <conditionalFormatting sqref="C498">
    <cfRule type="cellIs" dxfId="4608" priority="1491" stopIfTrue="1" operator="equal">
      <formula>"3 Delete"</formula>
    </cfRule>
  </conditionalFormatting>
  <conditionalFormatting sqref="C499">
    <cfRule type="cellIs" dxfId="4607" priority="1492" stopIfTrue="1" operator="equal">
      <formula>"1 Modify"</formula>
    </cfRule>
  </conditionalFormatting>
  <conditionalFormatting sqref="C499">
    <cfRule type="cellIs" dxfId="4606" priority="1493" stopIfTrue="1" operator="equal">
      <formula>"2 Add"</formula>
    </cfRule>
  </conditionalFormatting>
  <conditionalFormatting sqref="C499">
    <cfRule type="cellIs" dxfId="4605" priority="1494" stopIfTrue="1" operator="equal">
      <formula>"3 Delete"</formula>
    </cfRule>
  </conditionalFormatting>
  <conditionalFormatting sqref="C500">
    <cfRule type="cellIs" dxfId="4604" priority="1495" stopIfTrue="1" operator="equal">
      <formula>"1 Modify"</formula>
    </cfRule>
  </conditionalFormatting>
  <conditionalFormatting sqref="C500">
    <cfRule type="cellIs" dxfId="4603" priority="1496" stopIfTrue="1" operator="equal">
      <formula>"2 Add"</formula>
    </cfRule>
  </conditionalFormatting>
  <conditionalFormatting sqref="C500">
    <cfRule type="cellIs" dxfId="4602" priority="1497" stopIfTrue="1" operator="equal">
      <formula>"3 Delete"</formula>
    </cfRule>
  </conditionalFormatting>
  <conditionalFormatting sqref="C501">
    <cfRule type="cellIs" dxfId="4601" priority="1498" stopIfTrue="1" operator="equal">
      <formula>"1 Modify"</formula>
    </cfRule>
  </conditionalFormatting>
  <conditionalFormatting sqref="C501">
    <cfRule type="cellIs" dxfId="4600" priority="1499" stopIfTrue="1" operator="equal">
      <formula>"2 Add"</formula>
    </cfRule>
  </conditionalFormatting>
  <conditionalFormatting sqref="C501">
    <cfRule type="cellIs" dxfId="4599" priority="1500" stopIfTrue="1" operator="equal">
      <formula>"3 Delete"</formula>
    </cfRule>
  </conditionalFormatting>
  <conditionalFormatting sqref="C502">
    <cfRule type="cellIs" dxfId="4598" priority="1501" stopIfTrue="1" operator="equal">
      <formula>"1 Modify"</formula>
    </cfRule>
  </conditionalFormatting>
  <conditionalFormatting sqref="C502">
    <cfRule type="cellIs" dxfId="4597" priority="1502" stopIfTrue="1" operator="equal">
      <formula>"2 Add"</formula>
    </cfRule>
  </conditionalFormatting>
  <conditionalFormatting sqref="C502">
    <cfRule type="cellIs" dxfId="4596" priority="1503" stopIfTrue="1" operator="equal">
      <formula>"3 Delete"</formula>
    </cfRule>
  </conditionalFormatting>
  <conditionalFormatting sqref="C503">
    <cfRule type="cellIs" dxfId="4595" priority="1504" stopIfTrue="1" operator="equal">
      <formula>"1 Modify"</formula>
    </cfRule>
  </conditionalFormatting>
  <conditionalFormatting sqref="C503">
    <cfRule type="cellIs" dxfId="4594" priority="1505" stopIfTrue="1" operator="equal">
      <formula>"2 Add"</formula>
    </cfRule>
  </conditionalFormatting>
  <conditionalFormatting sqref="C503">
    <cfRule type="cellIs" dxfId="4593" priority="1506" stopIfTrue="1" operator="equal">
      <formula>"3 Delete"</formula>
    </cfRule>
  </conditionalFormatting>
  <conditionalFormatting sqref="C504">
    <cfRule type="cellIs" dxfId="4592" priority="1507" stopIfTrue="1" operator="equal">
      <formula>"1 Modify"</formula>
    </cfRule>
  </conditionalFormatting>
  <conditionalFormatting sqref="C504">
    <cfRule type="cellIs" dxfId="4591" priority="1508" stopIfTrue="1" operator="equal">
      <formula>"2 Add"</formula>
    </cfRule>
  </conditionalFormatting>
  <conditionalFormatting sqref="C504">
    <cfRule type="cellIs" dxfId="4590" priority="1509" stopIfTrue="1" operator="equal">
      <formula>"3 Delete"</formula>
    </cfRule>
  </conditionalFormatting>
  <conditionalFormatting sqref="C505">
    <cfRule type="cellIs" dxfId="4589" priority="1510" stopIfTrue="1" operator="equal">
      <formula>"1 Modify"</formula>
    </cfRule>
  </conditionalFormatting>
  <conditionalFormatting sqref="C505">
    <cfRule type="cellIs" dxfId="4588" priority="1511" stopIfTrue="1" operator="equal">
      <formula>"2 Add"</formula>
    </cfRule>
  </conditionalFormatting>
  <conditionalFormatting sqref="C505">
    <cfRule type="cellIs" dxfId="4587" priority="1512" stopIfTrue="1" operator="equal">
      <formula>"3 Delete"</formula>
    </cfRule>
  </conditionalFormatting>
  <conditionalFormatting sqref="C506">
    <cfRule type="cellIs" dxfId="4586" priority="1513" stopIfTrue="1" operator="equal">
      <formula>"1 Modify"</formula>
    </cfRule>
  </conditionalFormatting>
  <conditionalFormatting sqref="C506">
    <cfRule type="cellIs" dxfId="4585" priority="1514" stopIfTrue="1" operator="equal">
      <formula>"2 Add"</formula>
    </cfRule>
  </conditionalFormatting>
  <conditionalFormatting sqref="C506">
    <cfRule type="cellIs" dxfId="4584" priority="1515" stopIfTrue="1" operator="equal">
      <formula>"3 Delete"</formula>
    </cfRule>
  </conditionalFormatting>
  <conditionalFormatting sqref="C507">
    <cfRule type="cellIs" dxfId="4583" priority="1516" stopIfTrue="1" operator="equal">
      <formula>"1 Modify"</formula>
    </cfRule>
  </conditionalFormatting>
  <conditionalFormatting sqref="C507">
    <cfRule type="cellIs" dxfId="4582" priority="1517" stopIfTrue="1" operator="equal">
      <formula>"2 Add"</formula>
    </cfRule>
  </conditionalFormatting>
  <conditionalFormatting sqref="C507">
    <cfRule type="cellIs" dxfId="4581" priority="1518" stopIfTrue="1" operator="equal">
      <formula>"3 Delete"</formula>
    </cfRule>
  </conditionalFormatting>
  <conditionalFormatting sqref="C508">
    <cfRule type="cellIs" dxfId="4580" priority="1519" stopIfTrue="1" operator="equal">
      <formula>"1 Modify"</formula>
    </cfRule>
  </conditionalFormatting>
  <conditionalFormatting sqref="C508">
    <cfRule type="cellIs" dxfId="4579" priority="1520" stopIfTrue="1" operator="equal">
      <formula>"2 Add"</formula>
    </cfRule>
  </conditionalFormatting>
  <conditionalFormatting sqref="C508">
    <cfRule type="cellIs" dxfId="4578" priority="1521" stopIfTrue="1" operator="equal">
      <formula>"3 Delete"</formula>
    </cfRule>
  </conditionalFormatting>
  <conditionalFormatting sqref="C509">
    <cfRule type="cellIs" dxfId="4577" priority="1522" stopIfTrue="1" operator="equal">
      <formula>"1 Modify"</formula>
    </cfRule>
  </conditionalFormatting>
  <conditionalFormatting sqref="C509">
    <cfRule type="cellIs" dxfId="4576" priority="1523" stopIfTrue="1" operator="equal">
      <formula>"2 Add"</formula>
    </cfRule>
  </conditionalFormatting>
  <conditionalFormatting sqref="C509">
    <cfRule type="cellIs" dxfId="4575" priority="1524" stopIfTrue="1" operator="equal">
      <formula>"3 Delete"</formula>
    </cfRule>
  </conditionalFormatting>
  <conditionalFormatting sqref="C510">
    <cfRule type="cellIs" dxfId="4574" priority="1525" stopIfTrue="1" operator="equal">
      <formula>"1 Modify"</formula>
    </cfRule>
  </conditionalFormatting>
  <conditionalFormatting sqref="C510">
    <cfRule type="cellIs" dxfId="4573" priority="1526" stopIfTrue="1" operator="equal">
      <formula>"2 Add"</formula>
    </cfRule>
  </conditionalFormatting>
  <conditionalFormatting sqref="C510">
    <cfRule type="cellIs" dxfId="4572" priority="1527" stopIfTrue="1" operator="equal">
      <formula>"3 Delete"</formula>
    </cfRule>
  </conditionalFormatting>
  <conditionalFormatting sqref="C511">
    <cfRule type="cellIs" dxfId="4571" priority="1528" stopIfTrue="1" operator="equal">
      <formula>"1 Modify"</formula>
    </cfRule>
  </conditionalFormatting>
  <conditionalFormatting sqref="C511">
    <cfRule type="cellIs" dxfId="4570" priority="1529" stopIfTrue="1" operator="equal">
      <formula>"2 Add"</formula>
    </cfRule>
  </conditionalFormatting>
  <conditionalFormatting sqref="C511">
    <cfRule type="cellIs" dxfId="4569" priority="1530" stopIfTrue="1" operator="equal">
      <formula>"3 Delete"</formula>
    </cfRule>
  </conditionalFormatting>
  <conditionalFormatting sqref="C512">
    <cfRule type="cellIs" dxfId="4568" priority="1531" stopIfTrue="1" operator="equal">
      <formula>"1 Modify"</formula>
    </cfRule>
  </conditionalFormatting>
  <conditionalFormatting sqref="C512">
    <cfRule type="cellIs" dxfId="4567" priority="1532" stopIfTrue="1" operator="equal">
      <formula>"2 Add"</formula>
    </cfRule>
  </conditionalFormatting>
  <conditionalFormatting sqref="C512">
    <cfRule type="cellIs" dxfId="4566" priority="1533" stopIfTrue="1" operator="equal">
      <formula>"3 Delete"</formula>
    </cfRule>
  </conditionalFormatting>
  <conditionalFormatting sqref="C513">
    <cfRule type="cellIs" dxfId="4565" priority="1534" stopIfTrue="1" operator="equal">
      <formula>"1 Modify"</formula>
    </cfRule>
  </conditionalFormatting>
  <conditionalFormatting sqref="C513">
    <cfRule type="cellIs" dxfId="4564" priority="1535" stopIfTrue="1" operator="equal">
      <formula>"2 Add"</formula>
    </cfRule>
  </conditionalFormatting>
  <conditionalFormatting sqref="C513">
    <cfRule type="cellIs" dxfId="4563" priority="1536" stopIfTrue="1" operator="equal">
      <formula>"3 Delete"</formula>
    </cfRule>
  </conditionalFormatting>
  <conditionalFormatting sqref="C514">
    <cfRule type="cellIs" dxfId="4562" priority="1537" stopIfTrue="1" operator="equal">
      <formula>"1 Modify"</formula>
    </cfRule>
  </conditionalFormatting>
  <conditionalFormatting sqref="C514">
    <cfRule type="cellIs" dxfId="4561" priority="1538" stopIfTrue="1" operator="equal">
      <formula>"2 Add"</formula>
    </cfRule>
  </conditionalFormatting>
  <conditionalFormatting sqref="C514">
    <cfRule type="cellIs" dxfId="4560" priority="1539" stopIfTrue="1" operator="equal">
      <formula>"3 Delete"</formula>
    </cfRule>
  </conditionalFormatting>
  <conditionalFormatting sqref="C515">
    <cfRule type="cellIs" dxfId="4559" priority="1540" stopIfTrue="1" operator="equal">
      <formula>"1 Modify"</formula>
    </cfRule>
  </conditionalFormatting>
  <conditionalFormatting sqref="C515">
    <cfRule type="cellIs" dxfId="4558" priority="1541" stopIfTrue="1" operator="equal">
      <formula>"2 Add"</formula>
    </cfRule>
  </conditionalFormatting>
  <conditionalFormatting sqref="C515">
    <cfRule type="cellIs" dxfId="4557" priority="1542" stopIfTrue="1" operator="equal">
      <formula>"3 Delete"</formula>
    </cfRule>
  </conditionalFormatting>
  <conditionalFormatting sqref="C516">
    <cfRule type="cellIs" dxfId="4556" priority="1543" stopIfTrue="1" operator="equal">
      <formula>"1 Modify"</formula>
    </cfRule>
  </conditionalFormatting>
  <conditionalFormatting sqref="C516">
    <cfRule type="cellIs" dxfId="4555" priority="1544" stopIfTrue="1" operator="equal">
      <formula>"2 Add"</formula>
    </cfRule>
  </conditionalFormatting>
  <conditionalFormatting sqref="C516">
    <cfRule type="cellIs" dxfId="4554" priority="1545" stopIfTrue="1" operator="equal">
      <formula>"3 Delete"</formula>
    </cfRule>
  </conditionalFormatting>
  <conditionalFormatting sqref="C517">
    <cfRule type="cellIs" dxfId="4553" priority="1546" stopIfTrue="1" operator="equal">
      <formula>"1 Modify"</formula>
    </cfRule>
  </conditionalFormatting>
  <conditionalFormatting sqref="C517">
    <cfRule type="cellIs" dxfId="4552" priority="1547" stopIfTrue="1" operator="equal">
      <formula>"2 Add"</formula>
    </cfRule>
  </conditionalFormatting>
  <conditionalFormatting sqref="C517">
    <cfRule type="cellIs" dxfId="4551" priority="1548" stopIfTrue="1" operator="equal">
      <formula>"3 Delete"</formula>
    </cfRule>
  </conditionalFormatting>
  <conditionalFormatting sqref="C518">
    <cfRule type="cellIs" dxfId="4550" priority="1549" stopIfTrue="1" operator="equal">
      <formula>"1 Modify"</formula>
    </cfRule>
  </conditionalFormatting>
  <conditionalFormatting sqref="C518">
    <cfRule type="cellIs" dxfId="4549" priority="1550" stopIfTrue="1" operator="equal">
      <formula>"2 Add"</formula>
    </cfRule>
  </conditionalFormatting>
  <conditionalFormatting sqref="C518">
    <cfRule type="cellIs" dxfId="4548" priority="1551" stopIfTrue="1" operator="equal">
      <formula>"3 Delete"</formula>
    </cfRule>
  </conditionalFormatting>
  <conditionalFormatting sqref="C519">
    <cfRule type="cellIs" dxfId="4547" priority="1552" stopIfTrue="1" operator="equal">
      <formula>"1 Modify"</formula>
    </cfRule>
  </conditionalFormatting>
  <conditionalFormatting sqref="C519">
    <cfRule type="cellIs" dxfId="4546" priority="1553" stopIfTrue="1" operator="equal">
      <formula>"2 Add"</formula>
    </cfRule>
  </conditionalFormatting>
  <conditionalFormatting sqref="C519">
    <cfRule type="cellIs" dxfId="4545" priority="1554" stopIfTrue="1" operator="equal">
      <formula>"3 Delete"</formula>
    </cfRule>
  </conditionalFormatting>
  <conditionalFormatting sqref="C520">
    <cfRule type="cellIs" dxfId="4544" priority="1555" stopIfTrue="1" operator="equal">
      <formula>"1 Modify"</formula>
    </cfRule>
  </conditionalFormatting>
  <conditionalFormatting sqref="C520">
    <cfRule type="cellIs" dxfId="4543" priority="1556" stopIfTrue="1" operator="equal">
      <formula>"2 Add"</formula>
    </cfRule>
  </conditionalFormatting>
  <conditionalFormatting sqref="C520">
    <cfRule type="cellIs" dxfId="4542" priority="1557" stopIfTrue="1" operator="equal">
      <formula>"3 Delete"</formula>
    </cfRule>
  </conditionalFormatting>
  <conditionalFormatting sqref="C521">
    <cfRule type="cellIs" dxfId="4541" priority="1558" stopIfTrue="1" operator="equal">
      <formula>"1 Modify"</formula>
    </cfRule>
  </conditionalFormatting>
  <conditionalFormatting sqref="C521">
    <cfRule type="cellIs" dxfId="4540" priority="1559" stopIfTrue="1" operator="equal">
      <formula>"2 Add"</formula>
    </cfRule>
  </conditionalFormatting>
  <conditionalFormatting sqref="C521">
    <cfRule type="cellIs" dxfId="4539" priority="1560" stopIfTrue="1" operator="equal">
      <formula>"3 Delete"</formula>
    </cfRule>
  </conditionalFormatting>
  <conditionalFormatting sqref="C522">
    <cfRule type="cellIs" dxfId="4538" priority="1561" stopIfTrue="1" operator="equal">
      <formula>"1 Modify"</formula>
    </cfRule>
  </conditionalFormatting>
  <conditionalFormatting sqref="C522">
    <cfRule type="cellIs" dxfId="4537" priority="1562" stopIfTrue="1" operator="equal">
      <formula>"2 Add"</formula>
    </cfRule>
  </conditionalFormatting>
  <conditionalFormatting sqref="C522">
    <cfRule type="cellIs" dxfId="4536" priority="1563" stopIfTrue="1" operator="equal">
      <formula>"3 Delete"</formula>
    </cfRule>
  </conditionalFormatting>
  <conditionalFormatting sqref="C523">
    <cfRule type="cellIs" dxfId="4535" priority="1564" stopIfTrue="1" operator="equal">
      <formula>"1 Modify"</formula>
    </cfRule>
  </conditionalFormatting>
  <conditionalFormatting sqref="C523">
    <cfRule type="cellIs" dxfId="4534" priority="1565" stopIfTrue="1" operator="equal">
      <formula>"2 Add"</formula>
    </cfRule>
  </conditionalFormatting>
  <conditionalFormatting sqref="C523">
    <cfRule type="cellIs" dxfId="4533" priority="1566" stopIfTrue="1" operator="equal">
      <formula>"3 Delete"</formula>
    </cfRule>
  </conditionalFormatting>
  <conditionalFormatting sqref="C524">
    <cfRule type="cellIs" dxfId="4532" priority="1567" stopIfTrue="1" operator="equal">
      <formula>"1 Modify"</formula>
    </cfRule>
  </conditionalFormatting>
  <conditionalFormatting sqref="C524">
    <cfRule type="cellIs" dxfId="4531" priority="1568" stopIfTrue="1" operator="equal">
      <formula>"2 Add"</formula>
    </cfRule>
  </conditionalFormatting>
  <conditionalFormatting sqref="C524">
    <cfRule type="cellIs" dxfId="4530" priority="1569" stopIfTrue="1" operator="equal">
      <formula>"3 Delete"</formula>
    </cfRule>
  </conditionalFormatting>
  <conditionalFormatting sqref="C525">
    <cfRule type="cellIs" dxfId="4529" priority="1570" stopIfTrue="1" operator="equal">
      <formula>"1 Modify"</formula>
    </cfRule>
  </conditionalFormatting>
  <conditionalFormatting sqref="C525">
    <cfRule type="cellIs" dxfId="4528" priority="1571" stopIfTrue="1" operator="equal">
      <formula>"2 Add"</formula>
    </cfRule>
  </conditionalFormatting>
  <conditionalFormatting sqref="C525">
    <cfRule type="cellIs" dxfId="4527" priority="1572" stopIfTrue="1" operator="equal">
      <formula>"3 Delete"</formula>
    </cfRule>
  </conditionalFormatting>
  <conditionalFormatting sqref="C526">
    <cfRule type="cellIs" dxfId="4526" priority="1573" stopIfTrue="1" operator="equal">
      <formula>"1 Modify"</formula>
    </cfRule>
  </conditionalFormatting>
  <conditionalFormatting sqref="C526">
    <cfRule type="cellIs" dxfId="4525" priority="1574" stopIfTrue="1" operator="equal">
      <formula>"2 Add"</formula>
    </cfRule>
  </conditionalFormatting>
  <conditionalFormatting sqref="C526">
    <cfRule type="cellIs" dxfId="4524" priority="1575" stopIfTrue="1" operator="equal">
      <formula>"3 Delete"</formula>
    </cfRule>
  </conditionalFormatting>
  <conditionalFormatting sqref="C527">
    <cfRule type="cellIs" dxfId="4523" priority="1576" stopIfTrue="1" operator="equal">
      <formula>"1 Modify"</formula>
    </cfRule>
  </conditionalFormatting>
  <conditionalFormatting sqref="C527">
    <cfRule type="cellIs" dxfId="4522" priority="1577" stopIfTrue="1" operator="equal">
      <formula>"2 Add"</formula>
    </cfRule>
  </conditionalFormatting>
  <conditionalFormatting sqref="C527">
    <cfRule type="cellIs" dxfId="4521" priority="1578" stopIfTrue="1" operator="equal">
      <formula>"3 Delete"</formula>
    </cfRule>
  </conditionalFormatting>
  <conditionalFormatting sqref="C528">
    <cfRule type="cellIs" dxfId="4520" priority="1579" stopIfTrue="1" operator="equal">
      <formula>"1 Modify"</formula>
    </cfRule>
  </conditionalFormatting>
  <conditionalFormatting sqref="C528">
    <cfRule type="cellIs" dxfId="4519" priority="1580" stopIfTrue="1" operator="equal">
      <formula>"2 Add"</formula>
    </cfRule>
  </conditionalFormatting>
  <conditionalFormatting sqref="C528">
    <cfRule type="cellIs" dxfId="4518" priority="1581" stopIfTrue="1" operator="equal">
      <formula>"3 Delete"</formula>
    </cfRule>
  </conditionalFormatting>
  <conditionalFormatting sqref="C529">
    <cfRule type="cellIs" dxfId="4517" priority="1582" stopIfTrue="1" operator="equal">
      <formula>"1 Modify"</formula>
    </cfRule>
  </conditionalFormatting>
  <conditionalFormatting sqref="C529">
    <cfRule type="cellIs" dxfId="4516" priority="1583" stopIfTrue="1" operator="equal">
      <formula>"2 Add"</formula>
    </cfRule>
  </conditionalFormatting>
  <conditionalFormatting sqref="C529">
    <cfRule type="cellIs" dxfId="4515" priority="1584" stopIfTrue="1" operator="equal">
      <formula>"3 Delete"</formula>
    </cfRule>
  </conditionalFormatting>
  <conditionalFormatting sqref="C530">
    <cfRule type="cellIs" dxfId="4514" priority="1585" stopIfTrue="1" operator="equal">
      <formula>"1 Modify"</formula>
    </cfRule>
  </conditionalFormatting>
  <conditionalFormatting sqref="C530">
    <cfRule type="cellIs" dxfId="4513" priority="1586" stopIfTrue="1" operator="equal">
      <formula>"2 Add"</formula>
    </cfRule>
  </conditionalFormatting>
  <conditionalFormatting sqref="C530">
    <cfRule type="cellIs" dxfId="4512" priority="1587" stopIfTrue="1" operator="equal">
      <formula>"3 Delete"</formula>
    </cfRule>
  </conditionalFormatting>
  <conditionalFormatting sqref="C531">
    <cfRule type="cellIs" dxfId="4511" priority="1588" stopIfTrue="1" operator="equal">
      <formula>"1 Modify"</formula>
    </cfRule>
  </conditionalFormatting>
  <conditionalFormatting sqref="C531">
    <cfRule type="cellIs" dxfId="4510" priority="1589" stopIfTrue="1" operator="equal">
      <formula>"2 Add"</formula>
    </cfRule>
  </conditionalFormatting>
  <conditionalFormatting sqref="C531">
    <cfRule type="cellIs" dxfId="4509" priority="1590" stopIfTrue="1" operator="equal">
      <formula>"3 Delete"</formula>
    </cfRule>
  </conditionalFormatting>
  <conditionalFormatting sqref="C532">
    <cfRule type="cellIs" dxfId="4508" priority="1591" stopIfTrue="1" operator="equal">
      <formula>"1 Modify"</formula>
    </cfRule>
  </conditionalFormatting>
  <conditionalFormatting sqref="C532">
    <cfRule type="cellIs" dxfId="4507" priority="1592" stopIfTrue="1" operator="equal">
      <formula>"2 Add"</formula>
    </cfRule>
  </conditionalFormatting>
  <conditionalFormatting sqref="C532">
    <cfRule type="cellIs" dxfId="4506" priority="1593" stopIfTrue="1" operator="equal">
      <formula>"3 Delete"</formula>
    </cfRule>
  </conditionalFormatting>
  <conditionalFormatting sqref="C533">
    <cfRule type="cellIs" dxfId="4505" priority="1594" stopIfTrue="1" operator="equal">
      <formula>"1 Modify"</formula>
    </cfRule>
  </conditionalFormatting>
  <conditionalFormatting sqref="C533">
    <cfRule type="cellIs" dxfId="4504" priority="1595" stopIfTrue="1" operator="equal">
      <formula>"2 Add"</formula>
    </cfRule>
  </conditionalFormatting>
  <conditionalFormatting sqref="C533">
    <cfRule type="cellIs" dxfId="4503" priority="1596" stopIfTrue="1" operator="equal">
      <formula>"3 Delete"</formula>
    </cfRule>
  </conditionalFormatting>
  <conditionalFormatting sqref="C534">
    <cfRule type="cellIs" dxfId="4502" priority="1597" stopIfTrue="1" operator="equal">
      <formula>"1 Modify"</formula>
    </cfRule>
  </conditionalFormatting>
  <conditionalFormatting sqref="C534">
    <cfRule type="cellIs" dxfId="4501" priority="1598" stopIfTrue="1" operator="equal">
      <formula>"2 Add"</formula>
    </cfRule>
  </conditionalFormatting>
  <conditionalFormatting sqref="C534">
    <cfRule type="cellIs" dxfId="4500" priority="1599" stopIfTrue="1" operator="equal">
      <formula>"3 Delete"</formula>
    </cfRule>
  </conditionalFormatting>
  <conditionalFormatting sqref="C535">
    <cfRule type="cellIs" dxfId="4499" priority="1600" stopIfTrue="1" operator="equal">
      <formula>"1 Modify"</formula>
    </cfRule>
  </conditionalFormatting>
  <conditionalFormatting sqref="C535">
    <cfRule type="cellIs" dxfId="4498" priority="1601" stopIfTrue="1" operator="equal">
      <formula>"2 Add"</formula>
    </cfRule>
  </conditionalFormatting>
  <conditionalFormatting sqref="C535">
    <cfRule type="cellIs" dxfId="4497" priority="1602" stopIfTrue="1" operator="equal">
      <formula>"3 Delete"</formula>
    </cfRule>
  </conditionalFormatting>
  <conditionalFormatting sqref="C536">
    <cfRule type="cellIs" dxfId="4496" priority="1603" stopIfTrue="1" operator="equal">
      <formula>"1 Modify"</formula>
    </cfRule>
  </conditionalFormatting>
  <conditionalFormatting sqref="C536">
    <cfRule type="cellIs" dxfId="4495" priority="1604" stopIfTrue="1" operator="equal">
      <formula>"2 Add"</formula>
    </cfRule>
  </conditionalFormatting>
  <conditionalFormatting sqref="C536">
    <cfRule type="cellIs" dxfId="4494" priority="1605" stopIfTrue="1" operator="equal">
      <formula>"3 Delete"</formula>
    </cfRule>
  </conditionalFormatting>
  <conditionalFormatting sqref="C537">
    <cfRule type="cellIs" dxfId="4493" priority="1606" stopIfTrue="1" operator="equal">
      <formula>"1 Modify"</formula>
    </cfRule>
  </conditionalFormatting>
  <conditionalFormatting sqref="C537">
    <cfRule type="cellIs" dxfId="4492" priority="1607" stopIfTrue="1" operator="equal">
      <formula>"2 Add"</formula>
    </cfRule>
  </conditionalFormatting>
  <conditionalFormatting sqref="C537">
    <cfRule type="cellIs" dxfId="4491" priority="1608" stopIfTrue="1" operator="equal">
      <formula>"3 Delete"</formula>
    </cfRule>
  </conditionalFormatting>
  <conditionalFormatting sqref="C538">
    <cfRule type="cellIs" dxfId="4490" priority="1609" stopIfTrue="1" operator="equal">
      <formula>"1 Modify"</formula>
    </cfRule>
  </conditionalFormatting>
  <conditionalFormatting sqref="C538">
    <cfRule type="cellIs" dxfId="4489" priority="1610" stopIfTrue="1" operator="equal">
      <formula>"2 Add"</formula>
    </cfRule>
  </conditionalFormatting>
  <conditionalFormatting sqref="C538">
    <cfRule type="cellIs" dxfId="4488" priority="1611" stopIfTrue="1" operator="equal">
      <formula>"3 Delete"</formula>
    </cfRule>
  </conditionalFormatting>
  <conditionalFormatting sqref="C539">
    <cfRule type="cellIs" dxfId="4487" priority="1612" stopIfTrue="1" operator="equal">
      <formula>"1 Modify"</formula>
    </cfRule>
  </conditionalFormatting>
  <conditionalFormatting sqref="C539">
    <cfRule type="cellIs" dxfId="4486" priority="1613" stopIfTrue="1" operator="equal">
      <formula>"2 Add"</formula>
    </cfRule>
  </conditionalFormatting>
  <conditionalFormatting sqref="C539">
    <cfRule type="cellIs" dxfId="4485" priority="1614" stopIfTrue="1" operator="equal">
      <formula>"3 Delete"</formula>
    </cfRule>
  </conditionalFormatting>
  <conditionalFormatting sqref="C540">
    <cfRule type="cellIs" dxfId="4484" priority="1615" stopIfTrue="1" operator="equal">
      <formula>"1 Modify"</formula>
    </cfRule>
  </conditionalFormatting>
  <conditionalFormatting sqref="C540">
    <cfRule type="cellIs" dxfId="4483" priority="1616" stopIfTrue="1" operator="equal">
      <formula>"2 Add"</formula>
    </cfRule>
  </conditionalFormatting>
  <conditionalFormatting sqref="C540">
    <cfRule type="cellIs" dxfId="4482" priority="1617" stopIfTrue="1" operator="equal">
      <formula>"3 Delete"</formula>
    </cfRule>
  </conditionalFormatting>
  <conditionalFormatting sqref="C541">
    <cfRule type="cellIs" dxfId="4481" priority="1618" stopIfTrue="1" operator="equal">
      <formula>"1 Modify"</formula>
    </cfRule>
  </conditionalFormatting>
  <conditionalFormatting sqref="C541">
    <cfRule type="cellIs" dxfId="4480" priority="1619" stopIfTrue="1" operator="equal">
      <formula>"2 Add"</formula>
    </cfRule>
  </conditionalFormatting>
  <conditionalFormatting sqref="C541">
    <cfRule type="cellIs" dxfId="4479" priority="1620" stopIfTrue="1" operator="equal">
      <formula>"3 Delete"</formula>
    </cfRule>
  </conditionalFormatting>
  <conditionalFormatting sqref="C542">
    <cfRule type="cellIs" dxfId="4478" priority="1621" stopIfTrue="1" operator="equal">
      <formula>"1 Modify"</formula>
    </cfRule>
  </conditionalFormatting>
  <conditionalFormatting sqref="C542">
    <cfRule type="cellIs" dxfId="4477" priority="1622" stopIfTrue="1" operator="equal">
      <formula>"2 Add"</formula>
    </cfRule>
  </conditionalFormatting>
  <conditionalFormatting sqref="C542">
    <cfRule type="cellIs" dxfId="4476" priority="1623" stopIfTrue="1" operator="equal">
      <formula>"3 Delete"</formula>
    </cfRule>
  </conditionalFormatting>
  <conditionalFormatting sqref="C543">
    <cfRule type="cellIs" dxfId="4475" priority="1624" stopIfTrue="1" operator="equal">
      <formula>"1 Modify"</formula>
    </cfRule>
  </conditionalFormatting>
  <conditionalFormatting sqref="C543">
    <cfRule type="cellIs" dxfId="4474" priority="1625" stopIfTrue="1" operator="equal">
      <formula>"2 Add"</formula>
    </cfRule>
  </conditionalFormatting>
  <conditionalFormatting sqref="C543">
    <cfRule type="cellIs" dxfId="4473" priority="1626" stopIfTrue="1" operator="equal">
      <formula>"3 Delete"</formula>
    </cfRule>
  </conditionalFormatting>
  <conditionalFormatting sqref="C544">
    <cfRule type="cellIs" dxfId="4472" priority="1627" stopIfTrue="1" operator="equal">
      <formula>"1 Modify"</formula>
    </cfRule>
  </conditionalFormatting>
  <conditionalFormatting sqref="C544">
    <cfRule type="cellIs" dxfId="4471" priority="1628" stopIfTrue="1" operator="equal">
      <formula>"2 Add"</formula>
    </cfRule>
  </conditionalFormatting>
  <conditionalFormatting sqref="C544">
    <cfRule type="cellIs" dxfId="4470" priority="1629" stopIfTrue="1" operator="equal">
      <formula>"3 Delete"</formula>
    </cfRule>
  </conditionalFormatting>
  <conditionalFormatting sqref="C545">
    <cfRule type="cellIs" dxfId="4469" priority="1630" stopIfTrue="1" operator="equal">
      <formula>"1 Modify"</formula>
    </cfRule>
  </conditionalFormatting>
  <conditionalFormatting sqref="C545">
    <cfRule type="cellIs" dxfId="4468" priority="1631" stopIfTrue="1" operator="equal">
      <formula>"2 Add"</formula>
    </cfRule>
  </conditionalFormatting>
  <conditionalFormatting sqref="C545">
    <cfRule type="cellIs" dxfId="4467" priority="1632" stopIfTrue="1" operator="equal">
      <formula>"3 Delete"</formula>
    </cfRule>
  </conditionalFormatting>
  <conditionalFormatting sqref="C546">
    <cfRule type="cellIs" dxfId="4466" priority="1633" stopIfTrue="1" operator="equal">
      <formula>"1 Modify"</formula>
    </cfRule>
  </conditionalFormatting>
  <conditionalFormatting sqref="C546">
    <cfRule type="cellIs" dxfId="4465" priority="1634" stopIfTrue="1" operator="equal">
      <formula>"2 Add"</formula>
    </cfRule>
  </conditionalFormatting>
  <conditionalFormatting sqref="C546">
    <cfRule type="cellIs" dxfId="4464" priority="1635" stopIfTrue="1" operator="equal">
      <formula>"3 Delete"</formula>
    </cfRule>
  </conditionalFormatting>
  <conditionalFormatting sqref="C547">
    <cfRule type="cellIs" dxfId="4463" priority="1636" stopIfTrue="1" operator="equal">
      <formula>"1 Modify"</formula>
    </cfRule>
  </conditionalFormatting>
  <conditionalFormatting sqref="C547">
    <cfRule type="cellIs" dxfId="4462" priority="1637" stopIfTrue="1" operator="equal">
      <formula>"2 Add"</formula>
    </cfRule>
  </conditionalFormatting>
  <conditionalFormatting sqref="C547">
    <cfRule type="cellIs" dxfId="4461" priority="1638" stopIfTrue="1" operator="equal">
      <formula>"3 Delete"</formula>
    </cfRule>
  </conditionalFormatting>
  <conditionalFormatting sqref="C548">
    <cfRule type="cellIs" dxfId="4460" priority="1639" stopIfTrue="1" operator="equal">
      <formula>"1 Modify"</formula>
    </cfRule>
  </conditionalFormatting>
  <conditionalFormatting sqref="C548">
    <cfRule type="cellIs" dxfId="4459" priority="1640" stopIfTrue="1" operator="equal">
      <formula>"2 Add"</formula>
    </cfRule>
  </conditionalFormatting>
  <conditionalFormatting sqref="C548">
    <cfRule type="cellIs" dxfId="4458" priority="1641" stopIfTrue="1" operator="equal">
      <formula>"3 Delete"</formula>
    </cfRule>
  </conditionalFormatting>
  <conditionalFormatting sqref="C549">
    <cfRule type="cellIs" dxfId="4457" priority="1642" stopIfTrue="1" operator="equal">
      <formula>"1 Modify"</formula>
    </cfRule>
  </conditionalFormatting>
  <conditionalFormatting sqref="C549">
    <cfRule type="cellIs" dxfId="4456" priority="1643" stopIfTrue="1" operator="equal">
      <formula>"2 Add"</formula>
    </cfRule>
  </conditionalFormatting>
  <conditionalFormatting sqref="C549">
    <cfRule type="cellIs" dxfId="4455" priority="1644" stopIfTrue="1" operator="equal">
      <formula>"3 Delete"</formula>
    </cfRule>
  </conditionalFormatting>
  <conditionalFormatting sqref="C550">
    <cfRule type="cellIs" dxfId="4454" priority="1645" stopIfTrue="1" operator="equal">
      <formula>"1 Modify"</formula>
    </cfRule>
  </conditionalFormatting>
  <conditionalFormatting sqref="C550">
    <cfRule type="cellIs" dxfId="4453" priority="1646" stopIfTrue="1" operator="equal">
      <formula>"2 Add"</formula>
    </cfRule>
  </conditionalFormatting>
  <conditionalFormatting sqref="C550">
    <cfRule type="cellIs" dxfId="4452" priority="1647" stopIfTrue="1" operator="equal">
      <formula>"3 Delete"</formula>
    </cfRule>
  </conditionalFormatting>
  <conditionalFormatting sqref="C551">
    <cfRule type="cellIs" dxfId="4451" priority="1648" stopIfTrue="1" operator="equal">
      <formula>"1 Modify"</formula>
    </cfRule>
  </conditionalFormatting>
  <conditionalFormatting sqref="C551">
    <cfRule type="cellIs" dxfId="4450" priority="1649" stopIfTrue="1" operator="equal">
      <formula>"2 Add"</formula>
    </cfRule>
  </conditionalFormatting>
  <conditionalFormatting sqref="C551">
    <cfRule type="cellIs" dxfId="4449" priority="1650" stopIfTrue="1" operator="equal">
      <formula>"3 Delete"</formula>
    </cfRule>
  </conditionalFormatting>
  <conditionalFormatting sqref="C552">
    <cfRule type="cellIs" dxfId="4448" priority="1651" stopIfTrue="1" operator="equal">
      <formula>"1 Modify"</formula>
    </cfRule>
  </conditionalFormatting>
  <conditionalFormatting sqref="C552">
    <cfRule type="cellIs" dxfId="4447" priority="1652" stopIfTrue="1" operator="equal">
      <formula>"2 Add"</formula>
    </cfRule>
  </conditionalFormatting>
  <conditionalFormatting sqref="C552">
    <cfRule type="cellIs" dxfId="4446" priority="1653" stopIfTrue="1" operator="equal">
      <formula>"3 Delete"</formula>
    </cfRule>
  </conditionalFormatting>
  <conditionalFormatting sqref="C553">
    <cfRule type="cellIs" dxfId="4445" priority="1654" stopIfTrue="1" operator="equal">
      <formula>"1 Modify"</formula>
    </cfRule>
  </conditionalFormatting>
  <conditionalFormatting sqref="C553">
    <cfRule type="cellIs" dxfId="4444" priority="1655" stopIfTrue="1" operator="equal">
      <formula>"2 Add"</formula>
    </cfRule>
  </conditionalFormatting>
  <conditionalFormatting sqref="C553">
    <cfRule type="cellIs" dxfId="4443" priority="1656" stopIfTrue="1" operator="equal">
      <formula>"3 Delete"</formula>
    </cfRule>
  </conditionalFormatting>
  <conditionalFormatting sqref="C554">
    <cfRule type="cellIs" dxfId="4442" priority="1657" stopIfTrue="1" operator="equal">
      <formula>"1 Modify"</formula>
    </cfRule>
  </conditionalFormatting>
  <conditionalFormatting sqref="C554">
    <cfRule type="cellIs" dxfId="4441" priority="1658" stopIfTrue="1" operator="equal">
      <formula>"2 Add"</formula>
    </cfRule>
  </conditionalFormatting>
  <conditionalFormatting sqref="C554">
    <cfRule type="cellIs" dxfId="4440" priority="1659" stopIfTrue="1" operator="equal">
      <formula>"3 Delete"</formula>
    </cfRule>
  </conditionalFormatting>
  <conditionalFormatting sqref="C555">
    <cfRule type="cellIs" dxfId="4439" priority="1660" stopIfTrue="1" operator="equal">
      <formula>"1 Modify"</formula>
    </cfRule>
  </conditionalFormatting>
  <conditionalFormatting sqref="C555">
    <cfRule type="cellIs" dxfId="4438" priority="1661" stopIfTrue="1" operator="equal">
      <formula>"2 Add"</formula>
    </cfRule>
  </conditionalFormatting>
  <conditionalFormatting sqref="C555">
    <cfRule type="cellIs" dxfId="4437" priority="1662" stopIfTrue="1" operator="equal">
      <formula>"3 Delete"</formula>
    </cfRule>
  </conditionalFormatting>
  <conditionalFormatting sqref="C556">
    <cfRule type="cellIs" dxfId="4436" priority="1663" stopIfTrue="1" operator="equal">
      <formula>"1 Modify"</formula>
    </cfRule>
  </conditionalFormatting>
  <conditionalFormatting sqref="C556">
    <cfRule type="cellIs" dxfId="4435" priority="1664" stopIfTrue="1" operator="equal">
      <formula>"2 Add"</formula>
    </cfRule>
  </conditionalFormatting>
  <conditionalFormatting sqref="C556">
    <cfRule type="cellIs" dxfId="4434" priority="1665" stopIfTrue="1" operator="equal">
      <formula>"3 Delete"</formula>
    </cfRule>
  </conditionalFormatting>
  <conditionalFormatting sqref="C557">
    <cfRule type="cellIs" dxfId="4433" priority="1666" stopIfTrue="1" operator="equal">
      <formula>"1 Modify"</formula>
    </cfRule>
  </conditionalFormatting>
  <conditionalFormatting sqref="C557">
    <cfRule type="cellIs" dxfId="4432" priority="1667" stopIfTrue="1" operator="equal">
      <formula>"2 Add"</formula>
    </cfRule>
  </conditionalFormatting>
  <conditionalFormatting sqref="C557">
    <cfRule type="cellIs" dxfId="4431" priority="1668" stopIfTrue="1" operator="equal">
      <formula>"3 Delete"</formula>
    </cfRule>
  </conditionalFormatting>
  <conditionalFormatting sqref="C558">
    <cfRule type="cellIs" dxfId="4430" priority="1669" stopIfTrue="1" operator="equal">
      <formula>"1 Modify"</formula>
    </cfRule>
  </conditionalFormatting>
  <conditionalFormatting sqref="C558">
    <cfRule type="cellIs" dxfId="4429" priority="1670" stopIfTrue="1" operator="equal">
      <formula>"2 Add"</formula>
    </cfRule>
  </conditionalFormatting>
  <conditionalFormatting sqref="C558">
    <cfRule type="cellIs" dxfId="4428" priority="1671" stopIfTrue="1" operator="equal">
      <formula>"3 Delete"</formula>
    </cfRule>
  </conditionalFormatting>
  <conditionalFormatting sqref="C559">
    <cfRule type="cellIs" dxfId="4427" priority="1672" stopIfTrue="1" operator="equal">
      <formula>"1 Modify"</formula>
    </cfRule>
  </conditionalFormatting>
  <conditionalFormatting sqref="C559">
    <cfRule type="cellIs" dxfId="4426" priority="1673" stopIfTrue="1" operator="equal">
      <formula>"2 Add"</formula>
    </cfRule>
  </conditionalFormatting>
  <conditionalFormatting sqref="C559">
    <cfRule type="cellIs" dxfId="4425" priority="1674" stopIfTrue="1" operator="equal">
      <formula>"3 Delete"</formula>
    </cfRule>
  </conditionalFormatting>
  <conditionalFormatting sqref="C560">
    <cfRule type="cellIs" dxfId="4424" priority="1675" stopIfTrue="1" operator="equal">
      <formula>"1 Modify"</formula>
    </cfRule>
  </conditionalFormatting>
  <conditionalFormatting sqref="C560">
    <cfRule type="cellIs" dxfId="4423" priority="1676" stopIfTrue="1" operator="equal">
      <formula>"2 Add"</formula>
    </cfRule>
  </conditionalFormatting>
  <conditionalFormatting sqref="C560">
    <cfRule type="cellIs" dxfId="4422" priority="1677" stopIfTrue="1" operator="equal">
      <formula>"3 Delete"</formula>
    </cfRule>
  </conditionalFormatting>
  <conditionalFormatting sqref="C561">
    <cfRule type="cellIs" dxfId="4421" priority="1678" stopIfTrue="1" operator="equal">
      <formula>"1 Modify"</formula>
    </cfRule>
  </conditionalFormatting>
  <conditionalFormatting sqref="C561">
    <cfRule type="cellIs" dxfId="4420" priority="1679" stopIfTrue="1" operator="equal">
      <formula>"2 Add"</formula>
    </cfRule>
  </conditionalFormatting>
  <conditionalFormatting sqref="C561">
    <cfRule type="cellIs" dxfId="4419" priority="1680" stopIfTrue="1" operator="equal">
      <formula>"3 Delete"</formula>
    </cfRule>
  </conditionalFormatting>
  <conditionalFormatting sqref="C562">
    <cfRule type="cellIs" dxfId="4418" priority="1681" stopIfTrue="1" operator="equal">
      <formula>"1 Modify"</formula>
    </cfRule>
  </conditionalFormatting>
  <conditionalFormatting sqref="C562">
    <cfRule type="cellIs" dxfId="4417" priority="1682" stopIfTrue="1" operator="equal">
      <formula>"2 Add"</formula>
    </cfRule>
  </conditionalFormatting>
  <conditionalFormatting sqref="C562">
    <cfRule type="cellIs" dxfId="4416" priority="1683" stopIfTrue="1" operator="equal">
      <formula>"3 Delete"</formula>
    </cfRule>
  </conditionalFormatting>
  <conditionalFormatting sqref="C563">
    <cfRule type="cellIs" dxfId="4415" priority="1684" stopIfTrue="1" operator="equal">
      <formula>"1 Modify"</formula>
    </cfRule>
  </conditionalFormatting>
  <conditionalFormatting sqref="C563">
    <cfRule type="cellIs" dxfId="4414" priority="1685" stopIfTrue="1" operator="equal">
      <formula>"2 Add"</formula>
    </cfRule>
  </conditionalFormatting>
  <conditionalFormatting sqref="C563">
    <cfRule type="cellIs" dxfId="4413" priority="1686" stopIfTrue="1" operator="equal">
      <formula>"3 Delete"</formula>
    </cfRule>
  </conditionalFormatting>
  <conditionalFormatting sqref="C564">
    <cfRule type="cellIs" dxfId="4412" priority="1687" stopIfTrue="1" operator="equal">
      <formula>"1 Modify"</formula>
    </cfRule>
  </conditionalFormatting>
  <conditionalFormatting sqref="C564">
    <cfRule type="cellIs" dxfId="4411" priority="1688" stopIfTrue="1" operator="equal">
      <formula>"2 Add"</formula>
    </cfRule>
  </conditionalFormatting>
  <conditionalFormatting sqref="C564">
    <cfRule type="cellIs" dxfId="4410" priority="1689" stopIfTrue="1" operator="equal">
      <formula>"3 Delete"</formula>
    </cfRule>
  </conditionalFormatting>
  <conditionalFormatting sqref="C565">
    <cfRule type="cellIs" dxfId="4409" priority="1690" stopIfTrue="1" operator="equal">
      <formula>"1 Modify"</formula>
    </cfRule>
  </conditionalFormatting>
  <conditionalFormatting sqref="C565">
    <cfRule type="cellIs" dxfId="4408" priority="1691" stopIfTrue="1" operator="equal">
      <formula>"2 Add"</formula>
    </cfRule>
  </conditionalFormatting>
  <conditionalFormatting sqref="C565">
    <cfRule type="cellIs" dxfId="4407" priority="1692" stopIfTrue="1" operator="equal">
      <formula>"3 Delete"</formula>
    </cfRule>
  </conditionalFormatting>
  <conditionalFormatting sqref="C566">
    <cfRule type="cellIs" dxfId="4406" priority="1693" stopIfTrue="1" operator="equal">
      <formula>"1 Modify"</formula>
    </cfRule>
  </conditionalFormatting>
  <conditionalFormatting sqref="C566">
    <cfRule type="cellIs" dxfId="4405" priority="1694" stopIfTrue="1" operator="equal">
      <formula>"2 Add"</formula>
    </cfRule>
  </conditionalFormatting>
  <conditionalFormatting sqref="C566">
    <cfRule type="cellIs" dxfId="4404" priority="1695" stopIfTrue="1" operator="equal">
      <formula>"3 Delete"</formula>
    </cfRule>
  </conditionalFormatting>
  <conditionalFormatting sqref="C567">
    <cfRule type="cellIs" dxfId="4403" priority="1696" stopIfTrue="1" operator="equal">
      <formula>"1 Modify"</formula>
    </cfRule>
  </conditionalFormatting>
  <conditionalFormatting sqref="C567">
    <cfRule type="cellIs" dxfId="4402" priority="1697" stopIfTrue="1" operator="equal">
      <formula>"2 Add"</formula>
    </cfRule>
  </conditionalFormatting>
  <conditionalFormatting sqref="C567">
    <cfRule type="cellIs" dxfId="4401" priority="1698" stopIfTrue="1" operator="equal">
      <formula>"3 Delete"</formula>
    </cfRule>
  </conditionalFormatting>
  <conditionalFormatting sqref="C568">
    <cfRule type="cellIs" dxfId="4400" priority="1699" stopIfTrue="1" operator="equal">
      <formula>"1 Modify"</formula>
    </cfRule>
  </conditionalFormatting>
  <conditionalFormatting sqref="C568">
    <cfRule type="cellIs" dxfId="4399" priority="1700" stopIfTrue="1" operator="equal">
      <formula>"2 Add"</formula>
    </cfRule>
  </conditionalFormatting>
  <conditionalFormatting sqref="C568">
    <cfRule type="cellIs" dxfId="4398" priority="1701" stopIfTrue="1" operator="equal">
      <formula>"3 Delete"</formula>
    </cfRule>
  </conditionalFormatting>
  <conditionalFormatting sqref="C569">
    <cfRule type="cellIs" dxfId="4397" priority="1702" stopIfTrue="1" operator="equal">
      <formula>"1 Modify"</formula>
    </cfRule>
  </conditionalFormatting>
  <conditionalFormatting sqref="C569">
    <cfRule type="cellIs" dxfId="4396" priority="1703" stopIfTrue="1" operator="equal">
      <formula>"2 Add"</formula>
    </cfRule>
  </conditionalFormatting>
  <conditionalFormatting sqref="C569">
    <cfRule type="cellIs" dxfId="4395" priority="1704" stopIfTrue="1" operator="equal">
      <formula>"3 Delete"</formula>
    </cfRule>
  </conditionalFormatting>
  <conditionalFormatting sqref="C570">
    <cfRule type="cellIs" dxfId="4394" priority="1705" stopIfTrue="1" operator="equal">
      <formula>"1 Modify"</formula>
    </cfRule>
  </conditionalFormatting>
  <conditionalFormatting sqref="C570">
    <cfRule type="cellIs" dxfId="4393" priority="1706" stopIfTrue="1" operator="equal">
      <formula>"2 Add"</formula>
    </cfRule>
  </conditionalFormatting>
  <conditionalFormatting sqref="C570">
    <cfRule type="cellIs" dxfId="4392" priority="1707" stopIfTrue="1" operator="equal">
      <formula>"3 Delete"</formula>
    </cfRule>
  </conditionalFormatting>
  <conditionalFormatting sqref="C571">
    <cfRule type="cellIs" dxfId="4391" priority="1708" stopIfTrue="1" operator="equal">
      <formula>"1 Modify"</formula>
    </cfRule>
  </conditionalFormatting>
  <conditionalFormatting sqref="C571">
    <cfRule type="cellIs" dxfId="4390" priority="1709" stopIfTrue="1" operator="equal">
      <formula>"2 Add"</formula>
    </cfRule>
  </conditionalFormatting>
  <conditionalFormatting sqref="C571">
    <cfRule type="cellIs" dxfId="4389" priority="1710" stopIfTrue="1" operator="equal">
      <formula>"3 Delete"</formula>
    </cfRule>
  </conditionalFormatting>
  <conditionalFormatting sqref="C572">
    <cfRule type="cellIs" dxfId="4388" priority="1711" stopIfTrue="1" operator="equal">
      <formula>"1 Modify"</formula>
    </cfRule>
  </conditionalFormatting>
  <conditionalFormatting sqref="C572">
    <cfRule type="cellIs" dxfId="4387" priority="1712" stopIfTrue="1" operator="equal">
      <formula>"2 Add"</formula>
    </cfRule>
  </conditionalFormatting>
  <conditionalFormatting sqref="C572">
    <cfRule type="cellIs" dxfId="4386" priority="1713" stopIfTrue="1" operator="equal">
      <formula>"3 Delete"</formula>
    </cfRule>
  </conditionalFormatting>
  <conditionalFormatting sqref="C573">
    <cfRule type="cellIs" dxfId="4385" priority="1714" stopIfTrue="1" operator="equal">
      <formula>"1 Modify"</formula>
    </cfRule>
  </conditionalFormatting>
  <conditionalFormatting sqref="C573">
    <cfRule type="cellIs" dxfId="4384" priority="1715" stopIfTrue="1" operator="equal">
      <formula>"2 Add"</formula>
    </cfRule>
  </conditionalFormatting>
  <conditionalFormatting sqref="C573">
    <cfRule type="cellIs" dxfId="4383" priority="1716" stopIfTrue="1" operator="equal">
      <formula>"3 Delete"</formula>
    </cfRule>
  </conditionalFormatting>
  <conditionalFormatting sqref="C574">
    <cfRule type="cellIs" dxfId="4382" priority="1717" stopIfTrue="1" operator="equal">
      <formula>"1 Modify"</formula>
    </cfRule>
  </conditionalFormatting>
  <conditionalFormatting sqref="C574">
    <cfRule type="cellIs" dxfId="4381" priority="1718" stopIfTrue="1" operator="equal">
      <formula>"2 Add"</formula>
    </cfRule>
  </conditionalFormatting>
  <conditionalFormatting sqref="C574">
    <cfRule type="cellIs" dxfId="4380" priority="1719" stopIfTrue="1" operator="equal">
      <formula>"3 Delete"</formula>
    </cfRule>
  </conditionalFormatting>
  <conditionalFormatting sqref="C575">
    <cfRule type="cellIs" dxfId="4379" priority="1720" stopIfTrue="1" operator="equal">
      <formula>"1 Modify"</formula>
    </cfRule>
  </conditionalFormatting>
  <conditionalFormatting sqref="C575">
    <cfRule type="cellIs" dxfId="4378" priority="1721" stopIfTrue="1" operator="equal">
      <formula>"2 Add"</formula>
    </cfRule>
  </conditionalFormatting>
  <conditionalFormatting sqref="C575">
    <cfRule type="cellIs" dxfId="4377" priority="1722" stopIfTrue="1" operator="equal">
      <formula>"3 Delete"</formula>
    </cfRule>
  </conditionalFormatting>
  <conditionalFormatting sqref="C576">
    <cfRule type="cellIs" dxfId="4376" priority="1723" stopIfTrue="1" operator="equal">
      <formula>"1 Modify"</formula>
    </cfRule>
  </conditionalFormatting>
  <conditionalFormatting sqref="C576">
    <cfRule type="cellIs" dxfId="4375" priority="1724" stopIfTrue="1" operator="equal">
      <formula>"2 Add"</formula>
    </cfRule>
  </conditionalFormatting>
  <conditionalFormatting sqref="C576">
    <cfRule type="cellIs" dxfId="4374" priority="1725" stopIfTrue="1" operator="equal">
      <formula>"3 Delete"</formula>
    </cfRule>
  </conditionalFormatting>
  <conditionalFormatting sqref="C577">
    <cfRule type="cellIs" dxfId="4373" priority="1726" stopIfTrue="1" operator="equal">
      <formula>"1 Modify"</formula>
    </cfRule>
  </conditionalFormatting>
  <conditionalFormatting sqref="C577">
    <cfRule type="cellIs" dxfId="4372" priority="1727" stopIfTrue="1" operator="equal">
      <formula>"2 Add"</formula>
    </cfRule>
  </conditionalFormatting>
  <conditionalFormatting sqref="C577">
    <cfRule type="cellIs" dxfId="4371" priority="1728" stopIfTrue="1" operator="equal">
      <formula>"3 Delete"</formula>
    </cfRule>
  </conditionalFormatting>
  <conditionalFormatting sqref="C578">
    <cfRule type="cellIs" dxfId="4370" priority="1729" stopIfTrue="1" operator="equal">
      <formula>"1 Modify"</formula>
    </cfRule>
  </conditionalFormatting>
  <conditionalFormatting sqref="C578">
    <cfRule type="cellIs" dxfId="4369" priority="1730" stopIfTrue="1" operator="equal">
      <formula>"2 Add"</formula>
    </cfRule>
  </conditionalFormatting>
  <conditionalFormatting sqref="C578">
    <cfRule type="cellIs" dxfId="4368" priority="1731" stopIfTrue="1" operator="equal">
      <formula>"3 Delete"</formula>
    </cfRule>
  </conditionalFormatting>
  <conditionalFormatting sqref="C579">
    <cfRule type="cellIs" dxfId="4367" priority="1732" stopIfTrue="1" operator="equal">
      <formula>"1 Modify"</formula>
    </cfRule>
  </conditionalFormatting>
  <conditionalFormatting sqref="C579">
    <cfRule type="cellIs" dxfId="4366" priority="1733" stopIfTrue="1" operator="equal">
      <formula>"2 Add"</formula>
    </cfRule>
  </conditionalFormatting>
  <conditionalFormatting sqref="C579">
    <cfRule type="cellIs" dxfId="4365" priority="1734" stopIfTrue="1" operator="equal">
      <formula>"3 Delete"</formula>
    </cfRule>
  </conditionalFormatting>
  <conditionalFormatting sqref="C580">
    <cfRule type="cellIs" dxfId="4364" priority="1735" stopIfTrue="1" operator="equal">
      <formula>"1 Modify"</formula>
    </cfRule>
  </conditionalFormatting>
  <conditionalFormatting sqref="C580">
    <cfRule type="cellIs" dxfId="4363" priority="1736" stopIfTrue="1" operator="equal">
      <formula>"2 Add"</formula>
    </cfRule>
  </conditionalFormatting>
  <conditionalFormatting sqref="C580">
    <cfRule type="cellIs" dxfId="4362" priority="1737" stopIfTrue="1" operator="equal">
      <formula>"3 Delete"</formula>
    </cfRule>
  </conditionalFormatting>
  <conditionalFormatting sqref="C581">
    <cfRule type="cellIs" dxfId="4361" priority="1738" stopIfTrue="1" operator="equal">
      <formula>"1 Modify"</formula>
    </cfRule>
  </conditionalFormatting>
  <conditionalFormatting sqref="C581">
    <cfRule type="cellIs" dxfId="4360" priority="1739" stopIfTrue="1" operator="equal">
      <formula>"2 Add"</formula>
    </cfRule>
  </conditionalFormatting>
  <conditionalFormatting sqref="C581">
    <cfRule type="cellIs" dxfId="4359" priority="1740" stopIfTrue="1" operator="equal">
      <formula>"3 Delete"</formula>
    </cfRule>
  </conditionalFormatting>
  <conditionalFormatting sqref="C582">
    <cfRule type="cellIs" dxfId="4358" priority="1741" stopIfTrue="1" operator="equal">
      <formula>"1 Modify"</formula>
    </cfRule>
  </conditionalFormatting>
  <conditionalFormatting sqref="C582">
    <cfRule type="cellIs" dxfId="4357" priority="1742" stopIfTrue="1" operator="equal">
      <formula>"2 Add"</formula>
    </cfRule>
  </conditionalFormatting>
  <conditionalFormatting sqref="C582">
    <cfRule type="cellIs" dxfId="4356" priority="1743" stopIfTrue="1" operator="equal">
      <formula>"3 Delete"</formula>
    </cfRule>
  </conditionalFormatting>
  <conditionalFormatting sqref="C583">
    <cfRule type="cellIs" dxfId="4355" priority="1744" stopIfTrue="1" operator="equal">
      <formula>"1 Modify"</formula>
    </cfRule>
  </conditionalFormatting>
  <conditionalFormatting sqref="C583">
    <cfRule type="cellIs" dxfId="4354" priority="1745" stopIfTrue="1" operator="equal">
      <formula>"2 Add"</formula>
    </cfRule>
  </conditionalFormatting>
  <conditionalFormatting sqref="C583">
    <cfRule type="cellIs" dxfId="4353" priority="1746" stopIfTrue="1" operator="equal">
      <formula>"3 Delete"</formula>
    </cfRule>
  </conditionalFormatting>
  <conditionalFormatting sqref="C584">
    <cfRule type="cellIs" dxfId="4352" priority="1747" stopIfTrue="1" operator="equal">
      <formula>"1 Modify"</formula>
    </cfRule>
  </conditionalFormatting>
  <conditionalFormatting sqref="C584">
    <cfRule type="cellIs" dxfId="4351" priority="1748" stopIfTrue="1" operator="equal">
      <formula>"2 Add"</formula>
    </cfRule>
  </conditionalFormatting>
  <conditionalFormatting sqref="C584">
    <cfRule type="cellIs" dxfId="4350" priority="1749" stopIfTrue="1" operator="equal">
      <formula>"3 Delete"</formula>
    </cfRule>
  </conditionalFormatting>
  <conditionalFormatting sqref="C585">
    <cfRule type="cellIs" dxfId="4349" priority="1750" stopIfTrue="1" operator="equal">
      <formula>"1 Modify"</formula>
    </cfRule>
  </conditionalFormatting>
  <conditionalFormatting sqref="C585">
    <cfRule type="cellIs" dxfId="4348" priority="1751" stopIfTrue="1" operator="equal">
      <formula>"2 Add"</formula>
    </cfRule>
  </conditionalFormatting>
  <conditionalFormatting sqref="C585">
    <cfRule type="cellIs" dxfId="4347" priority="1752" stopIfTrue="1" operator="equal">
      <formula>"3 Delete"</formula>
    </cfRule>
  </conditionalFormatting>
  <conditionalFormatting sqref="C586">
    <cfRule type="cellIs" dxfId="4346" priority="1753" stopIfTrue="1" operator="equal">
      <formula>"1 Modify"</formula>
    </cfRule>
  </conditionalFormatting>
  <conditionalFormatting sqref="C586">
    <cfRule type="cellIs" dxfId="4345" priority="1754" stopIfTrue="1" operator="equal">
      <formula>"2 Add"</formula>
    </cfRule>
  </conditionalFormatting>
  <conditionalFormatting sqref="C586">
    <cfRule type="cellIs" dxfId="4344" priority="1755" stopIfTrue="1" operator="equal">
      <formula>"3 Delete"</formula>
    </cfRule>
  </conditionalFormatting>
  <conditionalFormatting sqref="C587">
    <cfRule type="cellIs" dxfId="4343" priority="1756" stopIfTrue="1" operator="equal">
      <formula>"1 Modify"</formula>
    </cfRule>
  </conditionalFormatting>
  <conditionalFormatting sqref="C587">
    <cfRule type="cellIs" dxfId="4342" priority="1757" stopIfTrue="1" operator="equal">
      <formula>"2 Add"</formula>
    </cfRule>
  </conditionalFormatting>
  <conditionalFormatting sqref="C587">
    <cfRule type="cellIs" dxfId="4341" priority="1758" stopIfTrue="1" operator="equal">
      <formula>"3 Delete"</formula>
    </cfRule>
  </conditionalFormatting>
  <conditionalFormatting sqref="C588">
    <cfRule type="cellIs" dxfId="4340" priority="1759" stopIfTrue="1" operator="equal">
      <formula>"1 Modify"</formula>
    </cfRule>
  </conditionalFormatting>
  <conditionalFormatting sqref="C588">
    <cfRule type="cellIs" dxfId="4339" priority="1760" stopIfTrue="1" operator="equal">
      <formula>"2 Add"</formula>
    </cfRule>
  </conditionalFormatting>
  <conditionalFormatting sqref="C588">
    <cfRule type="cellIs" dxfId="4338" priority="1761" stopIfTrue="1" operator="equal">
      <formula>"3 Delete"</formula>
    </cfRule>
  </conditionalFormatting>
  <conditionalFormatting sqref="C589">
    <cfRule type="cellIs" dxfId="4337" priority="1762" stopIfTrue="1" operator="equal">
      <formula>"1 Modify"</formula>
    </cfRule>
  </conditionalFormatting>
  <conditionalFormatting sqref="C589">
    <cfRule type="cellIs" dxfId="4336" priority="1763" stopIfTrue="1" operator="equal">
      <formula>"2 Add"</formula>
    </cfRule>
  </conditionalFormatting>
  <conditionalFormatting sqref="C589">
    <cfRule type="cellIs" dxfId="4335" priority="1764" stopIfTrue="1" operator="equal">
      <formula>"3 Delete"</formula>
    </cfRule>
  </conditionalFormatting>
  <conditionalFormatting sqref="C590">
    <cfRule type="cellIs" dxfId="4334" priority="1765" stopIfTrue="1" operator="equal">
      <formula>"1 Modify"</formula>
    </cfRule>
  </conditionalFormatting>
  <conditionalFormatting sqref="C590">
    <cfRule type="cellIs" dxfId="4333" priority="1766" stopIfTrue="1" operator="equal">
      <formula>"2 Add"</formula>
    </cfRule>
  </conditionalFormatting>
  <conditionalFormatting sqref="C590">
    <cfRule type="cellIs" dxfId="4332" priority="1767" stopIfTrue="1" operator="equal">
      <formula>"3 Delete"</formula>
    </cfRule>
  </conditionalFormatting>
  <conditionalFormatting sqref="C591">
    <cfRule type="cellIs" dxfId="4331" priority="1768" stopIfTrue="1" operator="equal">
      <formula>"1 Modify"</formula>
    </cfRule>
  </conditionalFormatting>
  <conditionalFormatting sqref="C591">
    <cfRule type="cellIs" dxfId="4330" priority="1769" stopIfTrue="1" operator="equal">
      <formula>"2 Add"</formula>
    </cfRule>
  </conditionalFormatting>
  <conditionalFormatting sqref="C591">
    <cfRule type="cellIs" dxfId="4329" priority="1770" stopIfTrue="1" operator="equal">
      <formula>"3 Delete"</formula>
    </cfRule>
  </conditionalFormatting>
  <conditionalFormatting sqref="C592">
    <cfRule type="cellIs" dxfId="4328" priority="1771" stopIfTrue="1" operator="equal">
      <formula>"1 Modify"</formula>
    </cfRule>
  </conditionalFormatting>
  <conditionalFormatting sqref="C592">
    <cfRule type="cellIs" dxfId="4327" priority="1772" stopIfTrue="1" operator="equal">
      <formula>"2 Add"</formula>
    </cfRule>
  </conditionalFormatting>
  <conditionalFormatting sqref="C592">
    <cfRule type="cellIs" dxfId="4326" priority="1773" stopIfTrue="1" operator="equal">
      <formula>"3 Delete"</formula>
    </cfRule>
  </conditionalFormatting>
  <conditionalFormatting sqref="C593">
    <cfRule type="cellIs" dxfId="4325" priority="1774" stopIfTrue="1" operator="equal">
      <formula>"1 Modify"</formula>
    </cfRule>
  </conditionalFormatting>
  <conditionalFormatting sqref="C593">
    <cfRule type="cellIs" dxfId="4324" priority="1775" stopIfTrue="1" operator="equal">
      <formula>"2 Add"</formula>
    </cfRule>
  </conditionalFormatting>
  <conditionalFormatting sqref="C593">
    <cfRule type="cellIs" dxfId="4323" priority="1776" stopIfTrue="1" operator="equal">
      <formula>"3 Delete"</formula>
    </cfRule>
  </conditionalFormatting>
  <conditionalFormatting sqref="C594">
    <cfRule type="cellIs" dxfId="4322" priority="1777" stopIfTrue="1" operator="equal">
      <formula>"1 Modify"</formula>
    </cfRule>
  </conditionalFormatting>
  <conditionalFormatting sqref="C594">
    <cfRule type="cellIs" dxfId="4321" priority="1778" stopIfTrue="1" operator="equal">
      <formula>"2 Add"</formula>
    </cfRule>
  </conditionalFormatting>
  <conditionalFormatting sqref="C594">
    <cfRule type="cellIs" dxfId="4320" priority="1779" stopIfTrue="1" operator="equal">
      <formula>"3 Delete"</formula>
    </cfRule>
  </conditionalFormatting>
  <conditionalFormatting sqref="C595">
    <cfRule type="cellIs" dxfId="4319" priority="1780" stopIfTrue="1" operator="equal">
      <formula>"1 Modify"</formula>
    </cfRule>
  </conditionalFormatting>
  <conditionalFormatting sqref="C595">
    <cfRule type="cellIs" dxfId="4318" priority="1781" stopIfTrue="1" operator="equal">
      <formula>"2 Add"</formula>
    </cfRule>
  </conditionalFormatting>
  <conditionalFormatting sqref="C595">
    <cfRule type="cellIs" dxfId="4317" priority="1782" stopIfTrue="1" operator="equal">
      <formula>"3 Delete"</formula>
    </cfRule>
  </conditionalFormatting>
  <conditionalFormatting sqref="C596">
    <cfRule type="cellIs" dxfId="4316" priority="1783" stopIfTrue="1" operator="equal">
      <formula>"1 Modify"</formula>
    </cfRule>
  </conditionalFormatting>
  <conditionalFormatting sqref="C596">
    <cfRule type="cellIs" dxfId="4315" priority="1784" stopIfTrue="1" operator="equal">
      <formula>"2 Add"</formula>
    </cfRule>
  </conditionalFormatting>
  <conditionalFormatting sqref="C596">
    <cfRule type="cellIs" dxfId="4314" priority="1785" stopIfTrue="1" operator="equal">
      <formula>"3 Delete"</formula>
    </cfRule>
  </conditionalFormatting>
  <conditionalFormatting sqref="C597">
    <cfRule type="cellIs" dxfId="4313" priority="1786" stopIfTrue="1" operator="equal">
      <formula>"1 Modify"</formula>
    </cfRule>
  </conditionalFormatting>
  <conditionalFormatting sqref="C597">
    <cfRule type="cellIs" dxfId="4312" priority="1787" stopIfTrue="1" operator="equal">
      <formula>"2 Add"</formula>
    </cfRule>
  </conditionalFormatting>
  <conditionalFormatting sqref="C597">
    <cfRule type="cellIs" dxfId="4311" priority="1788" stopIfTrue="1" operator="equal">
      <formula>"3 Delete"</formula>
    </cfRule>
  </conditionalFormatting>
  <conditionalFormatting sqref="C598">
    <cfRule type="cellIs" dxfId="4310" priority="1789" stopIfTrue="1" operator="equal">
      <formula>"1 Modify"</formula>
    </cfRule>
  </conditionalFormatting>
  <conditionalFormatting sqref="C598">
    <cfRule type="cellIs" dxfId="4309" priority="1790" stopIfTrue="1" operator="equal">
      <formula>"2 Add"</formula>
    </cfRule>
  </conditionalFormatting>
  <conditionalFormatting sqref="C598">
    <cfRule type="cellIs" dxfId="4308" priority="1791" stopIfTrue="1" operator="equal">
      <formula>"3 Delete"</formula>
    </cfRule>
  </conditionalFormatting>
  <conditionalFormatting sqref="C599">
    <cfRule type="cellIs" dxfId="4307" priority="1792" stopIfTrue="1" operator="equal">
      <formula>"1 Modify"</formula>
    </cfRule>
  </conditionalFormatting>
  <conditionalFormatting sqref="C599">
    <cfRule type="cellIs" dxfId="4306" priority="1793" stopIfTrue="1" operator="equal">
      <formula>"2 Add"</formula>
    </cfRule>
  </conditionalFormatting>
  <conditionalFormatting sqref="C599">
    <cfRule type="cellIs" dxfId="4305" priority="1794" stopIfTrue="1" operator="equal">
      <formula>"3 Delete"</formula>
    </cfRule>
  </conditionalFormatting>
  <conditionalFormatting sqref="C600">
    <cfRule type="cellIs" dxfId="4304" priority="1795" stopIfTrue="1" operator="equal">
      <formula>"1 Modify"</formula>
    </cfRule>
  </conditionalFormatting>
  <conditionalFormatting sqref="C600">
    <cfRule type="cellIs" dxfId="4303" priority="1796" stopIfTrue="1" operator="equal">
      <formula>"2 Add"</formula>
    </cfRule>
  </conditionalFormatting>
  <conditionalFormatting sqref="C600">
    <cfRule type="cellIs" dxfId="4302" priority="1797" stopIfTrue="1" operator="equal">
      <formula>"3 Delete"</formula>
    </cfRule>
  </conditionalFormatting>
  <conditionalFormatting sqref="C601">
    <cfRule type="cellIs" dxfId="4301" priority="1798" stopIfTrue="1" operator="equal">
      <formula>"1 Modify"</formula>
    </cfRule>
  </conditionalFormatting>
  <conditionalFormatting sqref="C601">
    <cfRule type="cellIs" dxfId="4300" priority="1799" stopIfTrue="1" operator="equal">
      <formula>"2 Add"</formula>
    </cfRule>
  </conditionalFormatting>
  <conditionalFormatting sqref="C601">
    <cfRule type="cellIs" dxfId="4299" priority="1800" stopIfTrue="1" operator="equal">
      <formula>"3 Delete"</formula>
    </cfRule>
  </conditionalFormatting>
  <conditionalFormatting sqref="C602">
    <cfRule type="cellIs" dxfId="4298" priority="1801" stopIfTrue="1" operator="equal">
      <formula>"1 Modify"</formula>
    </cfRule>
  </conditionalFormatting>
  <conditionalFormatting sqref="C602">
    <cfRule type="cellIs" dxfId="4297" priority="1802" stopIfTrue="1" operator="equal">
      <formula>"2 Add"</formula>
    </cfRule>
  </conditionalFormatting>
  <conditionalFormatting sqref="C602">
    <cfRule type="cellIs" dxfId="4296" priority="1803" stopIfTrue="1" operator="equal">
      <formula>"3 Delete"</formula>
    </cfRule>
  </conditionalFormatting>
  <conditionalFormatting sqref="C603">
    <cfRule type="cellIs" dxfId="4295" priority="1804" stopIfTrue="1" operator="equal">
      <formula>"1 Modify"</formula>
    </cfRule>
  </conditionalFormatting>
  <conditionalFormatting sqref="C603">
    <cfRule type="cellIs" dxfId="4294" priority="1805" stopIfTrue="1" operator="equal">
      <formula>"2 Add"</formula>
    </cfRule>
  </conditionalFormatting>
  <conditionalFormatting sqref="C603">
    <cfRule type="cellIs" dxfId="4293" priority="1806" stopIfTrue="1" operator="equal">
      <formula>"3 Delete"</formula>
    </cfRule>
  </conditionalFormatting>
  <conditionalFormatting sqref="C604">
    <cfRule type="cellIs" dxfId="4292" priority="1807" stopIfTrue="1" operator="equal">
      <formula>"1 Modify"</formula>
    </cfRule>
  </conditionalFormatting>
  <conditionalFormatting sqref="C604">
    <cfRule type="cellIs" dxfId="4291" priority="1808" stopIfTrue="1" operator="equal">
      <formula>"2 Add"</formula>
    </cfRule>
  </conditionalFormatting>
  <conditionalFormatting sqref="C604">
    <cfRule type="cellIs" dxfId="4290" priority="1809" stopIfTrue="1" operator="equal">
      <formula>"3 Delete"</formula>
    </cfRule>
  </conditionalFormatting>
  <conditionalFormatting sqref="C605">
    <cfRule type="cellIs" dxfId="4289" priority="1810" stopIfTrue="1" operator="equal">
      <formula>"1 Modify"</formula>
    </cfRule>
  </conditionalFormatting>
  <conditionalFormatting sqref="C605">
    <cfRule type="cellIs" dxfId="4288" priority="1811" stopIfTrue="1" operator="equal">
      <formula>"2 Add"</formula>
    </cfRule>
  </conditionalFormatting>
  <conditionalFormatting sqref="C605">
    <cfRule type="cellIs" dxfId="4287" priority="1812" stopIfTrue="1" operator="equal">
      <formula>"3 Delete"</formula>
    </cfRule>
  </conditionalFormatting>
  <conditionalFormatting sqref="C606">
    <cfRule type="cellIs" dxfId="4286" priority="1813" stopIfTrue="1" operator="equal">
      <formula>"1 Modify"</formula>
    </cfRule>
  </conditionalFormatting>
  <conditionalFormatting sqref="C606">
    <cfRule type="cellIs" dxfId="4285" priority="1814" stopIfTrue="1" operator="equal">
      <formula>"2 Add"</formula>
    </cfRule>
  </conditionalFormatting>
  <conditionalFormatting sqref="C606">
    <cfRule type="cellIs" dxfId="4284" priority="1815" stopIfTrue="1" operator="equal">
      <formula>"3 Delete"</formula>
    </cfRule>
  </conditionalFormatting>
  <conditionalFormatting sqref="C607">
    <cfRule type="cellIs" dxfId="4283" priority="1816" stopIfTrue="1" operator="equal">
      <formula>"1 Modify"</formula>
    </cfRule>
  </conditionalFormatting>
  <conditionalFormatting sqref="C607">
    <cfRule type="cellIs" dxfId="4282" priority="1817" stopIfTrue="1" operator="equal">
      <formula>"2 Add"</formula>
    </cfRule>
  </conditionalFormatting>
  <conditionalFormatting sqref="C607">
    <cfRule type="cellIs" dxfId="4281" priority="1818" stopIfTrue="1" operator="equal">
      <formula>"3 Delete"</formula>
    </cfRule>
  </conditionalFormatting>
  <conditionalFormatting sqref="C608">
    <cfRule type="cellIs" dxfId="4280" priority="1819" stopIfTrue="1" operator="equal">
      <formula>"1 Modify"</formula>
    </cfRule>
  </conditionalFormatting>
  <conditionalFormatting sqref="C608">
    <cfRule type="cellIs" dxfId="4279" priority="1820" stopIfTrue="1" operator="equal">
      <formula>"2 Add"</formula>
    </cfRule>
  </conditionalFormatting>
  <conditionalFormatting sqref="C608">
    <cfRule type="cellIs" dxfId="4278" priority="1821" stopIfTrue="1" operator="equal">
      <formula>"3 Delete"</formula>
    </cfRule>
  </conditionalFormatting>
  <conditionalFormatting sqref="C609">
    <cfRule type="cellIs" dxfId="4277" priority="1822" stopIfTrue="1" operator="equal">
      <formula>"1 Modify"</formula>
    </cfRule>
  </conditionalFormatting>
  <conditionalFormatting sqref="C609">
    <cfRule type="cellIs" dxfId="4276" priority="1823" stopIfTrue="1" operator="equal">
      <formula>"2 Add"</formula>
    </cfRule>
  </conditionalFormatting>
  <conditionalFormatting sqref="C609">
    <cfRule type="cellIs" dxfId="4275" priority="1824" stopIfTrue="1" operator="equal">
      <formula>"3 Delete"</formula>
    </cfRule>
  </conditionalFormatting>
  <conditionalFormatting sqref="C610">
    <cfRule type="cellIs" dxfId="4274" priority="1825" stopIfTrue="1" operator="equal">
      <formula>"1 Modify"</formula>
    </cfRule>
  </conditionalFormatting>
  <conditionalFormatting sqref="C610">
    <cfRule type="cellIs" dxfId="4273" priority="1826" stopIfTrue="1" operator="equal">
      <formula>"2 Add"</formula>
    </cfRule>
  </conditionalFormatting>
  <conditionalFormatting sqref="C610">
    <cfRule type="cellIs" dxfId="4272" priority="1827" stopIfTrue="1" operator="equal">
      <formula>"3 Delete"</formula>
    </cfRule>
  </conditionalFormatting>
  <conditionalFormatting sqref="C611">
    <cfRule type="cellIs" dxfId="4271" priority="1828" stopIfTrue="1" operator="equal">
      <formula>"1 Modify"</formula>
    </cfRule>
  </conditionalFormatting>
  <conditionalFormatting sqref="C611">
    <cfRule type="cellIs" dxfId="4270" priority="1829" stopIfTrue="1" operator="equal">
      <formula>"2 Add"</formula>
    </cfRule>
  </conditionalFormatting>
  <conditionalFormatting sqref="C611">
    <cfRule type="cellIs" dxfId="4269" priority="1830" stopIfTrue="1" operator="equal">
      <formula>"3 Delete"</formula>
    </cfRule>
  </conditionalFormatting>
  <conditionalFormatting sqref="C612">
    <cfRule type="cellIs" dxfId="4268" priority="1831" stopIfTrue="1" operator="equal">
      <formula>"1 Modify"</formula>
    </cfRule>
  </conditionalFormatting>
  <conditionalFormatting sqref="C612">
    <cfRule type="cellIs" dxfId="4267" priority="1832" stopIfTrue="1" operator="equal">
      <formula>"2 Add"</formula>
    </cfRule>
  </conditionalFormatting>
  <conditionalFormatting sqref="C612">
    <cfRule type="cellIs" dxfId="4266" priority="1833" stopIfTrue="1" operator="equal">
      <formula>"3 Delete"</formula>
    </cfRule>
  </conditionalFormatting>
  <conditionalFormatting sqref="C613">
    <cfRule type="cellIs" dxfId="4265" priority="1834" stopIfTrue="1" operator="equal">
      <formula>"1 Modify"</formula>
    </cfRule>
  </conditionalFormatting>
  <conditionalFormatting sqref="C613">
    <cfRule type="cellIs" dxfId="4264" priority="1835" stopIfTrue="1" operator="equal">
      <formula>"2 Add"</formula>
    </cfRule>
  </conditionalFormatting>
  <conditionalFormatting sqref="C613">
    <cfRule type="cellIs" dxfId="4263" priority="1836" stopIfTrue="1" operator="equal">
      <formula>"3 Delete"</formula>
    </cfRule>
  </conditionalFormatting>
  <conditionalFormatting sqref="C614">
    <cfRule type="cellIs" dxfId="4262" priority="1837" stopIfTrue="1" operator="equal">
      <formula>"1 Modify"</formula>
    </cfRule>
  </conditionalFormatting>
  <conditionalFormatting sqref="C614">
    <cfRule type="cellIs" dxfId="4261" priority="1838" stopIfTrue="1" operator="equal">
      <formula>"2 Add"</formula>
    </cfRule>
  </conditionalFormatting>
  <conditionalFormatting sqref="C614">
    <cfRule type="cellIs" dxfId="4260" priority="1839" stopIfTrue="1" operator="equal">
      <formula>"3 Delete"</formula>
    </cfRule>
  </conditionalFormatting>
  <conditionalFormatting sqref="C615">
    <cfRule type="cellIs" dxfId="4259" priority="1840" stopIfTrue="1" operator="equal">
      <formula>"1 Modify"</formula>
    </cfRule>
  </conditionalFormatting>
  <conditionalFormatting sqref="C615">
    <cfRule type="cellIs" dxfId="4258" priority="1841" stopIfTrue="1" operator="equal">
      <formula>"2 Add"</formula>
    </cfRule>
  </conditionalFormatting>
  <conditionalFormatting sqref="C615">
    <cfRule type="cellIs" dxfId="4257" priority="1842" stopIfTrue="1" operator="equal">
      <formula>"3 Delete"</formula>
    </cfRule>
  </conditionalFormatting>
  <conditionalFormatting sqref="C616">
    <cfRule type="cellIs" dxfId="4256" priority="1843" stopIfTrue="1" operator="equal">
      <formula>"1 Modify"</formula>
    </cfRule>
  </conditionalFormatting>
  <conditionalFormatting sqref="C616">
    <cfRule type="cellIs" dxfId="4255" priority="1844" stopIfTrue="1" operator="equal">
      <formula>"2 Add"</formula>
    </cfRule>
  </conditionalFormatting>
  <conditionalFormatting sqref="C616">
    <cfRule type="cellIs" dxfId="4254" priority="1845" stopIfTrue="1" operator="equal">
      <formula>"3 Delete"</formula>
    </cfRule>
  </conditionalFormatting>
  <conditionalFormatting sqref="C617">
    <cfRule type="cellIs" dxfId="4253" priority="1846" stopIfTrue="1" operator="equal">
      <formula>"1 Modify"</formula>
    </cfRule>
  </conditionalFormatting>
  <conditionalFormatting sqref="C617">
    <cfRule type="cellIs" dxfId="4252" priority="1847" stopIfTrue="1" operator="equal">
      <formula>"2 Add"</formula>
    </cfRule>
  </conditionalFormatting>
  <conditionalFormatting sqref="C617">
    <cfRule type="cellIs" dxfId="4251" priority="1848" stopIfTrue="1" operator="equal">
      <formula>"3 Delete"</formula>
    </cfRule>
  </conditionalFormatting>
  <conditionalFormatting sqref="C618">
    <cfRule type="cellIs" dxfId="4250" priority="1849" stopIfTrue="1" operator="equal">
      <formula>"1 Modify"</formula>
    </cfRule>
  </conditionalFormatting>
  <conditionalFormatting sqref="C618">
    <cfRule type="cellIs" dxfId="4249" priority="1850" stopIfTrue="1" operator="equal">
      <formula>"2 Add"</formula>
    </cfRule>
  </conditionalFormatting>
  <conditionalFormatting sqref="C618">
    <cfRule type="cellIs" dxfId="4248" priority="1851" stopIfTrue="1" operator="equal">
      <formula>"3 Delete"</formula>
    </cfRule>
  </conditionalFormatting>
  <conditionalFormatting sqref="C619">
    <cfRule type="cellIs" dxfId="4247" priority="1852" stopIfTrue="1" operator="equal">
      <formula>"1 Modify"</formula>
    </cfRule>
  </conditionalFormatting>
  <conditionalFormatting sqref="C619">
    <cfRule type="cellIs" dxfId="4246" priority="1853" stopIfTrue="1" operator="equal">
      <formula>"2 Add"</formula>
    </cfRule>
  </conditionalFormatting>
  <conditionalFormatting sqref="C619">
    <cfRule type="cellIs" dxfId="4245" priority="1854" stopIfTrue="1" operator="equal">
      <formula>"3 Delete"</formula>
    </cfRule>
  </conditionalFormatting>
  <conditionalFormatting sqref="C620">
    <cfRule type="cellIs" dxfId="4244" priority="1855" stopIfTrue="1" operator="equal">
      <formula>"1 Modify"</formula>
    </cfRule>
  </conditionalFormatting>
  <conditionalFormatting sqref="C620">
    <cfRule type="cellIs" dxfId="4243" priority="1856" stopIfTrue="1" operator="equal">
      <formula>"2 Add"</formula>
    </cfRule>
  </conditionalFormatting>
  <conditionalFormatting sqref="C620">
    <cfRule type="cellIs" dxfId="4242" priority="1857" stopIfTrue="1" operator="equal">
      <formula>"3 Delete"</formula>
    </cfRule>
  </conditionalFormatting>
  <conditionalFormatting sqref="C621">
    <cfRule type="cellIs" dxfId="4241" priority="1858" stopIfTrue="1" operator="equal">
      <formula>"1 Modify"</formula>
    </cfRule>
  </conditionalFormatting>
  <conditionalFormatting sqref="C621">
    <cfRule type="cellIs" dxfId="4240" priority="1859" stopIfTrue="1" operator="equal">
      <formula>"2 Add"</formula>
    </cfRule>
  </conditionalFormatting>
  <conditionalFormatting sqref="C621">
    <cfRule type="cellIs" dxfId="4239" priority="1860" stopIfTrue="1" operator="equal">
      <formula>"3 Delete"</formula>
    </cfRule>
  </conditionalFormatting>
  <conditionalFormatting sqref="C622">
    <cfRule type="cellIs" dxfId="4238" priority="1861" stopIfTrue="1" operator="equal">
      <formula>"1 Modify"</formula>
    </cfRule>
  </conditionalFormatting>
  <conditionalFormatting sqref="C622">
    <cfRule type="cellIs" dxfId="4237" priority="1862" stopIfTrue="1" operator="equal">
      <formula>"2 Add"</formula>
    </cfRule>
  </conditionalFormatting>
  <conditionalFormatting sqref="C622">
    <cfRule type="cellIs" dxfId="4236" priority="1863" stopIfTrue="1" operator="equal">
      <formula>"3 Delete"</formula>
    </cfRule>
  </conditionalFormatting>
  <conditionalFormatting sqref="C623">
    <cfRule type="cellIs" dxfId="4235" priority="1864" stopIfTrue="1" operator="equal">
      <formula>"1 Modify"</formula>
    </cfRule>
  </conditionalFormatting>
  <conditionalFormatting sqref="C623">
    <cfRule type="cellIs" dxfId="4234" priority="1865" stopIfTrue="1" operator="equal">
      <formula>"2 Add"</formula>
    </cfRule>
  </conditionalFormatting>
  <conditionalFormatting sqref="C623">
    <cfRule type="cellIs" dxfId="4233" priority="1866" stopIfTrue="1" operator="equal">
      <formula>"3 Delete"</formula>
    </cfRule>
  </conditionalFormatting>
  <conditionalFormatting sqref="C624">
    <cfRule type="cellIs" dxfId="4232" priority="1867" stopIfTrue="1" operator="equal">
      <formula>"1 Modify"</formula>
    </cfRule>
  </conditionalFormatting>
  <conditionalFormatting sqref="C624">
    <cfRule type="cellIs" dxfId="4231" priority="1868" stopIfTrue="1" operator="equal">
      <formula>"2 Add"</formula>
    </cfRule>
  </conditionalFormatting>
  <conditionalFormatting sqref="C624">
    <cfRule type="cellIs" dxfId="4230" priority="1869" stopIfTrue="1" operator="equal">
      <formula>"3 Delete"</formula>
    </cfRule>
  </conditionalFormatting>
  <conditionalFormatting sqref="C625">
    <cfRule type="cellIs" dxfId="4229" priority="1870" stopIfTrue="1" operator="equal">
      <formula>"1 Modify"</formula>
    </cfRule>
  </conditionalFormatting>
  <conditionalFormatting sqref="C625">
    <cfRule type="cellIs" dxfId="4228" priority="1871" stopIfTrue="1" operator="equal">
      <formula>"2 Add"</formula>
    </cfRule>
  </conditionalFormatting>
  <conditionalFormatting sqref="C625">
    <cfRule type="cellIs" dxfId="4227" priority="1872" stopIfTrue="1" operator="equal">
      <formula>"3 Delete"</formula>
    </cfRule>
  </conditionalFormatting>
  <conditionalFormatting sqref="C626">
    <cfRule type="cellIs" dxfId="4226" priority="1873" stopIfTrue="1" operator="equal">
      <formula>"1 Modify"</formula>
    </cfRule>
  </conditionalFormatting>
  <conditionalFormatting sqref="C626">
    <cfRule type="cellIs" dxfId="4225" priority="1874" stopIfTrue="1" operator="equal">
      <formula>"2 Add"</formula>
    </cfRule>
  </conditionalFormatting>
  <conditionalFormatting sqref="C626">
    <cfRule type="cellIs" dxfId="4224" priority="1875" stopIfTrue="1" operator="equal">
      <formula>"3 Delete"</formula>
    </cfRule>
  </conditionalFormatting>
  <conditionalFormatting sqref="C627">
    <cfRule type="cellIs" dxfId="4223" priority="1876" stopIfTrue="1" operator="equal">
      <formula>"1 Modify"</formula>
    </cfRule>
  </conditionalFormatting>
  <conditionalFormatting sqref="C627">
    <cfRule type="cellIs" dxfId="4222" priority="1877" stopIfTrue="1" operator="equal">
      <formula>"2 Add"</formula>
    </cfRule>
  </conditionalFormatting>
  <conditionalFormatting sqref="C627">
    <cfRule type="cellIs" dxfId="4221" priority="1878" stopIfTrue="1" operator="equal">
      <formula>"3 Delete"</formula>
    </cfRule>
  </conditionalFormatting>
  <conditionalFormatting sqref="C628">
    <cfRule type="cellIs" dxfId="4220" priority="1879" stopIfTrue="1" operator="equal">
      <formula>"1 Modify"</formula>
    </cfRule>
  </conditionalFormatting>
  <conditionalFormatting sqref="C628">
    <cfRule type="cellIs" dxfId="4219" priority="1880" stopIfTrue="1" operator="equal">
      <formula>"2 Add"</formula>
    </cfRule>
  </conditionalFormatting>
  <conditionalFormatting sqref="C628">
    <cfRule type="cellIs" dxfId="4218" priority="1881" stopIfTrue="1" operator="equal">
      <formula>"3 Delete"</formula>
    </cfRule>
  </conditionalFormatting>
  <conditionalFormatting sqref="C629">
    <cfRule type="cellIs" dxfId="4217" priority="1882" stopIfTrue="1" operator="equal">
      <formula>"1 Modify"</formula>
    </cfRule>
  </conditionalFormatting>
  <conditionalFormatting sqref="C629">
    <cfRule type="cellIs" dxfId="4216" priority="1883" stopIfTrue="1" operator="equal">
      <formula>"2 Add"</formula>
    </cfRule>
  </conditionalFormatting>
  <conditionalFormatting sqref="C629">
    <cfRule type="cellIs" dxfId="4215" priority="1884" stopIfTrue="1" operator="equal">
      <formula>"3 Delete"</formula>
    </cfRule>
  </conditionalFormatting>
  <conditionalFormatting sqref="C630">
    <cfRule type="cellIs" dxfId="4214" priority="1885" stopIfTrue="1" operator="equal">
      <formula>"1 Modify"</formula>
    </cfRule>
  </conditionalFormatting>
  <conditionalFormatting sqref="C630">
    <cfRule type="cellIs" dxfId="4213" priority="1886" stopIfTrue="1" operator="equal">
      <formula>"2 Add"</formula>
    </cfRule>
  </conditionalFormatting>
  <conditionalFormatting sqref="C630">
    <cfRule type="cellIs" dxfId="4212" priority="1887" stopIfTrue="1" operator="equal">
      <formula>"3 Delete"</formula>
    </cfRule>
  </conditionalFormatting>
  <conditionalFormatting sqref="C631">
    <cfRule type="cellIs" dxfId="4211" priority="1888" stopIfTrue="1" operator="equal">
      <formula>"1 Modify"</formula>
    </cfRule>
  </conditionalFormatting>
  <conditionalFormatting sqref="C631">
    <cfRule type="cellIs" dxfId="4210" priority="1889" stopIfTrue="1" operator="equal">
      <formula>"2 Add"</formula>
    </cfRule>
  </conditionalFormatting>
  <conditionalFormatting sqref="C631">
    <cfRule type="cellIs" dxfId="4209" priority="1890" stopIfTrue="1" operator="equal">
      <formula>"3 Delete"</formula>
    </cfRule>
  </conditionalFormatting>
  <conditionalFormatting sqref="C632">
    <cfRule type="cellIs" dxfId="4208" priority="1891" stopIfTrue="1" operator="equal">
      <formula>"1 Modify"</formula>
    </cfRule>
  </conditionalFormatting>
  <conditionalFormatting sqref="C632">
    <cfRule type="cellIs" dxfId="4207" priority="1892" stopIfTrue="1" operator="equal">
      <formula>"2 Add"</formula>
    </cfRule>
  </conditionalFormatting>
  <conditionalFormatting sqref="C632">
    <cfRule type="cellIs" dxfId="4206" priority="1893" stopIfTrue="1" operator="equal">
      <formula>"3 Delete"</formula>
    </cfRule>
  </conditionalFormatting>
  <conditionalFormatting sqref="C633">
    <cfRule type="cellIs" dxfId="4205" priority="1894" stopIfTrue="1" operator="equal">
      <formula>"1 Modify"</formula>
    </cfRule>
  </conditionalFormatting>
  <conditionalFormatting sqref="C633">
    <cfRule type="cellIs" dxfId="4204" priority="1895" stopIfTrue="1" operator="equal">
      <formula>"2 Add"</formula>
    </cfRule>
  </conditionalFormatting>
  <conditionalFormatting sqref="C633">
    <cfRule type="cellIs" dxfId="4203" priority="1896" stopIfTrue="1" operator="equal">
      <formula>"3 Delete"</formula>
    </cfRule>
  </conditionalFormatting>
  <conditionalFormatting sqref="C634">
    <cfRule type="cellIs" dxfId="4202" priority="1897" stopIfTrue="1" operator="equal">
      <formula>"1 Modify"</formula>
    </cfRule>
  </conditionalFormatting>
  <conditionalFormatting sqref="C634">
    <cfRule type="cellIs" dxfId="4201" priority="1898" stopIfTrue="1" operator="equal">
      <formula>"2 Add"</formula>
    </cfRule>
  </conditionalFormatting>
  <conditionalFormatting sqref="C634">
    <cfRule type="cellIs" dxfId="4200" priority="1899" stopIfTrue="1" operator="equal">
      <formula>"3 Delete"</formula>
    </cfRule>
  </conditionalFormatting>
  <conditionalFormatting sqref="C635">
    <cfRule type="cellIs" dxfId="4199" priority="1900" stopIfTrue="1" operator="equal">
      <formula>"1 Modify"</formula>
    </cfRule>
  </conditionalFormatting>
  <conditionalFormatting sqref="C635">
    <cfRule type="cellIs" dxfId="4198" priority="1901" stopIfTrue="1" operator="equal">
      <formula>"2 Add"</formula>
    </cfRule>
  </conditionalFormatting>
  <conditionalFormatting sqref="C635">
    <cfRule type="cellIs" dxfId="4197" priority="1902" stopIfTrue="1" operator="equal">
      <formula>"3 Delete"</formula>
    </cfRule>
  </conditionalFormatting>
  <conditionalFormatting sqref="C636">
    <cfRule type="cellIs" dxfId="4196" priority="1903" stopIfTrue="1" operator="equal">
      <formula>"1 Modify"</formula>
    </cfRule>
  </conditionalFormatting>
  <conditionalFormatting sqref="C636">
    <cfRule type="cellIs" dxfId="4195" priority="1904" stopIfTrue="1" operator="equal">
      <formula>"2 Add"</formula>
    </cfRule>
  </conditionalFormatting>
  <conditionalFormatting sqref="C636">
    <cfRule type="cellIs" dxfId="4194" priority="1905" stopIfTrue="1" operator="equal">
      <formula>"3 Delete"</formula>
    </cfRule>
  </conditionalFormatting>
  <conditionalFormatting sqref="C637">
    <cfRule type="cellIs" dxfId="4193" priority="1906" stopIfTrue="1" operator="equal">
      <formula>"1 Modify"</formula>
    </cfRule>
  </conditionalFormatting>
  <conditionalFormatting sqref="C637">
    <cfRule type="cellIs" dxfId="4192" priority="1907" stopIfTrue="1" operator="equal">
      <formula>"2 Add"</formula>
    </cfRule>
  </conditionalFormatting>
  <conditionalFormatting sqref="C637">
    <cfRule type="cellIs" dxfId="4191" priority="1908" stopIfTrue="1" operator="equal">
      <formula>"3 Delete"</formula>
    </cfRule>
  </conditionalFormatting>
  <conditionalFormatting sqref="C638">
    <cfRule type="cellIs" dxfId="4190" priority="1909" stopIfTrue="1" operator="equal">
      <formula>"1 Modify"</formula>
    </cfRule>
  </conditionalFormatting>
  <conditionalFormatting sqref="C638">
    <cfRule type="cellIs" dxfId="4189" priority="1910" stopIfTrue="1" operator="equal">
      <formula>"2 Add"</formula>
    </cfRule>
  </conditionalFormatting>
  <conditionalFormatting sqref="C638">
    <cfRule type="cellIs" dxfId="4188" priority="1911" stopIfTrue="1" operator="equal">
      <formula>"3 Delete"</formula>
    </cfRule>
  </conditionalFormatting>
  <conditionalFormatting sqref="C639">
    <cfRule type="cellIs" dxfId="4187" priority="1912" stopIfTrue="1" operator="equal">
      <formula>"1 Modify"</formula>
    </cfRule>
  </conditionalFormatting>
  <conditionalFormatting sqref="C639">
    <cfRule type="cellIs" dxfId="4186" priority="1913" stopIfTrue="1" operator="equal">
      <formula>"2 Add"</formula>
    </cfRule>
  </conditionalFormatting>
  <conditionalFormatting sqref="C639">
    <cfRule type="cellIs" dxfId="4185" priority="1914" stopIfTrue="1" operator="equal">
      <formula>"3 Delete"</formula>
    </cfRule>
  </conditionalFormatting>
  <conditionalFormatting sqref="C640">
    <cfRule type="cellIs" dxfId="4184" priority="1915" stopIfTrue="1" operator="equal">
      <formula>"1 Modify"</formula>
    </cfRule>
  </conditionalFormatting>
  <conditionalFormatting sqref="C640">
    <cfRule type="cellIs" dxfId="4183" priority="1916" stopIfTrue="1" operator="equal">
      <formula>"2 Add"</formula>
    </cfRule>
  </conditionalFormatting>
  <conditionalFormatting sqref="C640">
    <cfRule type="cellIs" dxfId="4182" priority="1917" stopIfTrue="1" operator="equal">
      <formula>"3 Delete"</formula>
    </cfRule>
  </conditionalFormatting>
  <conditionalFormatting sqref="C641">
    <cfRule type="cellIs" dxfId="4181" priority="1918" stopIfTrue="1" operator="equal">
      <formula>"1 Modify"</formula>
    </cfRule>
  </conditionalFormatting>
  <conditionalFormatting sqref="C641">
    <cfRule type="cellIs" dxfId="4180" priority="1919" stopIfTrue="1" operator="equal">
      <formula>"2 Add"</formula>
    </cfRule>
  </conditionalFormatting>
  <conditionalFormatting sqref="C641">
    <cfRule type="cellIs" dxfId="4179" priority="1920" stopIfTrue="1" operator="equal">
      <formula>"3 Delete"</formula>
    </cfRule>
  </conditionalFormatting>
  <conditionalFormatting sqref="C642">
    <cfRule type="cellIs" dxfId="4178" priority="1921" stopIfTrue="1" operator="equal">
      <formula>"1 Modify"</formula>
    </cfRule>
  </conditionalFormatting>
  <conditionalFormatting sqref="C642">
    <cfRule type="cellIs" dxfId="4177" priority="1922" stopIfTrue="1" operator="equal">
      <formula>"2 Add"</formula>
    </cfRule>
  </conditionalFormatting>
  <conditionalFormatting sqref="C642">
    <cfRule type="cellIs" dxfId="4176" priority="1923" stopIfTrue="1" operator="equal">
      <formula>"3 Delete"</formula>
    </cfRule>
  </conditionalFormatting>
  <conditionalFormatting sqref="C643">
    <cfRule type="cellIs" dxfId="4175" priority="1924" stopIfTrue="1" operator="equal">
      <formula>"1 Modify"</formula>
    </cfRule>
  </conditionalFormatting>
  <conditionalFormatting sqref="C643">
    <cfRule type="cellIs" dxfId="4174" priority="1925" stopIfTrue="1" operator="equal">
      <formula>"2 Add"</formula>
    </cfRule>
  </conditionalFormatting>
  <conditionalFormatting sqref="C643">
    <cfRule type="cellIs" dxfId="4173" priority="1926" stopIfTrue="1" operator="equal">
      <formula>"3 Delete"</formula>
    </cfRule>
  </conditionalFormatting>
  <conditionalFormatting sqref="C644">
    <cfRule type="cellIs" dxfId="4172" priority="1927" stopIfTrue="1" operator="equal">
      <formula>"1 Modify"</formula>
    </cfRule>
  </conditionalFormatting>
  <conditionalFormatting sqref="C644">
    <cfRule type="cellIs" dxfId="4171" priority="1928" stopIfTrue="1" operator="equal">
      <formula>"2 Add"</formula>
    </cfRule>
  </conditionalFormatting>
  <conditionalFormatting sqref="C644">
    <cfRule type="cellIs" dxfId="4170" priority="1929" stopIfTrue="1" operator="equal">
      <formula>"3 Delete"</formula>
    </cfRule>
  </conditionalFormatting>
  <conditionalFormatting sqref="C645">
    <cfRule type="cellIs" dxfId="4169" priority="1930" stopIfTrue="1" operator="equal">
      <formula>"1 Modify"</formula>
    </cfRule>
  </conditionalFormatting>
  <conditionalFormatting sqref="C645">
    <cfRule type="cellIs" dxfId="4168" priority="1931" stopIfTrue="1" operator="equal">
      <formula>"2 Add"</formula>
    </cfRule>
  </conditionalFormatting>
  <conditionalFormatting sqref="C645">
    <cfRule type="cellIs" dxfId="4167" priority="1932" stopIfTrue="1" operator="equal">
      <formula>"3 Delete"</formula>
    </cfRule>
  </conditionalFormatting>
  <conditionalFormatting sqref="C646">
    <cfRule type="cellIs" dxfId="4166" priority="1933" stopIfTrue="1" operator="equal">
      <formula>"1 Modify"</formula>
    </cfRule>
  </conditionalFormatting>
  <conditionalFormatting sqref="C646">
    <cfRule type="cellIs" dxfId="4165" priority="1934" stopIfTrue="1" operator="equal">
      <formula>"2 Add"</formula>
    </cfRule>
  </conditionalFormatting>
  <conditionalFormatting sqref="C646">
    <cfRule type="cellIs" dxfId="4164" priority="1935" stopIfTrue="1" operator="equal">
      <formula>"3 Delete"</formula>
    </cfRule>
  </conditionalFormatting>
  <conditionalFormatting sqref="C647">
    <cfRule type="cellIs" dxfId="4163" priority="1936" stopIfTrue="1" operator="equal">
      <formula>"1 Modify"</formula>
    </cfRule>
  </conditionalFormatting>
  <conditionalFormatting sqref="C647">
    <cfRule type="cellIs" dxfId="4162" priority="1937" stopIfTrue="1" operator="equal">
      <formula>"2 Add"</formula>
    </cfRule>
  </conditionalFormatting>
  <conditionalFormatting sqref="C647">
    <cfRule type="cellIs" dxfId="4161" priority="1938" stopIfTrue="1" operator="equal">
      <formula>"3 Delete"</formula>
    </cfRule>
  </conditionalFormatting>
  <conditionalFormatting sqref="C648">
    <cfRule type="cellIs" dxfId="4160" priority="1939" stopIfTrue="1" operator="equal">
      <formula>"1 Modify"</formula>
    </cfRule>
  </conditionalFormatting>
  <conditionalFormatting sqref="C648">
    <cfRule type="cellIs" dxfId="4159" priority="1940" stopIfTrue="1" operator="equal">
      <formula>"2 Add"</formula>
    </cfRule>
  </conditionalFormatting>
  <conditionalFormatting sqref="C648">
    <cfRule type="cellIs" dxfId="4158" priority="1941" stopIfTrue="1" operator="equal">
      <formula>"3 Delete"</formula>
    </cfRule>
  </conditionalFormatting>
  <conditionalFormatting sqref="C649">
    <cfRule type="cellIs" dxfId="4157" priority="1942" stopIfTrue="1" operator="equal">
      <formula>"1 Modify"</formula>
    </cfRule>
  </conditionalFormatting>
  <conditionalFormatting sqref="C649">
    <cfRule type="cellIs" dxfId="4156" priority="1943" stopIfTrue="1" operator="equal">
      <formula>"2 Add"</formula>
    </cfRule>
  </conditionalFormatting>
  <conditionalFormatting sqref="C649">
    <cfRule type="cellIs" dxfId="4155" priority="1944" stopIfTrue="1" operator="equal">
      <formula>"3 Delete"</formula>
    </cfRule>
  </conditionalFormatting>
  <conditionalFormatting sqref="C650">
    <cfRule type="cellIs" dxfId="4154" priority="1945" stopIfTrue="1" operator="equal">
      <formula>"1 Modify"</formula>
    </cfRule>
  </conditionalFormatting>
  <conditionalFormatting sqref="C650">
    <cfRule type="cellIs" dxfId="4153" priority="1946" stopIfTrue="1" operator="equal">
      <formula>"2 Add"</formula>
    </cfRule>
  </conditionalFormatting>
  <conditionalFormatting sqref="C650">
    <cfRule type="cellIs" dxfId="4152" priority="1947" stopIfTrue="1" operator="equal">
      <formula>"3 Delete"</formula>
    </cfRule>
  </conditionalFormatting>
  <conditionalFormatting sqref="C651">
    <cfRule type="cellIs" dxfId="4151" priority="1948" stopIfTrue="1" operator="equal">
      <formula>"1 Modify"</formula>
    </cfRule>
  </conditionalFormatting>
  <conditionalFormatting sqref="C651">
    <cfRule type="cellIs" dxfId="4150" priority="1949" stopIfTrue="1" operator="equal">
      <formula>"2 Add"</formula>
    </cfRule>
  </conditionalFormatting>
  <conditionalFormatting sqref="C651">
    <cfRule type="cellIs" dxfId="4149" priority="1950" stopIfTrue="1" operator="equal">
      <formula>"3 Delete"</formula>
    </cfRule>
  </conditionalFormatting>
  <conditionalFormatting sqref="C652">
    <cfRule type="cellIs" dxfId="4148" priority="1951" stopIfTrue="1" operator="equal">
      <formula>"1 Modify"</formula>
    </cfRule>
  </conditionalFormatting>
  <conditionalFormatting sqref="C652">
    <cfRule type="cellIs" dxfId="4147" priority="1952" stopIfTrue="1" operator="equal">
      <formula>"2 Add"</formula>
    </cfRule>
  </conditionalFormatting>
  <conditionalFormatting sqref="C652">
    <cfRule type="cellIs" dxfId="4146" priority="1953" stopIfTrue="1" operator="equal">
      <formula>"3 Delete"</formula>
    </cfRule>
  </conditionalFormatting>
  <conditionalFormatting sqref="C653">
    <cfRule type="cellIs" dxfId="4145" priority="1954" stopIfTrue="1" operator="equal">
      <formula>"1 Modify"</formula>
    </cfRule>
  </conditionalFormatting>
  <conditionalFormatting sqref="C653">
    <cfRule type="cellIs" dxfId="4144" priority="1955" stopIfTrue="1" operator="equal">
      <formula>"2 Add"</formula>
    </cfRule>
  </conditionalFormatting>
  <conditionalFormatting sqref="C653">
    <cfRule type="cellIs" dxfId="4143" priority="1956" stopIfTrue="1" operator="equal">
      <formula>"3 Delete"</formula>
    </cfRule>
  </conditionalFormatting>
  <conditionalFormatting sqref="C654">
    <cfRule type="cellIs" dxfId="4142" priority="1957" stopIfTrue="1" operator="equal">
      <formula>"1 Modify"</formula>
    </cfRule>
  </conditionalFormatting>
  <conditionalFormatting sqref="C654">
    <cfRule type="cellIs" dxfId="4141" priority="1958" stopIfTrue="1" operator="equal">
      <formula>"2 Add"</formula>
    </cfRule>
  </conditionalFormatting>
  <conditionalFormatting sqref="C654">
    <cfRule type="cellIs" dxfId="4140" priority="1959" stopIfTrue="1" operator="equal">
      <formula>"3 Delete"</formula>
    </cfRule>
  </conditionalFormatting>
  <conditionalFormatting sqref="C655">
    <cfRule type="cellIs" dxfId="4139" priority="1960" stopIfTrue="1" operator="equal">
      <formula>"1 Modify"</formula>
    </cfRule>
  </conditionalFormatting>
  <conditionalFormatting sqref="C655">
    <cfRule type="cellIs" dxfId="4138" priority="1961" stopIfTrue="1" operator="equal">
      <formula>"2 Add"</formula>
    </cfRule>
  </conditionalFormatting>
  <conditionalFormatting sqref="C655">
    <cfRule type="cellIs" dxfId="4137" priority="1962" stopIfTrue="1" operator="equal">
      <formula>"3 Delete"</formula>
    </cfRule>
  </conditionalFormatting>
  <conditionalFormatting sqref="C656">
    <cfRule type="cellIs" dxfId="4136" priority="1963" stopIfTrue="1" operator="equal">
      <formula>"1 Modify"</formula>
    </cfRule>
  </conditionalFormatting>
  <conditionalFormatting sqref="C656">
    <cfRule type="cellIs" dxfId="4135" priority="1964" stopIfTrue="1" operator="equal">
      <formula>"2 Add"</formula>
    </cfRule>
  </conditionalFormatting>
  <conditionalFormatting sqref="C656">
    <cfRule type="cellIs" dxfId="4134" priority="1965" stopIfTrue="1" operator="equal">
      <formula>"3 Delete"</formula>
    </cfRule>
  </conditionalFormatting>
  <conditionalFormatting sqref="C657">
    <cfRule type="cellIs" dxfId="4133" priority="1966" stopIfTrue="1" operator="equal">
      <formula>"1 Modify"</formula>
    </cfRule>
  </conditionalFormatting>
  <conditionalFormatting sqref="C657">
    <cfRule type="cellIs" dxfId="4132" priority="1967" stopIfTrue="1" operator="equal">
      <formula>"2 Add"</formula>
    </cfRule>
  </conditionalFormatting>
  <conditionalFormatting sqref="C657">
    <cfRule type="cellIs" dxfId="4131" priority="1968" stopIfTrue="1" operator="equal">
      <formula>"3 Delete"</formula>
    </cfRule>
  </conditionalFormatting>
  <conditionalFormatting sqref="C658">
    <cfRule type="cellIs" dxfId="4130" priority="1969" stopIfTrue="1" operator="equal">
      <formula>"1 Modify"</formula>
    </cfRule>
  </conditionalFormatting>
  <conditionalFormatting sqref="C658">
    <cfRule type="cellIs" dxfId="4129" priority="1970" stopIfTrue="1" operator="equal">
      <formula>"2 Add"</formula>
    </cfRule>
  </conditionalFormatting>
  <conditionalFormatting sqref="C658">
    <cfRule type="cellIs" dxfId="4128" priority="1971" stopIfTrue="1" operator="equal">
      <formula>"3 Delete"</formula>
    </cfRule>
  </conditionalFormatting>
  <conditionalFormatting sqref="C659">
    <cfRule type="cellIs" dxfId="4127" priority="1972" stopIfTrue="1" operator="equal">
      <formula>"1 Modify"</formula>
    </cfRule>
  </conditionalFormatting>
  <conditionalFormatting sqref="C659">
    <cfRule type="cellIs" dxfId="4126" priority="1973" stopIfTrue="1" operator="equal">
      <formula>"2 Add"</formula>
    </cfRule>
  </conditionalFormatting>
  <conditionalFormatting sqref="C659">
    <cfRule type="cellIs" dxfId="4125" priority="1974" stopIfTrue="1" operator="equal">
      <formula>"3 Delete"</formula>
    </cfRule>
  </conditionalFormatting>
  <conditionalFormatting sqref="C660">
    <cfRule type="cellIs" dxfId="4124" priority="1975" stopIfTrue="1" operator="equal">
      <formula>"1 Modify"</formula>
    </cfRule>
  </conditionalFormatting>
  <conditionalFormatting sqref="C660">
    <cfRule type="cellIs" dxfId="4123" priority="1976" stopIfTrue="1" operator="equal">
      <formula>"2 Add"</formula>
    </cfRule>
  </conditionalFormatting>
  <conditionalFormatting sqref="C660">
    <cfRule type="cellIs" dxfId="4122" priority="1977" stopIfTrue="1" operator="equal">
      <formula>"3 Delete"</formula>
    </cfRule>
  </conditionalFormatting>
  <conditionalFormatting sqref="C661">
    <cfRule type="cellIs" dxfId="4121" priority="1978" stopIfTrue="1" operator="equal">
      <formula>"1 Modify"</formula>
    </cfRule>
  </conditionalFormatting>
  <conditionalFormatting sqref="C661">
    <cfRule type="cellIs" dxfId="4120" priority="1979" stopIfTrue="1" operator="equal">
      <formula>"2 Add"</formula>
    </cfRule>
  </conditionalFormatting>
  <conditionalFormatting sqref="C661">
    <cfRule type="cellIs" dxfId="4119" priority="1980" stopIfTrue="1" operator="equal">
      <formula>"3 Delete"</formula>
    </cfRule>
  </conditionalFormatting>
  <conditionalFormatting sqref="C662">
    <cfRule type="cellIs" dxfId="4118" priority="1981" stopIfTrue="1" operator="equal">
      <formula>"1 Modify"</formula>
    </cfRule>
  </conditionalFormatting>
  <conditionalFormatting sqref="C662">
    <cfRule type="cellIs" dxfId="4117" priority="1982" stopIfTrue="1" operator="equal">
      <formula>"2 Add"</formula>
    </cfRule>
  </conditionalFormatting>
  <conditionalFormatting sqref="C662">
    <cfRule type="cellIs" dxfId="4116" priority="1983" stopIfTrue="1" operator="equal">
      <formula>"3 Delete"</formula>
    </cfRule>
  </conditionalFormatting>
  <conditionalFormatting sqref="C663">
    <cfRule type="cellIs" dxfId="4115" priority="1984" stopIfTrue="1" operator="equal">
      <formula>"1 Modify"</formula>
    </cfRule>
  </conditionalFormatting>
  <conditionalFormatting sqref="C663">
    <cfRule type="cellIs" dxfId="4114" priority="1985" stopIfTrue="1" operator="equal">
      <formula>"2 Add"</formula>
    </cfRule>
  </conditionalFormatting>
  <conditionalFormatting sqref="C663">
    <cfRule type="cellIs" dxfId="4113" priority="1986" stopIfTrue="1" operator="equal">
      <formula>"3 Delete"</formula>
    </cfRule>
  </conditionalFormatting>
  <conditionalFormatting sqref="C664">
    <cfRule type="cellIs" dxfId="4112" priority="1987" stopIfTrue="1" operator="equal">
      <formula>"1 Modify"</formula>
    </cfRule>
  </conditionalFormatting>
  <conditionalFormatting sqref="C664">
    <cfRule type="cellIs" dxfId="4111" priority="1988" stopIfTrue="1" operator="equal">
      <formula>"2 Add"</formula>
    </cfRule>
  </conditionalFormatting>
  <conditionalFormatting sqref="C664">
    <cfRule type="cellIs" dxfId="4110" priority="1989" stopIfTrue="1" operator="equal">
      <formula>"3 Delete"</formula>
    </cfRule>
  </conditionalFormatting>
  <conditionalFormatting sqref="C665">
    <cfRule type="cellIs" dxfId="4109" priority="1990" stopIfTrue="1" operator="equal">
      <formula>"1 Modify"</formula>
    </cfRule>
  </conditionalFormatting>
  <conditionalFormatting sqref="C665">
    <cfRule type="cellIs" dxfId="4108" priority="1991" stopIfTrue="1" operator="equal">
      <formula>"2 Add"</formula>
    </cfRule>
  </conditionalFormatting>
  <conditionalFormatting sqref="C665">
    <cfRule type="cellIs" dxfId="4107" priority="1992" stopIfTrue="1" operator="equal">
      <formula>"3 Delete"</formula>
    </cfRule>
  </conditionalFormatting>
  <conditionalFormatting sqref="C666">
    <cfRule type="cellIs" dxfId="4106" priority="1993" stopIfTrue="1" operator="equal">
      <formula>"1 Modify"</formula>
    </cfRule>
  </conditionalFormatting>
  <conditionalFormatting sqref="C666">
    <cfRule type="cellIs" dxfId="4105" priority="1994" stopIfTrue="1" operator="equal">
      <formula>"2 Add"</formula>
    </cfRule>
  </conditionalFormatting>
  <conditionalFormatting sqref="C666">
    <cfRule type="cellIs" dxfId="4104" priority="1995" stopIfTrue="1" operator="equal">
      <formula>"3 Delete"</formula>
    </cfRule>
  </conditionalFormatting>
  <conditionalFormatting sqref="C667">
    <cfRule type="cellIs" dxfId="4103" priority="1996" stopIfTrue="1" operator="equal">
      <formula>"1 Modify"</formula>
    </cfRule>
  </conditionalFormatting>
  <conditionalFormatting sqref="C667">
    <cfRule type="cellIs" dxfId="4102" priority="1997" stopIfTrue="1" operator="equal">
      <formula>"2 Add"</formula>
    </cfRule>
  </conditionalFormatting>
  <conditionalFormatting sqref="C667">
    <cfRule type="cellIs" dxfId="4101" priority="1998" stopIfTrue="1" operator="equal">
      <formula>"3 Delete"</formula>
    </cfRule>
  </conditionalFormatting>
  <conditionalFormatting sqref="C668">
    <cfRule type="cellIs" dxfId="4100" priority="1999" stopIfTrue="1" operator="equal">
      <formula>"1 Modify"</formula>
    </cfRule>
  </conditionalFormatting>
  <conditionalFormatting sqref="C668">
    <cfRule type="cellIs" dxfId="4099" priority="2000" stopIfTrue="1" operator="equal">
      <formula>"2 Add"</formula>
    </cfRule>
  </conditionalFormatting>
  <conditionalFormatting sqref="C668">
    <cfRule type="cellIs" dxfId="4098" priority="2001" stopIfTrue="1" operator="equal">
      <formula>"3 Delete"</formula>
    </cfRule>
  </conditionalFormatting>
  <conditionalFormatting sqref="C669">
    <cfRule type="cellIs" dxfId="4097" priority="2002" stopIfTrue="1" operator="equal">
      <formula>"1 Modify"</formula>
    </cfRule>
  </conditionalFormatting>
  <conditionalFormatting sqref="C669">
    <cfRule type="cellIs" dxfId="4096" priority="2003" stopIfTrue="1" operator="equal">
      <formula>"2 Add"</formula>
    </cfRule>
  </conditionalFormatting>
  <conditionalFormatting sqref="C669">
    <cfRule type="cellIs" dxfId="4095" priority="2004" stopIfTrue="1" operator="equal">
      <formula>"3 Delete"</formula>
    </cfRule>
  </conditionalFormatting>
  <conditionalFormatting sqref="C670">
    <cfRule type="cellIs" dxfId="4094" priority="2005" stopIfTrue="1" operator="equal">
      <formula>"1 Modify"</formula>
    </cfRule>
  </conditionalFormatting>
  <conditionalFormatting sqref="C670">
    <cfRule type="cellIs" dxfId="4093" priority="2006" stopIfTrue="1" operator="equal">
      <formula>"2 Add"</formula>
    </cfRule>
  </conditionalFormatting>
  <conditionalFormatting sqref="C670">
    <cfRule type="cellIs" dxfId="4092" priority="2007" stopIfTrue="1" operator="equal">
      <formula>"3 Delete"</formula>
    </cfRule>
  </conditionalFormatting>
  <conditionalFormatting sqref="C671">
    <cfRule type="cellIs" dxfId="4091" priority="2008" stopIfTrue="1" operator="equal">
      <formula>"1 Modify"</formula>
    </cfRule>
  </conditionalFormatting>
  <conditionalFormatting sqref="C671">
    <cfRule type="cellIs" dxfId="4090" priority="2009" stopIfTrue="1" operator="equal">
      <formula>"2 Add"</formula>
    </cfRule>
  </conditionalFormatting>
  <conditionalFormatting sqref="C671">
    <cfRule type="cellIs" dxfId="4089" priority="2010" stopIfTrue="1" operator="equal">
      <formula>"3 Delete"</formula>
    </cfRule>
  </conditionalFormatting>
  <conditionalFormatting sqref="C672">
    <cfRule type="cellIs" dxfId="4088" priority="2011" stopIfTrue="1" operator="equal">
      <formula>"1 Modify"</formula>
    </cfRule>
  </conditionalFormatting>
  <conditionalFormatting sqref="C672">
    <cfRule type="cellIs" dxfId="4087" priority="2012" stopIfTrue="1" operator="equal">
      <formula>"2 Add"</formula>
    </cfRule>
  </conditionalFormatting>
  <conditionalFormatting sqref="C672">
    <cfRule type="cellIs" dxfId="4086" priority="2013" stopIfTrue="1" operator="equal">
      <formula>"3 Delete"</formula>
    </cfRule>
  </conditionalFormatting>
  <conditionalFormatting sqref="C673">
    <cfRule type="cellIs" dxfId="4085" priority="2014" stopIfTrue="1" operator="equal">
      <formula>"1 Modify"</formula>
    </cfRule>
  </conditionalFormatting>
  <conditionalFormatting sqref="C673">
    <cfRule type="cellIs" dxfId="4084" priority="2015" stopIfTrue="1" operator="equal">
      <formula>"2 Add"</formula>
    </cfRule>
  </conditionalFormatting>
  <conditionalFormatting sqref="C673">
    <cfRule type="cellIs" dxfId="4083" priority="2016" stopIfTrue="1" operator="equal">
      <formula>"3 Delete"</formula>
    </cfRule>
  </conditionalFormatting>
  <conditionalFormatting sqref="C674">
    <cfRule type="cellIs" dxfId="4082" priority="2017" stopIfTrue="1" operator="equal">
      <formula>"1 Modify"</formula>
    </cfRule>
  </conditionalFormatting>
  <conditionalFormatting sqref="C674">
    <cfRule type="cellIs" dxfId="4081" priority="2018" stopIfTrue="1" operator="equal">
      <formula>"2 Add"</formula>
    </cfRule>
  </conditionalFormatting>
  <conditionalFormatting sqref="C674">
    <cfRule type="cellIs" dxfId="4080" priority="2019" stopIfTrue="1" operator="equal">
      <formula>"3 Delete"</formula>
    </cfRule>
  </conditionalFormatting>
  <conditionalFormatting sqref="C675">
    <cfRule type="cellIs" dxfId="4079" priority="2020" stopIfTrue="1" operator="equal">
      <formula>"1 Modify"</formula>
    </cfRule>
  </conditionalFormatting>
  <conditionalFormatting sqref="C675">
    <cfRule type="cellIs" dxfId="4078" priority="2021" stopIfTrue="1" operator="equal">
      <formula>"2 Add"</formula>
    </cfRule>
  </conditionalFormatting>
  <conditionalFormatting sqref="C675">
    <cfRule type="cellIs" dxfId="4077" priority="2022" stopIfTrue="1" operator="equal">
      <formula>"3 Delete"</formula>
    </cfRule>
  </conditionalFormatting>
  <conditionalFormatting sqref="C676">
    <cfRule type="cellIs" dxfId="4076" priority="2023" stopIfTrue="1" operator="equal">
      <formula>"1 Modify"</formula>
    </cfRule>
  </conditionalFormatting>
  <conditionalFormatting sqref="C676">
    <cfRule type="cellIs" dxfId="4075" priority="2024" stopIfTrue="1" operator="equal">
      <formula>"2 Add"</formula>
    </cfRule>
  </conditionalFormatting>
  <conditionalFormatting sqref="C676">
    <cfRule type="cellIs" dxfId="4074" priority="2025" stopIfTrue="1" operator="equal">
      <formula>"3 Delete"</formula>
    </cfRule>
  </conditionalFormatting>
  <conditionalFormatting sqref="C677">
    <cfRule type="cellIs" dxfId="4073" priority="2026" stopIfTrue="1" operator="equal">
      <formula>"1 Modify"</formula>
    </cfRule>
  </conditionalFormatting>
  <conditionalFormatting sqref="C677">
    <cfRule type="cellIs" dxfId="4072" priority="2027" stopIfTrue="1" operator="equal">
      <formula>"2 Add"</formula>
    </cfRule>
  </conditionalFormatting>
  <conditionalFormatting sqref="C677">
    <cfRule type="cellIs" dxfId="4071" priority="2028" stopIfTrue="1" operator="equal">
      <formula>"3 Delete"</formula>
    </cfRule>
  </conditionalFormatting>
  <conditionalFormatting sqref="C678">
    <cfRule type="cellIs" dxfId="4070" priority="2029" stopIfTrue="1" operator="equal">
      <formula>"1 Modify"</formula>
    </cfRule>
  </conditionalFormatting>
  <conditionalFormatting sqref="C678">
    <cfRule type="cellIs" dxfId="4069" priority="2030" stopIfTrue="1" operator="equal">
      <formula>"2 Add"</formula>
    </cfRule>
  </conditionalFormatting>
  <conditionalFormatting sqref="C678">
    <cfRule type="cellIs" dxfId="4068" priority="2031" stopIfTrue="1" operator="equal">
      <formula>"3 Delete"</formula>
    </cfRule>
  </conditionalFormatting>
  <conditionalFormatting sqref="C679">
    <cfRule type="cellIs" dxfId="4067" priority="2032" stopIfTrue="1" operator="equal">
      <formula>"1 Modify"</formula>
    </cfRule>
  </conditionalFormatting>
  <conditionalFormatting sqref="C679">
    <cfRule type="cellIs" dxfId="4066" priority="2033" stopIfTrue="1" operator="equal">
      <formula>"2 Add"</formula>
    </cfRule>
  </conditionalFormatting>
  <conditionalFormatting sqref="C679">
    <cfRule type="cellIs" dxfId="4065" priority="2034" stopIfTrue="1" operator="equal">
      <formula>"3 Delete"</formula>
    </cfRule>
  </conditionalFormatting>
  <conditionalFormatting sqref="C680">
    <cfRule type="cellIs" dxfId="4064" priority="2035" stopIfTrue="1" operator="equal">
      <formula>"1 Modify"</formula>
    </cfRule>
  </conditionalFormatting>
  <conditionalFormatting sqref="C680">
    <cfRule type="cellIs" dxfId="4063" priority="2036" stopIfTrue="1" operator="equal">
      <formula>"2 Add"</formula>
    </cfRule>
  </conditionalFormatting>
  <conditionalFormatting sqref="C680">
    <cfRule type="cellIs" dxfId="4062" priority="2037" stopIfTrue="1" operator="equal">
      <formula>"3 Delete"</formula>
    </cfRule>
  </conditionalFormatting>
  <conditionalFormatting sqref="C681">
    <cfRule type="cellIs" dxfId="4061" priority="2038" stopIfTrue="1" operator="equal">
      <formula>"1 Modify"</formula>
    </cfRule>
  </conditionalFormatting>
  <conditionalFormatting sqref="C681">
    <cfRule type="cellIs" dxfId="4060" priority="2039" stopIfTrue="1" operator="equal">
      <formula>"2 Add"</formula>
    </cfRule>
  </conditionalFormatting>
  <conditionalFormatting sqref="C681">
    <cfRule type="cellIs" dxfId="4059" priority="2040" stopIfTrue="1" operator="equal">
      <formula>"3 Delete"</formula>
    </cfRule>
  </conditionalFormatting>
  <conditionalFormatting sqref="C682">
    <cfRule type="cellIs" dxfId="4058" priority="2041" stopIfTrue="1" operator="equal">
      <formula>"1 Modify"</formula>
    </cfRule>
  </conditionalFormatting>
  <conditionalFormatting sqref="C682">
    <cfRule type="cellIs" dxfId="4057" priority="2042" stopIfTrue="1" operator="equal">
      <formula>"2 Add"</formula>
    </cfRule>
  </conditionalFormatting>
  <conditionalFormatting sqref="C682">
    <cfRule type="cellIs" dxfId="4056" priority="2043" stopIfTrue="1" operator="equal">
      <formula>"3 Delete"</formula>
    </cfRule>
  </conditionalFormatting>
  <conditionalFormatting sqref="C683">
    <cfRule type="cellIs" dxfId="4055" priority="2044" stopIfTrue="1" operator="equal">
      <formula>"1 Modify"</formula>
    </cfRule>
  </conditionalFormatting>
  <conditionalFormatting sqref="C683">
    <cfRule type="cellIs" dxfId="4054" priority="2045" stopIfTrue="1" operator="equal">
      <formula>"2 Add"</formula>
    </cfRule>
  </conditionalFormatting>
  <conditionalFormatting sqref="C683">
    <cfRule type="cellIs" dxfId="4053" priority="2046" stopIfTrue="1" operator="equal">
      <formula>"3 Delete"</formula>
    </cfRule>
  </conditionalFormatting>
  <conditionalFormatting sqref="C684">
    <cfRule type="cellIs" dxfId="4052" priority="2047" stopIfTrue="1" operator="equal">
      <formula>"1 Modify"</formula>
    </cfRule>
  </conditionalFormatting>
  <conditionalFormatting sqref="C684">
    <cfRule type="cellIs" dxfId="4051" priority="2048" stopIfTrue="1" operator="equal">
      <formula>"2 Add"</formula>
    </cfRule>
  </conditionalFormatting>
  <conditionalFormatting sqref="C684">
    <cfRule type="cellIs" dxfId="4050" priority="2049" stopIfTrue="1" operator="equal">
      <formula>"3 Delete"</formula>
    </cfRule>
  </conditionalFormatting>
  <conditionalFormatting sqref="C685">
    <cfRule type="cellIs" dxfId="4049" priority="2050" stopIfTrue="1" operator="equal">
      <formula>"1 Modify"</formula>
    </cfRule>
  </conditionalFormatting>
  <conditionalFormatting sqref="C685">
    <cfRule type="cellIs" dxfId="4048" priority="2051" stopIfTrue="1" operator="equal">
      <formula>"2 Add"</formula>
    </cfRule>
  </conditionalFormatting>
  <conditionalFormatting sqref="C685">
    <cfRule type="cellIs" dxfId="4047" priority="2052" stopIfTrue="1" operator="equal">
      <formula>"3 Delete"</formula>
    </cfRule>
  </conditionalFormatting>
  <conditionalFormatting sqref="C686">
    <cfRule type="cellIs" dxfId="4046" priority="2053" stopIfTrue="1" operator="equal">
      <formula>"1 Modify"</formula>
    </cfRule>
  </conditionalFormatting>
  <conditionalFormatting sqref="C686">
    <cfRule type="cellIs" dxfId="4045" priority="2054" stopIfTrue="1" operator="equal">
      <formula>"2 Add"</formula>
    </cfRule>
  </conditionalFormatting>
  <conditionalFormatting sqref="C686">
    <cfRule type="cellIs" dxfId="4044" priority="2055" stopIfTrue="1" operator="equal">
      <formula>"3 Delete"</formula>
    </cfRule>
  </conditionalFormatting>
  <conditionalFormatting sqref="C687">
    <cfRule type="cellIs" dxfId="4043" priority="2056" stopIfTrue="1" operator="equal">
      <formula>"1 Modify"</formula>
    </cfRule>
  </conditionalFormatting>
  <conditionalFormatting sqref="C687">
    <cfRule type="cellIs" dxfId="4042" priority="2057" stopIfTrue="1" operator="equal">
      <formula>"2 Add"</formula>
    </cfRule>
  </conditionalFormatting>
  <conditionalFormatting sqref="C687">
    <cfRule type="cellIs" dxfId="4041" priority="2058" stopIfTrue="1" operator="equal">
      <formula>"3 Delete"</formula>
    </cfRule>
  </conditionalFormatting>
  <conditionalFormatting sqref="C688">
    <cfRule type="cellIs" dxfId="4040" priority="2059" stopIfTrue="1" operator="equal">
      <formula>"1 Modify"</formula>
    </cfRule>
  </conditionalFormatting>
  <conditionalFormatting sqref="C688">
    <cfRule type="cellIs" dxfId="4039" priority="2060" stopIfTrue="1" operator="equal">
      <formula>"2 Add"</formula>
    </cfRule>
  </conditionalFormatting>
  <conditionalFormatting sqref="C688">
    <cfRule type="cellIs" dxfId="4038" priority="2061" stopIfTrue="1" operator="equal">
      <formula>"3 Delete"</formula>
    </cfRule>
  </conditionalFormatting>
  <conditionalFormatting sqref="C689">
    <cfRule type="cellIs" dxfId="4037" priority="2062" stopIfTrue="1" operator="equal">
      <formula>"1 Modify"</formula>
    </cfRule>
  </conditionalFormatting>
  <conditionalFormatting sqref="C689">
    <cfRule type="cellIs" dxfId="4036" priority="2063" stopIfTrue="1" operator="equal">
      <formula>"2 Add"</formula>
    </cfRule>
  </conditionalFormatting>
  <conditionalFormatting sqref="C689">
    <cfRule type="cellIs" dxfId="4035" priority="2064" stopIfTrue="1" operator="equal">
      <formula>"3 Delete"</formula>
    </cfRule>
  </conditionalFormatting>
  <conditionalFormatting sqref="C690">
    <cfRule type="cellIs" dxfId="4034" priority="2065" stopIfTrue="1" operator="equal">
      <formula>"1 Modify"</formula>
    </cfRule>
  </conditionalFormatting>
  <conditionalFormatting sqref="C690">
    <cfRule type="cellIs" dxfId="4033" priority="2066" stopIfTrue="1" operator="equal">
      <formula>"2 Add"</formula>
    </cfRule>
  </conditionalFormatting>
  <conditionalFormatting sqref="C690">
    <cfRule type="cellIs" dxfId="4032" priority="2067" stopIfTrue="1" operator="equal">
      <formula>"3 Delete"</formula>
    </cfRule>
  </conditionalFormatting>
  <conditionalFormatting sqref="C691">
    <cfRule type="cellIs" dxfId="4031" priority="2068" stopIfTrue="1" operator="equal">
      <formula>"1 Modify"</formula>
    </cfRule>
  </conditionalFormatting>
  <conditionalFormatting sqref="C691">
    <cfRule type="cellIs" dxfId="4030" priority="2069" stopIfTrue="1" operator="equal">
      <formula>"2 Add"</formula>
    </cfRule>
  </conditionalFormatting>
  <conditionalFormatting sqref="C691">
    <cfRule type="cellIs" dxfId="4029" priority="2070" stopIfTrue="1" operator="equal">
      <formula>"3 Delete"</formula>
    </cfRule>
  </conditionalFormatting>
  <conditionalFormatting sqref="C692">
    <cfRule type="cellIs" dxfId="4028" priority="2071" stopIfTrue="1" operator="equal">
      <formula>"1 Modify"</formula>
    </cfRule>
  </conditionalFormatting>
  <conditionalFormatting sqref="C692">
    <cfRule type="cellIs" dxfId="4027" priority="2072" stopIfTrue="1" operator="equal">
      <formula>"2 Add"</formula>
    </cfRule>
  </conditionalFormatting>
  <conditionalFormatting sqref="C692">
    <cfRule type="cellIs" dxfId="4026" priority="2073" stopIfTrue="1" operator="equal">
      <formula>"3 Delete"</formula>
    </cfRule>
  </conditionalFormatting>
  <conditionalFormatting sqref="C693">
    <cfRule type="cellIs" dxfId="4025" priority="2074" stopIfTrue="1" operator="equal">
      <formula>"1 Modify"</formula>
    </cfRule>
  </conditionalFormatting>
  <conditionalFormatting sqref="C693">
    <cfRule type="cellIs" dxfId="4024" priority="2075" stopIfTrue="1" operator="equal">
      <formula>"2 Add"</formula>
    </cfRule>
  </conditionalFormatting>
  <conditionalFormatting sqref="C693">
    <cfRule type="cellIs" dxfId="4023" priority="2076" stopIfTrue="1" operator="equal">
      <formula>"3 Delete"</formula>
    </cfRule>
  </conditionalFormatting>
  <conditionalFormatting sqref="C694">
    <cfRule type="cellIs" dxfId="4022" priority="2077" stopIfTrue="1" operator="equal">
      <formula>"1 Modify"</formula>
    </cfRule>
  </conditionalFormatting>
  <conditionalFormatting sqref="C694">
    <cfRule type="cellIs" dxfId="4021" priority="2078" stopIfTrue="1" operator="equal">
      <formula>"2 Add"</formula>
    </cfRule>
  </conditionalFormatting>
  <conditionalFormatting sqref="C694">
    <cfRule type="cellIs" dxfId="4020" priority="2079" stopIfTrue="1" operator="equal">
      <formula>"3 Delete"</formula>
    </cfRule>
  </conditionalFormatting>
  <conditionalFormatting sqref="C695">
    <cfRule type="cellIs" dxfId="4019" priority="2080" stopIfTrue="1" operator="equal">
      <formula>"1 Modify"</formula>
    </cfRule>
  </conditionalFormatting>
  <conditionalFormatting sqref="C695">
    <cfRule type="cellIs" dxfId="4018" priority="2081" stopIfTrue="1" operator="equal">
      <formula>"2 Add"</formula>
    </cfRule>
  </conditionalFormatting>
  <conditionalFormatting sqref="C695">
    <cfRule type="cellIs" dxfId="4017" priority="2082" stopIfTrue="1" operator="equal">
      <formula>"3 Delete"</formula>
    </cfRule>
  </conditionalFormatting>
  <conditionalFormatting sqref="C696">
    <cfRule type="cellIs" dxfId="4016" priority="2083" stopIfTrue="1" operator="equal">
      <formula>"1 Modify"</formula>
    </cfRule>
  </conditionalFormatting>
  <conditionalFormatting sqref="C696">
    <cfRule type="cellIs" dxfId="4015" priority="2084" stopIfTrue="1" operator="equal">
      <formula>"2 Add"</formula>
    </cfRule>
  </conditionalFormatting>
  <conditionalFormatting sqref="C696">
    <cfRule type="cellIs" dxfId="4014" priority="2085" stopIfTrue="1" operator="equal">
      <formula>"3 Delete"</formula>
    </cfRule>
  </conditionalFormatting>
  <conditionalFormatting sqref="C697">
    <cfRule type="cellIs" dxfId="4013" priority="2086" stopIfTrue="1" operator="equal">
      <formula>"1 Modify"</formula>
    </cfRule>
  </conditionalFormatting>
  <conditionalFormatting sqref="C697">
    <cfRule type="cellIs" dxfId="4012" priority="2087" stopIfTrue="1" operator="equal">
      <formula>"2 Add"</formula>
    </cfRule>
  </conditionalFormatting>
  <conditionalFormatting sqref="C697">
    <cfRule type="cellIs" dxfId="4011" priority="2088" stopIfTrue="1" operator="equal">
      <formula>"3 Delete"</formula>
    </cfRule>
  </conditionalFormatting>
  <conditionalFormatting sqref="C698">
    <cfRule type="cellIs" dxfId="4010" priority="2089" stopIfTrue="1" operator="equal">
      <formula>"1 Modify"</formula>
    </cfRule>
  </conditionalFormatting>
  <conditionalFormatting sqref="C698">
    <cfRule type="cellIs" dxfId="4009" priority="2090" stopIfTrue="1" operator="equal">
      <formula>"2 Add"</formula>
    </cfRule>
  </conditionalFormatting>
  <conditionalFormatting sqref="C698">
    <cfRule type="cellIs" dxfId="4008" priority="2091" stopIfTrue="1" operator="equal">
      <formula>"3 Delete"</formula>
    </cfRule>
  </conditionalFormatting>
  <conditionalFormatting sqref="C699">
    <cfRule type="cellIs" dxfId="4007" priority="2092" stopIfTrue="1" operator="equal">
      <formula>"1 Modify"</formula>
    </cfRule>
  </conditionalFormatting>
  <conditionalFormatting sqref="C699">
    <cfRule type="cellIs" dxfId="4006" priority="2093" stopIfTrue="1" operator="equal">
      <formula>"2 Add"</formula>
    </cfRule>
  </conditionalFormatting>
  <conditionalFormatting sqref="C699">
    <cfRule type="cellIs" dxfId="4005" priority="2094" stopIfTrue="1" operator="equal">
      <formula>"3 Delete"</formula>
    </cfRule>
  </conditionalFormatting>
  <conditionalFormatting sqref="C700">
    <cfRule type="cellIs" dxfId="4004" priority="2095" stopIfTrue="1" operator="equal">
      <formula>"1 Modify"</formula>
    </cfRule>
  </conditionalFormatting>
  <conditionalFormatting sqref="C700">
    <cfRule type="cellIs" dxfId="4003" priority="2096" stopIfTrue="1" operator="equal">
      <formula>"2 Add"</formula>
    </cfRule>
  </conditionalFormatting>
  <conditionalFormatting sqref="C700">
    <cfRule type="cellIs" dxfId="4002" priority="2097" stopIfTrue="1" operator="equal">
      <formula>"3 Delete"</formula>
    </cfRule>
  </conditionalFormatting>
  <conditionalFormatting sqref="C701">
    <cfRule type="cellIs" dxfId="4001" priority="2098" stopIfTrue="1" operator="equal">
      <formula>"1 Modify"</formula>
    </cfRule>
  </conditionalFormatting>
  <conditionalFormatting sqref="C701">
    <cfRule type="cellIs" dxfId="4000" priority="2099" stopIfTrue="1" operator="equal">
      <formula>"2 Add"</formula>
    </cfRule>
  </conditionalFormatting>
  <conditionalFormatting sqref="C701">
    <cfRule type="cellIs" dxfId="3999" priority="2100" stopIfTrue="1" operator="equal">
      <formula>"3 Delete"</formula>
    </cfRule>
  </conditionalFormatting>
  <conditionalFormatting sqref="C702">
    <cfRule type="cellIs" dxfId="3998" priority="2101" stopIfTrue="1" operator="equal">
      <formula>"1 Modify"</formula>
    </cfRule>
  </conditionalFormatting>
  <conditionalFormatting sqref="C702">
    <cfRule type="cellIs" dxfId="3997" priority="2102" stopIfTrue="1" operator="equal">
      <formula>"2 Add"</formula>
    </cfRule>
  </conditionalFormatting>
  <conditionalFormatting sqref="C702">
    <cfRule type="cellIs" dxfId="3996" priority="2103" stopIfTrue="1" operator="equal">
      <formula>"3 Delete"</formula>
    </cfRule>
  </conditionalFormatting>
  <conditionalFormatting sqref="C703">
    <cfRule type="cellIs" dxfId="3995" priority="2104" stopIfTrue="1" operator="equal">
      <formula>"1 Modify"</formula>
    </cfRule>
  </conditionalFormatting>
  <conditionalFormatting sqref="C703">
    <cfRule type="cellIs" dxfId="3994" priority="2105" stopIfTrue="1" operator="equal">
      <formula>"2 Add"</formula>
    </cfRule>
  </conditionalFormatting>
  <conditionalFormatting sqref="C703">
    <cfRule type="cellIs" dxfId="3993" priority="2106" stopIfTrue="1" operator="equal">
      <formula>"3 Delete"</formula>
    </cfRule>
  </conditionalFormatting>
  <conditionalFormatting sqref="C704">
    <cfRule type="cellIs" dxfId="3992" priority="2107" stopIfTrue="1" operator="equal">
      <formula>"1 Modify"</formula>
    </cfRule>
  </conditionalFormatting>
  <conditionalFormatting sqref="C704">
    <cfRule type="cellIs" dxfId="3991" priority="2108" stopIfTrue="1" operator="equal">
      <formula>"2 Add"</formula>
    </cfRule>
  </conditionalFormatting>
  <conditionalFormatting sqref="C704">
    <cfRule type="cellIs" dxfId="3990" priority="2109" stopIfTrue="1" operator="equal">
      <formula>"3 Delete"</formula>
    </cfRule>
  </conditionalFormatting>
  <conditionalFormatting sqref="C705">
    <cfRule type="cellIs" dxfId="3989" priority="2110" stopIfTrue="1" operator="equal">
      <formula>"1 Modify"</formula>
    </cfRule>
  </conditionalFormatting>
  <conditionalFormatting sqref="C705">
    <cfRule type="cellIs" dxfId="3988" priority="2111" stopIfTrue="1" operator="equal">
      <formula>"2 Add"</formula>
    </cfRule>
  </conditionalFormatting>
  <conditionalFormatting sqref="C705">
    <cfRule type="cellIs" dxfId="3987" priority="2112" stopIfTrue="1" operator="equal">
      <formula>"3 Delete"</formula>
    </cfRule>
  </conditionalFormatting>
  <conditionalFormatting sqref="C706">
    <cfRule type="cellIs" dxfId="3986" priority="2113" stopIfTrue="1" operator="equal">
      <formula>"1 Modify"</formula>
    </cfRule>
  </conditionalFormatting>
  <conditionalFormatting sqref="C706">
    <cfRule type="cellIs" dxfId="3985" priority="2114" stopIfTrue="1" operator="equal">
      <formula>"2 Add"</formula>
    </cfRule>
  </conditionalFormatting>
  <conditionalFormatting sqref="C706">
    <cfRule type="cellIs" dxfId="3984" priority="2115" stopIfTrue="1" operator="equal">
      <formula>"3 Delete"</formula>
    </cfRule>
  </conditionalFormatting>
  <conditionalFormatting sqref="C707">
    <cfRule type="cellIs" dxfId="3983" priority="2116" stopIfTrue="1" operator="equal">
      <formula>"1 Modify"</formula>
    </cfRule>
  </conditionalFormatting>
  <conditionalFormatting sqref="C707">
    <cfRule type="cellIs" dxfId="3982" priority="2117" stopIfTrue="1" operator="equal">
      <formula>"2 Add"</formula>
    </cfRule>
  </conditionalFormatting>
  <conditionalFormatting sqref="C707">
    <cfRule type="cellIs" dxfId="3981" priority="2118" stopIfTrue="1" operator="equal">
      <formula>"3 Delete"</formula>
    </cfRule>
  </conditionalFormatting>
  <conditionalFormatting sqref="C708">
    <cfRule type="cellIs" dxfId="3980" priority="2119" stopIfTrue="1" operator="equal">
      <formula>"1 Modify"</formula>
    </cfRule>
  </conditionalFormatting>
  <conditionalFormatting sqref="C708">
    <cfRule type="cellIs" dxfId="3979" priority="2120" stopIfTrue="1" operator="equal">
      <formula>"2 Add"</formula>
    </cfRule>
  </conditionalFormatting>
  <conditionalFormatting sqref="C708">
    <cfRule type="cellIs" dxfId="3978" priority="2121" stopIfTrue="1" operator="equal">
      <formula>"3 Delete"</formula>
    </cfRule>
  </conditionalFormatting>
  <conditionalFormatting sqref="C709">
    <cfRule type="cellIs" dxfId="3977" priority="2122" stopIfTrue="1" operator="equal">
      <formula>"1 Modify"</formula>
    </cfRule>
  </conditionalFormatting>
  <conditionalFormatting sqref="C709">
    <cfRule type="cellIs" dxfId="3976" priority="2123" stopIfTrue="1" operator="equal">
      <formula>"2 Add"</formula>
    </cfRule>
  </conditionalFormatting>
  <conditionalFormatting sqref="C709">
    <cfRule type="cellIs" dxfId="3975" priority="2124" stopIfTrue="1" operator="equal">
      <formula>"3 Delete"</formula>
    </cfRule>
  </conditionalFormatting>
  <conditionalFormatting sqref="C710">
    <cfRule type="cellIs" dxfId="3974" priority="2125" stopIfTrue="1" operator="equal">
      <formula>"1 Modify"</formula>
    </cfRule>
  </conditionalFormatting>
  <conditionalFormatting sqref="C710">
    <cfRule type="cellIs" dxfId="3973" priority="2126" stopIfTrue="1" operator="equal">
      <formula>"2 Add"</formula>
    </cfRule>
  </conditionalFormatting>
  <conditionalFormatting sqref="C710">
    <cfRule type="cellIs" dxfId="3972" priority="2127" stopIfTrue="1" operator="equal">
      <formula>"3 Delete"</formula>
    </cfRule>
  </conditionalFormatting>
  <conditionalFormatting sqref="C711">
    <cfRule type="cellIs" dxfId="3971" priority="2128" stopIfTrue="1" operator="equal">
      <formula>"1 Modify"</formula>
    </cfRule>
  </conditionalFormatting>
  <conditionalFormatting sqref="C711">
    <cfRule type="cellIs" dxfId="3970" priority="2129" stopIfTrue="1" operator="equal">
      <formula>"2 Add"</formula>
    </cfRule>
  </conditionalFormatting>
  <conditionalFormatting sqref="C711">
    <cfRule type="cellIs" dxfId="3969" priority="2130" stopIfTrue="1" operator="equal">
      <formula>"3 Delete"</formula>
    </cfRule>
  </conditionalFormatting>
  <conditionalFormatting sqref="C712">
    <cfRule type="cellIs" dxfId="3968" priority="2131" stopIfTrue="1" operator="equal">
      <formula>"1 Modify"</formula>
    </cfRule>
  </conditionalFormatting>
  <conditionalFormatting sqref="C712">
    <cfRule type="cellIs" dxfId="3967" priority="2132" stopIfTrue="1" operator="equal">
      <formula>"2 Add"</formula>
    </cfRule>
  </conditionalFormatting>
  <conditionalFormatting sqref="C712">
    <cfRule type="cellIs" dxfId="3966" priority="2133" stopIfTrue="1" operator="equal">
      <formula>"3 Delete"</formula>
    </cfRule>
  </conditionalFormatting>
  <conditionalFormatting sqref="C713">
    <cfRule type="cellIs" dxfId="3965" priority="2134" stopIfTrue="1" operator="equal">
      <formula>"1 Modify"</formula>
    </cfRule>
  </conditionalFormatting>
  <conditionalFormatting sqref="C713">
    <cfRule type="cellIs" dxfId="3964" priority="2135" stopIfTrue="1" operator="equal">
      <formula>"2 Add"</formula>
    </cfRule>
  </conditionalFormatting>
  <conditionalFormatting sqref="C713">
    <cfRule type="cellIs" dxfId="3963" priority="2136" stopIfTrue="1" operator="equal">
      <formula>"3 Delete"</formula>
    </cfRule>
  </conditionalFormatting>
  <conditionalFormatting sqref="C714">
    <cfRule type="cellIs" dxfId="3962" priority="2137" stopIfTrue="1" operator="equal">
      <formula>"1 Modify"</formula>
    </cfRule>
  </conditionalFormatting>
  <conditionalFormatting sqref="C714">
    <cfRule type="cellIs" dxfId="3961" priority="2138" stopIfTrue="1" operator="equal">
      <formula>"2 Add"</formula>
    </cfRule>
  </conditionalFormatting>
  <conditionalFormatting sqref="C714">
    <cfRule type="cellIs" dxfId="3960" priority="2139" stopIfTrue="1" operator="equal">
      <formula>"3 Delete"</formula>
    </cfRule>
  </conditionalFormatting>
  <conditionalFormatting sqref="C715">
    <cfRule type="cellIs" dxfId="3959" priority="2140" stopIfTrue="1" operator="equal">
      <formula>"1 Modify"</formula>
    </cfRule>
  </conditionalFormatting>
  <conditionalFormatting sqref="C715">
    <cfRule type="cellIs" dxfId="3958" priority="2141" stopIfTrue="1" operator="equal">
      <formula>"2 Add"</formula>
    </cfRule>
  </conditionalFormatting>
  <conditionalFormatting sqref="C715">
    <cfRule type="cellIs" dxfId="3957" priority="2142" stopIfTrue="1" operator="equal">
      <formula>"3 Delete"</formula>
    </cfRule>
  </conditionalFormatting>
  <conditionalFormatting sqref="C716">
    <cfRule type="cellIs" dxfId="3956" priority="2143" stopIfTrue="1" operator="equal">
      <formula>"1 Modify"</formula>
    </cfRule>
  </conditionalFormatting>
  <conditionalFormatting sqref="C716">
    <cfRule type="cellIs" dxfId="3955" priority="2144" stopIfTrue="1" operator="equal">
      <formula>"2 Add"</formula>
    </cfRule>
  </conditionalFormatting>
  <conditionalFormatting sqref="C716">
    <cfRule type="cellIs" dxfId="3954" priority="2145" stopIfTrue="1" operator="equal">
      <formula>"3 Delete"</formula>
    </cfRule>
  </conditionalFormatting>
  <conditionalFormatting sqref="C717">
    <cfRule type="cellIs" dxfId="3953" priority="2146" stopIfTrue="1" operator="equal">
      <formula>"1 Modify"</formula>
    </cfRule>
  </conditionalFormatting>
  <conditionalFormatting sqref="C717">
    <cfRule type="cellIs" dxfId="3952" priority="2147" stopIfTrue="1" operator="equal">
      <formula>"2 Add"</formula>
    </cfRule>
  </conditionalFormatting>
  <conditionalFormatting sqref="C717">
    <cfRule type="cellIs" dxfId="3951" priority="2148" stopIfTrue="1" operator="equal">
      <formula>"3 Delete"</formula>
    </cfRule>
  </conditionalFormatting>
  <conditionalFormatting sqref="C718">
    <cfRule type="cellIs" dxfId="3950" priority="2149" stopIfTrue="1" operator="equal">
      <formula>"1 Modify"</formula>
    </cfRule>
  </conditionalFormatting>
  <conditionalFormatting sqref="C718">
    <cfRule type="cellIs" dxfId="3949" priority="2150" stopIfTrue="1" operator="equal">
      <formula>"2 Add"</formula>
    </cfRule>
  </conditionalFormatting>
  <conditionalFormatting sqref="C718">
    <cfRule type="cellIs" dxfId="3948" priority="2151" stopIfTrue="1" operator="equal">
      <formula>"3 Delete"</formula>
    </cfRule>
  </conditionalFormatting>
  <conditionalFormatting sqref="C719">
    <cfRule type="cellIs" dxfId="3947" priority="2152" stopIfTrue="1" operator="equal">
      <formula>"1 Modify"</formula>
    </cfRule>
  </conditionalFormatting>
  <conditionalFormatting sqref="C719">
    <cfRule type="cellIs" dxfId="3946" priority="2153" stopIfTrue="1" operator="equal">
      <formula>"2 Add"</formula>
    </cfRule>
  </conditionalFormatting>
  <conditionalFormatting sqref="C719">
    <cfRule type="cellIs" dxfId="3945" priority="2154" stopIfTrue="1" operator="equal">
      <formula>"3 Delete"</formula>
    </cfRule>
  </conditionalFormatting>
  <conditionalFormatting sqref="C720">
    <cfRule type="cellIs" dxfId="3944" priority="2155" stopIfTrue="1" operator="equal">
      <formula>"1 Modify"</formula>
    </cfRule>
  </conditionalFormatting>
  <conditionalFormatting sqref="C720">
    <cfRule type="cellIs" dxfId="3943" priority="2156" stopIfTrue="1" operator="equal">
      <formula>"2 Add"</formula>
    </cfRule>
  </conditionalFormatting>
  <conditionalFormatting sqref="C720">
    <cfRule type="cellIs" dxfId="3942" priority="2157" stopIfTrue="1" operator="equal">
      <formula>"3 Delete"</formula>
    </cfRule>
  </conditionalFormatting>
  <conditionalFormatting sqref="C721">
    <cfRule type="cellIs" dxfId="3941" priority="2158" stopIfTrue="1" operator="equal">
      <formula>"1 Modify"</formula>
    </cfRule>
  </conditionalFormatting>
  <conditionalFormatting sqref="C721">
    <cfRule type="cellIs" dxfId="3940" priority="2159" stopIfTrue="1" operator="equal">
      <formula>"2 Add"</formula>
    </cfRule>
  </conditionalFormatting>
  <conditionalFormatting sqref="C721">
    <cfRule type="cellIs" dxfId="3939" priority="2160" stopIfTrue="1" operator="equal">
      <formula>"3 Delete"</formula>
    </cfRule>
  </conditionalFormatting>
  <conditionalFormatting sqref="C722">
    <cfRule type="cellIs" dxfId="3938" priority="2161" stopIfTrue="1" operator="equal">
      <formula>"1 Modify"</formula>
    </cfRule>
  </conditionalFormatting>
  <conditionalFormatting sqref="C722">
    <cfRule type="cellIs" dxfId="3937" priority="2162" stopIfTrue="1" operator="equal">
      <formula>"2 Add"</formula>
    </cfRule>
  </conditionalFormatting>
  <conditionalFormatting sqref="C722">
    <cfRule type="cellIs" dxfId="3936" priority="2163" stopIfTrue="1" operator="equal">
      <formula>"3 Delete"</formula>
    </cfRule>
  </conditionalFormatting>
  <conditionalFormatting sqref="C723">
    <cfRule type="cellIs" dxfId="3935" priority="2164" stopIfTrue="1" operator="equal">
      <formula>"1 Modify"</formula>
    </cfRule>
  </conditionalFormatting>
  <conditionalFormatting sqref="C723">
    <cfRule type="cellIs" dxfId="3934" priority="2165" stopIfTrue="1" operator="equal">
      <formula>"2 Add"</formula>
    </cfRule>
  </conditionalFormatting>
  <conditionalFormatting sqref="C723">
    <cfRule type="cellIs" dxfId="3933" priority="2166" stopIfTrue="1" operator="equal">
      <formula>"3 Delete"</formula>
    </cfRule>
  </conditionalFormatting>
  <conditionalFormatting sqref="C724">
    <cfRule type="cellIs" dxfId="3932" priority="2167" stopIfTrue="1" operator="equal">
      <formula>"1 Modify"</formula>
    </cfRule>
  </conditionalFormatting>
  <conditionalFormatting sqref="C724">
    <cfRule type="cellIs" dxfId="3931" priority="2168" stopIfTrue="1" operator="equal">
      <formula>"2 Add"</formula>
    </cfRule>
  </conditionalFormatting>
  <conditionalFormatting sqref="C724">
    <cfRule type="cellIs" dxfId="3930" priority="2169" stopIfTrue="1" operator="equal">
      <formula>"3 Delete"</formula>
    </cfRule>
  </conditionalFormatting>
  <conditionalFormatting sqref="C725">
    <cfRule type="cellIs" dxfId="3929" priority="2170" stopIfTrue="1" operator="equal">
      <formula>"1 Modify"</formula>
    </cfRule>
  </conditionalFormatting>
  <conditionalFormatting sqref="C725">
    <cfRule type="cellIs" dxfId="3928" priority="2171" stopIfTrue="1" operator="equal">
      <formula>"2 Add"</formula>
    </cfRule>
  </conditionalFormatting>
  <conditionalFormatting sqref="C725">
    <cfRule type="cellIs" dxfId="3927" priority="2172" stopIfTrue="1" operator="equal">
      <formula>"3 Delete"</formula>
    </cfRule>
  </conditionalFormatting>
  <conditionalFormatting sqref="C726">
    <cfRule type="cellIs" dxfId="3926" priority="2173" stopIfTrue="1" operator="equal">
      <formula>"1 Modify"</formula>
    </cfRule>
  </conditionalFormatting>
  <conditionalFormatting sqref="C726">
    <cfRule type="cellIs" dxfId="3925" priority="2174" stopIfTrue="1" operator="equal">
      <formula>"2 Add"</formula>
    </cfRule>
  </conditionalFormatting>
  <conditionalFormatting sqref="C726">
    <cfRule type="cellIs" dxfId="3924" priority="2175" stopIfTrue="1" operator="equal">
      <formula>"3 Delete"</formula>
    </cfRule>
  </conditionalFormatting>
  <conditionalFormatting sqref="C727">
    <cfRule type="cellIs" dxfId="3923" priority="2176" stopIfTrue="1" operator="equal">
      <formula>"1 Modify"</formula>
    </cfRule>
  </conditionalFormatting>
  <conditionalFormatting sqref="C727">
    <cfRule type="cellIs" dxfId="3922" priority="2177" stopIfTrue="1" operator="equal">
      <formula>"2 Add"</formula>
    </cfRule>
  </conditionalFormatting>
  <conditionalFormatting sqref="C727">
    <cfRule type="cellIs" dxfId="3921" priority="2178" stopIfTrue="1" operator="equal">
      <formula>"3 Delete"</formula>
    </cfRule>
  </conditionalFormatting>
  <conditionalFormatting sqref="C728">
    <cfRule type="cellIs" dxfId="3920" priority="2179" stopIfTrue="1" operator="equal">
      <formula>"1 Modify"</formula>
    </cfRule>
  </conditionalFormatting>
  <conditionalFormatting sqref="C728">
    <cfRule type="cellIs" dxfId="3919" priority="2180" stopIfTrue="1" operator="equal">
      <formula>"2 Add"</formula>
    </cfRule>
  </conditionalFormatting>
  <conditionalFormatting sqref="C728">
    <cfRule type="cellIs" dxfId="3918" priority="2181" stopIfTrue="1" operator="equal">
      <formula>"3 Delete"</formula>
    </cfRule>
  </conditionalFormatting>
  <conditionalFormatting sqref="C729">
    <cfRule type="cellIs" dxfId="3917" priority="2182" stopIfTrue="1" operator="equal">
      <formula>"1 Modify"</formula>
    </cfRule>
  </conditionalFormatting>
  <conditionalFormatting sqref="C729">
    <cfRule type="cellIs" dxfId="3916" priority="2183" stopIfTrue="1" operator="equal">
      <formula>"2 Add"</formula>
    </cfRule>
  </conditionalFormatting>
  <conditionalFormatting sqref="C729">
    <cfRule type="cellIs" dxfId="3915" priority="2184" stopIfTrue="1" operator="equal">
      <formula>"3 Delete"</formula>
    </cfRule>
  </conditionalFormatting>
  <conditionalFormatting sqref="C730">
    <cfRule type="cellIs" dxfId="3914" priority="2185" stopIfTrue="1" operator="equal">
      <formula>"1 Modify"</formula>
    </cfRule>
  </conditionalFormatting>
  <conditionalFormatting sqref="C730">
    <cfRule type="cellIs" dxfId="3913" priority="2186" stopIfTrue="1" operator="equal">
      <formula>"2 Add"</formula>
    </cfRule>
  </conditionalFormatting>
  <conditionalFormatting sqref="C730">
    <cfRule type="cellIs" dxfId="3912" priority="2187" stopIfTrue="1" operator="equal">
      <formula>"3 Delete"</formula>
    </cfRule>
  </conditionalFormatting>
  <conditionalFormatting sqref="C731">
    <cfRule type="cellIs" dxfId="3911" priority="2188" stopIfTrue="1" operator="equal">
      <formula>"1 Modify"</formula>
    </cfRule>
  </conditionalFormatting>
  <conditionalFormatting sqref="C731">
    <cfRule type="cellIs" dxfId="3910" priority="2189" stopIfTrue="1" operator="equal">
      <formula>"2 Add"</formula>
    </cfRule>
  </conditionalFormatting>
  <conditionalFormatting sqref="C731">
    <cfRule type="cellIs" dxfId="3909" priority="2190" stopIfTrue="1" operator="equal">
      <formula>"3 Delete"</formula>
    </cfRule>
  </conditionalFormatting>
  <conditionalFormatting sqref="C732">
    <cfRule type="cellIs" dxfId="3908" priority="2191" stopIfTrue="1" operator="equal">
      <formula>"1 Modify"</formula>
    </cfRule>
  </conditionalFormatting>
  <conditionalFormatting sqref="C732">
    <cfRule type="cellIs" dxfId="3907" priority="2192" stopIfTrue="1" operator="equal">
      <formula>"2 Add"</formula>
    </cfRule>
  </conditionalFormatting>
  <conditionalFormatting sqref="C732">
    <cfRule type="cellIs" dxfId="3906" priority="2193" stopIfTrue="1" operator="equal">
      <formula>"3 Delete"</formula>
    </cfRule>
  </conditionalFormatting>
  <conditionalFormatting sqref="C733">
    <cfRule type="cellIs" dxfId="3905" priority="2194" stopIfTrue="1" operator="equal">
      <formula>"1 Modify"</formula>
    </cfRule>
  </conditionalFormatting>
  <conditionalFormatting sqref="C733">
    <cfRule type="cellIs" dxfId="3904" priority="2195" stopIfTrue="1" operator="equal">
      <formula>"2 Add"</formula>
    </cfRule>
  </conditionalFormatting>
  <conditionalFormatting sqref="C733">
    <cfRule type="cellIs" dxfId="3903" priority="2196" stopIfTrue="1" operator="equal">
      <formula>"3 Delete"</formula>
    </cfRule>
  </conditionalFormatting>
  <conditionalFormatting sqref="C734">
    <cfRule type="cellIs" dxfId="3902" priority="2197" stopIfTrue="1" operator="equal">
      <formula>"1 Modify"</formula>
    </cfRule>
  </conditionalFormatting>
  <conditionalFormatting sqref="C734">
    <cfRule type="cellIs" dxfId="3901" priority="2198" stopIfTrue="1" operator="equal">
      <formula>"2 Add"</formula>
    </cfRule>
  </conditionalFormatting>
  <conditionalFormatting sqref="C734">
    <cfRule type="cellIs" dxfId="3900" priority="2199" stopIfTrue="1" operator="equal">
      <formula>"3 Delete"</formula>
    </cfRule>
  </conditionalFormatting>
  <conditionalFormatting sqref="C735">
    <cfRule type="cellIs" dxfId="3899" priority="2200" stopIfTrue="1" operator="equal">
      <formula>"1 Modify"</formula>
    </cfRule>
  </conditionalFormatting>
  <conditionalFormatting sqref="C735">
    <cfRule type="cellIs" dxfId="3898" priority="2201" stopIfTrue="1" operator="equal">
      <formula>"2 Add"</formula>
    </cfRule>
  </conditionalFormatting>
  <conditionalFormatting sqref="C735">
    <cfRule type="cellIs" dxfId="3897" priority="2202" stopIfTrue="1" operator="equal">
      <formula>"3 Delete"</formula>
    </cfRule>
  </conditionalFormatting>
  <conditionalFormatting sqref="C736">
    <cfRule type="cellIs" dxfId="3896" priority="2203" stopIfTrue="1" operator="equal">
      <formula>"1 Modify"</formula>
    </cfRule>
  </conditionalFormatting>
  <conditionalFormatting sqref="C736">
    <cfRule type="cellIs" dxfId="3895" priority="2204" stopIfTrue="1" operator="equal">
      <formula>"2 Add"</formula>
    </cfRule>
  </conditionalFormatting>
  <conditionalFormatting sqref="C736">
    <cfRule type="cellIs" dxfId="3894" priority="2205" stopIfTrue="1" operator="equal">
      <formula>"3 Delete"</formula>
    </cfRule>
  </conditionalFormatting>
  <conditionalFormatting sqref="C737">
    <cfRule type="cellIs" dxfId="3893" priority="2206" stopIfTrue="1" operator="equal">
      <formula>"1 Modify"</formula>
    </cfRule>
  </conditionalFormatting>
  <conditionalFormatting sqref="C737">
    <cfRule type="cellIs" dxfId="3892" priority="2207" stopIfTrue="1" operator="equal">
      <formula>"2 Add"</formula>
    </cfRule>
  </conditionalFormatting>
  <conditionalFormatting sqref="C737">
    <cfRule type="cellIs" dxfId="3891" priority="2208" stopIfTrue="1" operator="equal">
      <formula>"3 Delete"</formula>
    </cfRule>
  </conditionalFormatting>
  <conditionalFormatting sqref="C738">
    <cfRule type="cellIs" dxfId="3890" priority="2209" stopIfTrue="1" operator="equal">
      <formula>"1 Modify"</formula>
    </cfRule>
  </conditionalFormatting>
  <conditionalFormatting sqref="C738">
    <cfRule type="cellIs" dxfId="3889" priority="2210" stopIfTrue="1" operator="equal">
      <formula>"2 Add"</formula>
    </cfRule>
  </conditionalFormatting>
  <conditionalFormatting sqref="C738">
    <cfRule type="cellIs" dxfId="3888" priority="2211" stopIfTrue="1" operator="equal">
      <formula>"3 Delete"</formula>
    </cfRule>
  </conditionalFormatting>
  <conditionalFormatting sqref="C739">
    <cfRule type="cellIs" dxfId="3887" priority="2212" stopIfTrue="1" operator="equal">
      <formula>"1 Modify"</formula>
    </cfRule>
  </conditionalFormatting>
  <conditionalFormatting sqref="C739">
    <cfRule type="cellIs" dxfId="3886" priority="2213" stopIfTrue="1" operator="equal">
      <formula>"2 Add"</formula>
    </cfRule>
  </conditionalFormatting>
  <conditionalFormatting sqref="C739">
    <cfRule type="cellIs" dxfId="3885" priority="2214" stopIfTrue="1" operator="equal">
      <formula>"3 Delete"</formula>
    </cfRule>
  </conditionalFormatting>
  <conditionalFormatting sqref="C740">
    <cfRule type="cellIs" dxfId="3884" priority="2215" stopIfTrue="1" operator="equal">
      <formula>"1 Modify"</formula>
    </cfRule>
  </conditionalFormatting>
  <conditionalFormatting sqref="C740">
    <cfRule type="cellIs" dxfId="3883" priority="2216" stopIfTrue="1" operator="equal">
      <formula>"2 Add"</formula>
    </cfRule>
  </conditionalFormatting>
  <conditionalFormatting sqref="C740">
    <cfRule type="cellIs" dxfId="3882" priority="2217" stopIfTrue="1" operator="equal">
      <formula>"3 Delete"</formula>
    </cfRule>
  </conditionalFormatting>
  <conditionalFormatting sqref="C741">
    <cfRule type="cellIs" dxfId="3881" priority="2218" stopIfTrue="1" operator="equal">
      <formula>"1 Modify"</formula>
    </cfRule>
  </conditionalFormatting>
  <conditionalFormatting sqref="C741">
    <cfRule type="cellIs" dxfId="3880" priority="2219" stopIfTrue="1" operator="equal">
      <formula>"2 Add"</formula>
    </cfRule>
  </conditionalFormatting>
  <conditionalFormatting sqref="C741">
    <cfRule type="cellIs" dxfId="3879" priority="2220" stopIfTrue="1" operator="equal">
      <formula>"3 Delete"</formula>
    </cfRule>
  </conditionalFormatting>
  <conditionalFormatting sqref="C742">
    <cfRule type="cellIs" dxfId="3878" priority="2221" stopIfTrue="1" operator="equal">
      <formula>"1 Modify"</formula>
    </cfRule>
  </conditionalFormatting>
  <conditionalFormatting sqref="C742">
    <cfRule type="cellIs" dxfId="3877" priority="2222" stopIfTrue="1" operator="equal">
      <formula>"2 Add"</formula>
    </cfRule>
  </conditionalFormatting>
  <conditionalFormatting sqref="C742">
    <cfRule type="cellIs" dxfId="3876" priority="2223" stopIfTrue="1" operator="equal">
      <formula>"3 Delete"</formula>
    </cfRule>
  </conditionalFormatting>
  <conditionalFormatting sqref="C743">
    <cfRule type="cellIs" dxfId="3875" priority="2224" stopIfTrue="1" operator="equal">
      <formula>"1 Modify"</formula>
    </cfRule>
  </conditionalFormatting>
  <conditionalFormatting sqref="C743">
    <cfRule type="cellIs" dxfId="3874" priority="2225" stopIfTrue="1" operator="equal">
      <formula>"2 Add"</formula>
    </cfRule>
  </conditionalFormatting>
  <conditionalFormatting sqref="C743">
    <cfRule type="cellIs" dxfId="3873" priority="2226" stopIfTrue="1" operator="equal">
      <formula>"3 Delete"</formula>
    </cfRule>
  </conditionalFormatting>
  <conditionalFormatting sqref="C744">
    <cfRule type="cellIs" dxfId="3872" priority="2227" stopIfTrue="1" operator="equal">
      <formula>"1 Modify"</formula>
    </cfRule>
  </conditionalFormatting>
  <conditionalFormatting sqref="C744">
    <cfRule type="cellIs" dxfId="3871" priority="2228" stopIfTrue="1" operator="equal">
      <formula>"2 Add"</formula>
    </cfRule>
  </conditionalFormatting>
  <conditionalFormatting sqref="C744">
    <cfRule type="cellIs" dxfId="3870" priority="2229" stopIfTrue="1" operator="equal">
      <formula>"3 Delete"</formula>
    </cfRule>
  </conditionalFormatting>
  <conditionalFormatting sqref="C745">
    <cfRule type="cellIs" dxfId="3869" priority="2230" stopIfTrue="1" operator="equal">
      <formula>"1 Modify"</formula>
    </cfRule>
  </conditionalFormatting>
  <conditionalFormatting sqref="C745">
    <cfRule type="cellIs" dxfId="3868" priority="2231" stopIfTrue="1" operator="equal">
      <formula>"2 Add"</formula>
    </cfRule>
  </conditionalFormatting>
  <conditionalFormatting sqref="C745">
    <cfRule type="cellIs" dxfId="3867" priority="2232" stopIfTrue="1" operator="equal">
      <formula>"3 Delete"</formula>
    </cfRule>
  </conditionalFormatting>
  <conditionalFormatting sqref="C746">
    <cfRule type="cellIs" dxfId="3866" priority="2233" stopIfTrue="1" operator="equal">
      <formula>"1 Modify"</formula>
    </cfRule>
  </conditionalFormatting>
  <conditionalFormatting sqref="C746">
    <cfRule type="cellIs" dxfId="3865" priority="2234" stopIfTrue="1" operator="equal">
      <formula>"2 Add"</formula>
    </cfRule>
  </conditionalFormatting>
  <conditionalFormatting sqref="C746">
    <cfRule type="cellIs" dxfId="3864" priority="2235" stopIfTrue="1" operator="equal">
      <formula>"3 Delete"</formula>
    </cfRule>
  </conditionalFormatting>
  <conditionalFormatting sqref="C747">
    <cfRule type="cellIs" dxfId="3863" priority="2236" stopIfTrue="1" operator="equal">
      <formula>"1 Modify"</formula>
    </cfRule>
  </conditionalFormatting>
  <conditionalFormatting sqref="C747">
    <cfRule type="cellIs" dxfId="3862" priority="2237" stopIfTrue="1" operator="equal">
      <formula>"2 Add"</formula>
    </cfRule>
  </conditionalFormatting>
  <conditionalFormatting sqref="C747">
    <cfRule type="cellIs" dxfId="3861" priority="2238" stopIfTrue="1" operator="equal">
      <formula>"3 Delete"</formula>
    </cfRule>
  </conditionalFormatting>
  <conditionalFormatting sqref="C748">
    <cfRule type="cellIs" dxfId="3860" priority="2239" stopIfTrue="1" operator="equal">
      <formula>"1 Modify"</formula>
    </cfRule>
  </conditionalFormatting>
  <conditionalFormatting sqref="C748">
    <cfRule type="cellIs" dxfId="3859" priority="2240" stopIfTrue="1" operator="equal">
      <formula>"2 Add"</formula>
    </cfRule>
  </conditionalFormatting>
  <conditionalFormatting sqref="C748">
    <cfRule type="cellIs" dxfId="3858" priority="2241" stopIfTrue="1" operator="equal">
      <formula>"3 Delete"</formula>
    </cfRule>
  </conditionalFormatting>
  <conditionalFormatting sqref="C749">
    <cfRule type="cellIs" dxfId="3857" priority="2242" stopIfTrue="1" operator="equal">
      <formula>"1 Modify"</formula>
    </cfRule>
  </conditionalFormatting>
  <conditionalFormatting sqref="C749">
    <cfRule type="cellIs" dxfId="3856" priority="2243" stopIfTrue="1" operator="equal">
      <formula>"2 Add"</formula>
    </cfRule>
  </conditionalFormatting>
  <conditionalFormatting sqref="C749">
    <cfRule type="cellIs" dxfId="3855" priority="2244" stopIfTrue="1" operator="equal">
      <formula>"3 Delete"</formula>
    </cfRule>
  </conditionalFormatting>
  <conditionalFormatting sqref="C750">
    <cfRule type="cellIs" dxfId="3854" priority="2245" stopIfTrue="1" operator="equal">
      <formula>"1 Modify"</formula>
    </cfRule>
  </conditionalFormatting>
  <conditionalFormatting sqref="C750">
    <cfRule type="cellIs" dxfId="3853" priority="2246" stopIfTrue="1" operator="equal">
      <formula>"2 Add"</formula>
    </cfRule>
  </conditionalFormatting>
  <conditionalFormatting sqref="C750">
    <cfRule type="cellIs" dxfId="3852" priority="2247" stopIfTrue="1" operator="equal">
      <formula>"3 Delete"</formula>
    </cfRule>
  </conditionalFormatting>
  <conditionalFormatting sqref="C751">
    <cfRule type="cellIs" dxfId="3851" priority="2248" stopIfTrue="1" operator="equal">
      <formula>"1 Modify"</formula>
    </cfRule>
  </conditionalFormatting>
  <conditionalFormatting sqref="C751">
    <cfRule type="cellIs" dxfId="3850" priority="2249" stopIfTrue="1" operator="equal">
      <formula>"2 Add"</formula>
    </cfRule>
  </conditionalFormatting>
  <conditionalFormatting sqref="C751">
    <cfRule type="cellIs" dxfId="3849" priority="2250" stopIfTrue="1" operator="equal">
      <formula>"3 Delete"</formula>
    </cfRule>
  </conditionalFormatting>
  <conditionalFormatting sqref="C752">
    <cfRule type="cellIs" dxfId="3848" priority="2251" stopIfTrue="1" operator="equal">
      <formula>"1 Modify"</formula>
    </cfRule>
  </conditionalFormatting>
  <conditionalFormatting sqref="C752">
    <cfRule type="cellIs" dxfId="3847" priority="2252" stopIfTrue="1" operator="equal">
      <formula>"2 Add"</formula>
    </cfRule>
  </conditionalFormatting>
  <conditionalFormatting sqref="C752">
    <cfRule type="cellIs" dxfId="3846" priority="2253" stopIfTrue="1" operator="equal">
      <formula>"3 Delete"</formula>
    </cfRule>
  </conditionalFormatting>
  <conditionalFormatting sqref="C753">
    <cfRule type="cellIs" dxfId="3845" priority="2254" stopIfTrue="1" operator="equal">
      <formula>"1 Modify"</formula>
    </cfRule>
  </conditionalFormatting>
  <conditionalFormatting sqref="C753">
    <cfRule type="cellIs" dxfId="3844" priority="2255" stopIfTrue="1" operator="equal">
      <formula>"2 Add"</formula>
    </cfRule>
  </conditionalFormatting>
  <conditionalFormatting sqref="C753">
    <cfRule type="cellIs" dxfId="3843" priority="2256" stopIfTrue="1" operator="equal">
      <formula>"3 Delete"</formula>
    </cfRule>
  </conditionalFormatting>
  <conditionalFormatting sqref="C754">
    <cfRule type="cellIs" dxfId="3842" priority="2257" stopIfTrue="1" operator="equal">
      <formula>"1 Modify"</formula>
    </cfRule>
  </conditionalFormatting>
  <conditionalFormatting sqref="C754">
    <cfRule type="cellIs" dxfId="3841" priority="2258" stopIfTrue="1" operator="equal">
      <formula>"2 Add"</formula>
    </cfRule>
  </conditionalFormatting>
  <conditionalFormatting sqref="C754">
    <cfRule type="cellIs" dxfId="3840" priority="2259" stopIfTrue="1" operator="equal">
      <formula>"3 Delete"</formula>
    </cfRule>
  </conditionalFormatting>
  <conditionalFormatting sqref="C755">
    <cfRule type="cellIs" dxfId="3839" priority="2260" stopIfTrue="1" operator="equal">
      <formula>"1 Modify"</formula>
    </cfRule>
  </conditionalFormatting>
  <conditionalFormatting sqref="C755">
    <cfRule type="cellIs" dxfId="3838" priority="2261" stopIfTrue="1" operator="equal">
      <formula>"2 Add"</formula>
    </cfRule>
  </conditionalFormatting>
  <conditionalFormatting sqref="C755">
    <cfRule type="cellIs" dxfId="3837" priority="2262" stopIfTrue="1" operator="equal">
      <formula>"3 Delete"</formula>
    </cfRule>
  </conditionalFormatting>
  <conditionalFormatting sqref="C756">
    <cfRule type="cellIs" dxfId="3836" priority="2263" stopIfTrue="1" operator="equal">
      <formula>"1 Modify"</formula>
    </cfRule>
  </conditionalFormatting>
  <conditionalFormatting sqref="C756">
    <cfRule type="cellIs" dxfId="3835" priority="2264" stopIfTrue="1" operator="equal">
      <formula>"2 Add"</formula>
    </cfRule>
  </conditionalFormatting>
  <conditionalFormatting sqref="C756">
    <cfRule type="cellIs" dxfId="3834" priority="2265" stopIfTrue="1" operator="equal">
      <formula>"3 Delete"</formula>
    </cfRule>
  </conditionalFormatting>
  <conditionalFormatting sqref="C757">
    <cfRule type="cellIs" dxfId="3833" priority="2266" stopIfTrue="1" operator="equal">
      <formula>"1 Modify"</formula>
    </cfRule>
  </conditionalFormatting>
  <conditionalFormatting sqref="C757">
    <cfRule type="cellIs" dxfId="3832" priority="2267" stopIfTrue="1" operator="equal">
      <formula>"2 Add"</formula>
    </cfRule>
  </conditionalFormatting>
  <conditionalFormatting sqref="C757">
    <cfRule type="cellIs" dxfId="3831" priority="2268" stopIfTrue="1" operator="equal">
      <formula>"3 Delete"</formula>
    </cfRule>
  </conditionalFormatting>
  <conditionalFormatting sqref="C758">
    <cfRule type="cellIs" dxfId="3830" priority="2269" stopIfTrue="1" operator="equal">
      <formula>"1 Modify"</formula>
    </cfRule>
  </conditionalFormatting>
  <conditionalFormatting sqref="C758">
    <cfRule type="cellIs" dxfId="3829" priority="2270" stopIfTrue="1" operator="equal">
      <formula>"2 Add"</formula>
    </cfRule>
  </conditionalFormatting>
  <conditionalFormatting sqref="C758">
    <cfRule type="cellIs" dxfId="3828" priority="2271" stopIfTrue="1" operator="equal">
      <formula>"3 Delete"</formula>
    </cfRule>
  </conditionalFormatting>
  <conditionalFormatting sqref="C759">
    <cfRule type="cellIs" dxfId="3827" priority="2272" stopIfTrue="1" operator="equal">
      <formula>"1 Modify"</formula>
    </cfRule>
  </conditionalFormatting>
  <conditionalFormatting sqref="C759">
    <cfRule type="cellIs" dxfId="3826" priority="2273" stopIfTrue="1" operator="equal">
      <formula>"2 Add"</formula>
    </cfRule>
  </conditionalFormatting>
  <conditionalFormatting sqref="C759">
    <cfRule type="cellIs" dxfId="3825" priority="2274" stopIfTrue="1" operator="equal">
      <formula>"3 Delete"</formula>
    </cfRule>
  </conditionalFormatting>
  <conditionalFormatting sqref="C760">
    <cfRule type="cellIs" dxfId="3824" priority="2275" stopIfTrue="1" operator="equal">
      <formula>"1 Modify"</formula>
    </cfRule>
  </conditionalFormatting>
  <conditionalFormatting sqref="C760">
    <cfRule type="cellIs" dxfId="3823" priority="2276" stopIfTrue="1" operator="equal">
      <formula>"2 Add"</formula>
    </cfRule>
  </conditionalFormatting>
  <conditionalFormatting sqref="C760">
    <cfRule type="cellIs" dxfId="3822" priority="2277" stopIfTrue="1" operator="equal">
      <formula>"3 Delete"</formula>
    </cfRule>
  </conditionalFormatting>
  <conditionalFormatting sqref="C761">
    <cfRule type="cellIs" dxfId="3821" priority="2278" stopIfTrue="1" operator="equal">
      <formula>"1 Modify"</formula>
    </cfRule>
  </conditionalFormatting>
  <conditionalFormatting sqref="C761">
    <cfRule type="cellIs" dxfId="3820" priority="2279" stopIfTrue="1" operator="equal">
      <formula>"2 Add"</formula>
    </cfRule>
  </conditionalFormatting>
  <conditionalFormatting sqref="C761">
    <cfRule type="cellIs" dxfId="3819" priority="2280" stopIfTrue="1" operator="equal">
      <formula>"3 Delete"</formula>
    </cfRule>
  </conditionalFormatting>
  <conditionalFormatting sqref="C762">
    <cfRule type="cellIs" dxfId="3818" priority="2281" stopIfTrue="1" operator="equal">
      <formula>"1 Modify"</formula>
    </cfRule>
  </conditionalFormatting>
  <conditionalFormatting sqref="C762">
    <cfRule type="cellIs" dxfId="3817" priority="2282" stopIfTrue="1" operator="equal">
      <formula>"2 Add"</formula>
    </cfRule>
  </conditionalFormatting>
  <conditionalFormatting sqref="C762">
    <cfRule type="cellIs" dxfId="3816" priority="2283" stopIfTrue="1" operator="equal">
      <formula>"3 Delete"</formula>
    </cfRule>
  </conditionalFormatting>
  <conditionalFormatting sqref="C763">
    <cfRule type="cellIs" dxfId="3815" priority="2284" stopIfTrue="1" operator="equal">
      <formula>"1 Modify"</formula>
    </cfRule>
  </conditionalFormatting>
  <conditionalFormatting sqref="C763">
    <cfRule type="cellIs" dxfId="3814" priority="2285" stopIfTrue="1" operator="equal">
      <formula>"2 Add"</formula>
    </cfRule>
  </conditionalFormatting>
  <conditionalFormatting sqref="C763">
    <cfRule type="cellIs" dxfId="3813" priority="2286" stopIfTrue="1" operator="equal">
      <formula>"3 Delete"</formula>
    </cfRule>
  </conditionalFormatting>
  <conditionalFormatting sqref="C764">
    <cfRule type="cellIs" dxfId="3812" priority="2287" stopIfTrue="1" operator="equal">
      <formula>"1 Modify"</formula>
    </cfRule>
  </conditionalFormatting>
  <conditionalFormatting sqref="C764">
    <cfRule type="cellIs" dxfId="3811" priority="2288" stopIfTrue="1" operator="equal">
      <formula>"2 Add"</formula>
    </cfRule>
  </conditionalFormatting>
  <conditionalFormatting sqref="C764">
    <cfRule type="cellIs" dxfId="3810" priority="2289" stopIfTrue="1" operator="equal">
      <formula>"3 Delete"</formula>
    </cfRule>
  </conditionalFormatting>
  <conditionalFormatting sqref="C765">
    <cfRule type="cellIs" dxfId="3809" priority="2290" stopIfTrue="1" operator="equal">
      <formula>"1 Modify"</formula>
    </cfRule>
  </conditionalFormatting>
  <conditionalFormatting sqref="C765">
    <cfRule type="cellIs" dxfId="3808" priority="2291" stopIfTrue="1" operator="equal">
      <formula>"2 Add"</formula>
    </cfRule>
  </conditionalFormatting>
  <conditionalFormatting sqref="C765">
    <cfRule type="cellIs" dxfId="3807" priority="2292" stopIfTrue="1" operator="equal">
      <formula>"3 Delete"</formula>
    </cfRule>
  </conditionalFormatting>
  <conditionalFormatting sqref="C766">
    <cfRule type="cellIs" dxfId="3806" priority="2293" stopIfTrue="1" operator="equal">
      <formula>"1 Modify"</formula>
    </cfRule>
  </conditionalFormatting>
  <conditionalFormatting sqref="C766">
    <cfRule type="cellIs" dxfId="3805" priority="2294" stopIfTrue="1" operator="equal">
      <formula>"2 Add"</formula>
    </cfRule>
  </conditionalFormatting>
  <conditionalFormatting sqref="C766">
    <cfRule type="cellIs" dxfId="3804" priority="2295" stopIfTrue="1" operator="equal">
      <formula>"3 Delete"</formula>
    </cfRule>
  </conditionalFormatting>
  <conditionalFormatting sqref="C767">
    <cfRule type="cellIs" dxfId="3803" priority="2296" stopIfTrue="1" operator="equal">
      <formula>"1 Modify"</formula>
    </cfRule>
  </conditionalFormatting>
  <conditionalFormatting sqref="C767">
    <cfRule type="cellIs" dxfId="3802" priority="2297" stopIfTrue="1" operator="equal">
      <formula>"2 Add"</formula>
    </cfRule>
  </conditionalFormatting>
  <conditionalFormatting sqref="C767">
    <cfRule type="cellIs" dxfId="3801" priority="2298" stopIfTrue="1" operator="equal">
      <formula>"3 Delete"</formula>
    </cfRule>
  </conditionalFormatting>
  <conditionalFormatting sqref="C768">
    <cfRule type="cellIs" dxfId="3800" priority="2299" stopIfTrue="1" operator="equal">
      <formula>"1 Modify"</formula>
    </cfRule>
  </conditionalFormatting>
  <conditionalFormatting sqref="C768">
    <cfRule type="cellIs" dxfId="3799" priority="2300" stopIfTrue="1" operator="equal">
      <formula>"2 Add"</formula>
    </cfRule>
  </conditionalFormatting>
  <conditionalFormatting sqref="C768">
    <cfRule type="cellIs" dxfId="3798" priority="2301" stopIfTrue="1" operator="equal">
      <formula>"3 Delete"</formula>
    </cfRule>
  </conditionalFormatting>
  <conditionalFormatting sqref="C769">
    <cfRule type="cellIs" dxfId="3797" priority="2302" stopIfTrue="1" operator="equal">
      <formula>"1 Modify"</formula>
    </cfRule>
  </conditionalFormatting>
  <conditionalFormatting sqref="C769">
    <cfRule type="cellIs" dxfId="3796" priority="2303" stopIfTrue="1" operator="equal">
      <formula>"2 Add"</formula>
    </cfRule>
  </conditionalFormatting>
  <conditionalFormatting sqref="C769">
    <cfRule type="cellIs" dxfId="3795" priority="2304" stopIfTrue="1" operator="equal">
      <formula>"3 Delete"</formula>
    </cfRule>
  </conditionalFormatting>
  <conditionalFormatting sqref="C770">
    <cfRule type="cellIs" dxfId="3794" priority="2305" stopIfTrue="1" operator="equal">
      <formula>"1 Modify"</formula>
    </cfRule>
  </conditionalFormatting>
  <conditionalFormatting sqref="C770">
    <cfRule type="cellIs" dxfId="3793" priority="2306" stopIfTrue="1" operator="equal">
      <formula>"2 Add"</formula>
    </cfRule>
  </conditionalFormatting>
  <conditionalFormatting sqref="C770">
    <cfRule type="cellIs" dxfId="3792" priority="2307" stopIfTrue="1" operator="equal">
      <formula>"3 Delete"</formula>
    </cfRule>
  </conditionalFormatting>
  <conditionalFormatting sqref="C771">
    <cfRule type="cellIs" dxfId="3791" priority="2308" stopIfTrue="1" operator="equal">
      <formula>"1 Modify"</formula>
    </cfRule>
  </conditionalFormatting>
  <conditionalFormatting sqref="C771">
    <cfRule type="cellIs" dxfId="3790" priority="2309" stopIfTrue="1" operator="equal">
      <formula>"2 Add"</formula>
    </cfRule>
  </conditionalFormatting>
  <conditionalFormatting sqref="C771">
    <cfRule type="cellIs" dxfId="3789" priority="2310" stopIfTrue="1" operator="equal">
      <formula>"3 Delete"</formula>
    </cfRule>
  </conditionalFormatting>
  <conditionalFormatting sqref="C772">
    <cfRule type="cellIs" dxfId="3788" priority="2311" stopIfTrue="1" operator="equal">
      <formula>"1 Modify"</formula>
    </cfRule>
  </conditionalFormatting>
  <conditionalFormatting sqref="C772">
    <cfRule type="cellIs" dxfId="3787" priority="2312" stopIfTrue="1" operator="equal">
      <formula>"2 Add"</formula>
    </cfRule>
  </conditionalFormatting>
  <conditionalFormatting sqref="C772">
    <cfRule type="cellIs" dxfId="3786" priority="2313" stopIfTrue="1" operator="equal">
      <formula>"3 Delete"</formula>
    </cfRule>
  </conditionalFormatting>
  <conditionalFormatting sqref="C773">
    <cfRule type="cellIs" dxfId="3785" priority="2314" stopIfTrue="1" operator="equal">
      <formula>"1 Modify"</formula>
    </cfRule>
  </conditionalFormatting>
  <conditionalFormatting sqref="C773">
    <cfRule type="cellIs" dxfId="3784" priority="2315" stopIfTrue="1" operator="equal">
      <formula>"2 Add"</formula>
    </cfRule>
  </conditionalFormatting>
  <conditionalFormatting sqref="C773">
    <cfRule type="cellIs" dxfId="3783" priority="2316" stopIfTrue="1" operator="equal">
      <formula>"3 Delete"</formula>
    </cfRule>
  </conditionalFormatting>
  <conditionalFormatting sqref="C774">
    <cfRule type="cellIs" dxfId="3782" priority="2317" stopIfTrue="1" operator="equal">
      <formula>"1 Modify"</formula>
    </cfRule>
  </conditionalFormatting>
  <conditionalFormatting sqref="C774">
    <cfRule type="cellIs" dxfId="3781" priority="2318" stopIfTrue="1" operator="equal">
      <formula>"2 Add"</formula>
    </cfRule>
  </conditionalFormatting>
  <conditionalFormatting sqref="C774">
    <cfRule type="cellIs" dxfId="3780" priority="2319" stopIfTrue="1" operator="equal">
      <formula>"3 Delete"</formula>
    </cfRule>
  </conditionalFormatting>
  <conditionalFormatting sqref="C775">
    <cfRule type="cellIs" dxfId="3779" priority="2320" stopIfTrue="1" operator="equal">
      <formula>"1 Modify"</formula>
    </cfRule>
  </conditionalFormatting>
  <conditionalFormatting sqref="C775">
    <cfRule type="cellIs" dxfId="3778" priority="2321" stopIfTrue="1" operator="equal">
      <formula>"2 Add"</formula>
    </cfRule>
  </conditionalFormatting>
  <conditionalFormatting sqref="C775">
    <cfRule type="cellIs" dxfId="3777" priority="2322" stopIfTrue="1" operator="equal">
      <formula>"3 Delete"</formula>
    </cfRule>
  </conditionalFormatting>
  <conditionalFormatting sqref="C776">
    <cfRule type="cellIs" dxfId="3776" priority="2323" stopIfTrue="1" operator="equal">
      <formula>"1 Modify"</formula>
    </cfRule>
  </conditionalFormatting>
  <conditionalFormatting sqref="C776">
    <cfRule type="cellIs" dxfId="3775" priority="2324" stopIfTrue="1" operator="equal">
      <formula>"2 Add"</formula>
    </cfRule>
  </conditionalFormatting>
  <conditionalFormatting sqref="C776">
    <cfRule type="cellIs" dxfId="3774" priority="2325" stopIfTrue="1" operator="equal">
      <formula>"3 Delete"</formula>
    </cfRule>
  </conditionalFormatting>
  <conditionalFormatting sqref="C777">
    <cfRule type="cellIs" dxfId="3773" priority="2326" stopIfTrue="1" operator="equal">
      <formula>"1 Modify"</formula>
    </cfRule>
  </conditionalFormatting>
  <conditionalFormatting sqref="C777">
    <cfRule type="cellIs" dxfId="3772" priority="2327" stopIfTrue="1" operator="equal">
      <formula>"2 Add"</formula>
    </cfRule>
  </conditionalFormatting>
  <conditionalFormatting sqref="C777">
    <cfRule type="cellIs" dxfId="3771" priority="2328" stopIfTrue="1" operator="equal">
      <formula>"3 Delete"</formula>
    </cfRule>
  </conditionalFormatting>
  <conditionalFormatting sqref="C778">
    <cfRule type="cellIs" dxfId="3770" priority="2329" stopIfTrue="1" operator="equal">
      <formula>"1 Modify"</formula>
    </cfRule>
  </conditionalFormatting>
  <conditionalFormatting sqref="C778">
    <cfRule type="cellIs" dxfId="3769" priority="2330" stopIfTrue="1" operator="equal">
      <formula>"2 Add"</formula>
    </cfRule>
  </conditionalFormatting>
  <conditionalFormatting sqref="C778">
    <cfRule type="cellIs" dxfId="3768" priority="2331" stopIfTrue="1" operator="equal">
      <formula>"3 Delete"</formula>
    </cfRule>
  </conditionalFormatting>
  <conditionalFormatting sqref="C779">
    <cfRule type="cellIs" dxfId="3767" priority="2332" stopIfTrue="1" operator="equal">
      <formula>"1 Modify"</formula>
    </cfRule>
  </conditionalFormatting>
  <conditionalFormatting sqref="C779">
    <cfRule type="cellIs" dxfId="3766" priority="2333" stopIfTrue="1" operator="equal">
      <formula>"2 Add"</formula>
    </cfRule>
  </conditionalFormatting>
  <conditionalFormatting sqref="C779">
    <cfRule type="cellIs" dxfId="3765" priority="2334" stopIfTrue="1" operator="equal">
      <formula>"3 Delete"</formula>
    </cfRule>
  </conditionalFormatting>
  <conditionalFormatting sqref="C780">
    <cfRule type="cellIs" dxfId="3764" priority="2335" stopIfTrue="1" operator="equal">
      <formula>"1 Modify"</formula>
    </cfRule>
  </conditionalFormatting>
  <conditionalFormatting sqref="C780">
    <cfRule type="cellIs" dxfId="3763" priority="2336" stopIfTrue="1" operator="equal">
      <formula>"2 Add"</formula>
    </cfRule>
  </conditionalFormatting>
  <conditionalFormatting sqref="C780">
    <cfRule type="cellIs" dxfId="3762" priority="2337" stopIfTrue="1" operator="equal">
      <formula>"3 Delete"</formula>
    </cfRule>
  </conditionalFormatting>
  <conditionalFormatting sqref="C781">
    <cfRule type="cellIs" dxfId="3761" priority="2338" stopIfTrue="1" operator="equal">
      <formula>"1 Modify"</formula>
    </cfRule>
  </conditionalFormatting>
  <conditionalFormatting sqref="C781">
    <cfRule type="cellIs" dxfId="3760" priority="2339" stopIfTrue="1" operator="equal">
      <formula>"2 Add"</formula>
    </cfRule>
  </conditionalFormatting>
  <conditionalFormatting sqref="C781">
    <cfRule type="cellIs" dxfId="3759" priority="2340" stopIfTrue="1" operator="equal">
      <formula>"3 Delete"</formula>
    </cfRule>
  </conditionalFormatting>
  <conditionalFormatting sqref="C782">
    <cfRule type="cellIs" dxfId="3758" priority="2341" stopIfTrue="1" operator="equal">
      <formula>"1 Modify"</formula>
    </cfRule>
  </conditionalFormatting>
  <conditionalFormatting sqref="C782">
    <cfRule type="cellIs" dxfId="3757" priority="2342" stopIfTrue="1" operator="equal">
      <formula>"2 Add"</formula>
    </cfRule>
  </conditionalFormatting>
  <conditionalFormatting sqref="C782">
    <cfRule type="cellIs" dxfId="3756" priority="2343" stopIfTrue="1" operator="equal">
      <formula>"3 Delete"</formula>
    </cfRule>
  </conditionalFormatting>
  <conditionalFormatting sqref="C783">
    <cfRule type="cellIs" dxfId="3755" priority="2344" stopIfTrue="1" operator="equal">
      <formula>"1 Modify"</formula>
    </cfRule>
  </conditionalFormatting>
  <conditionalFormatting sqref="C783">
    <cfRule type="cellIs" dxfId="3754" priority="2345" stopIfTrue="1" operator="equal">
      <formula>"2 Add"</formula>
    </cfRule>
  </conditionalFormatting>
  <conditionalFormatting sqref="C783">
    <cfRule type="cellIs" dxfId="3753" priority="2346" stopIfTrue="1" operator="equal">
      <formula>"3 Delete"</formula>
    </cfRule>
  </conditionalFormatting>
  <conditionalFormatting sqref="C784">
    <cfRule type="cellIs" dxfId="3752" priority="2347" stopIfTrue="1" operator="equal">
      <formula>"1 Modify"</formula>
    </cfRule>
  </conditionalFormatting>
  <conditionalFormatting sqref="C784">
    <cfRule type="cellIs" dxfId="3751" priority="2348" stopIfTrue="1" operator="equal">
      <formula>"2 Add"</formula>
    </cfRule>
  </conditionalFormatting>
  <conditionalFormatting sqref="C784">
    <cfRule type="cellIs" dxfId="3750" priority="2349" stopIfTrue="1" operator="equal">
      <formula>"3 Delete"</formula>
    </cfRule>
  </conditionalFormatting>
  <conditionalFormatting sqref="C785">
    <cfRule type="cellIs" dxfId="3749" priority="2350" stopIfTrue="1" operator="equal">
      <formula>"1 Modify"</formula>
    </cfRule>
  </conditionalFormatting>
  <conditionalFormatting sqref="C785">
    <cfRule type="cellIs" dxfId="3748" priority="2351" stopIfTrue="1" operator="equal">
      <formula>"2 Add"</formula>
    </cfRule>
  </conditionalFormatting>
  <conditionalFormatting sqref="C785">
    <cfRule type="cellIs" dxfId="3747" priority="2352" stopIfTrue="1" operator="equal">
      <formula>"3 Delete"</formula>
    </cfRule>
  </conditionalFormatting>
  <conditionalFormatting sqref="C786">
    <cfRule type="cellIs" dxfId="3746" priority="2353" stopIfTrue="1" operator="equal">
      <formula>"1 Modify"</formula>
    </cfRule>
  </conditionalFormatting>
  <conditionalFormatting sqref="C786">
    <cfRule type="cellIs" dxfId="3745" priority="2354" stopIfTrue="1" operator="equal">
      <formula>"2 Add"</formula>
    </cfRule>
  </conditionalFormatting>
  <conditionalFormatting sqref="C786">
    <cfRule type="cellIs" dxfId="3744" priority="2355" stopIfTrue="1" operator="equal">
      <formula>"3 Delete"</formula>
    </cfRule>
  </conditionalFormatting>
  <conditionalFormatting sqref="C787">
    <cfRule type="cellIs" dxfId="3743" priority="2356" stopIfTrue="1" operator="equal">
      <formula>"1 Modify"</formula>
    </cfRule>
  </conditionalFormatting>
  <conditionalFormatting sqref="C787">
    <cfRule type="cellIs" dxfId="3742" priority="2357" stopIfTrue="1" operator="equal">
      <formula>"2 Add"</formula>
    </cfRule>
  </conditionalFormatting>
  <conditionalFormatting sqref="C787">
    <cfRule type="cellIs" dxfId="3741" priority="2358" stopIfTrue="1" operator="equal">
      <formula>"3 Delete"</formula>
    </cfRule>
  </conditionalFormatting>
  <conditionalFormatting sqref="C788">
    <cfRule type="cellIs" dxfId="3740" priority="2359" stopIfTrue="1" operator="equal">
      <formula>"1 Modify"</formula>
    </cfRule>
  </conditionalFormatting>
  <conditionalFormatting sqref="C788">
    <cfRule type="cellIs" dxfId="3739" priority="2360" stopIfTrue="1" operator="equal">
      <formula>"2 Add"</formula>
    </cfRule>
  </conditionalFormatting>
  <conditionalFormatting sqref="C788">
    <cfRule type="cellIs" dxfId="3738" priority="2361" stopIfTrue="1" operator="equal">
      <formula>"3 Delete"</formula>
    </cfRule>
  </conditionalFormatting>
  <conditionalFormatting sqref="C789">
    <cfRule type="cellIs" dxfId="3737" priority="2362" stopIfTrue="1" operator="equal">
      <formula>"1 Modify"</formula>
    </cfRule>
  </conditionalFormatting>
  <conditionalFormatting sqref="C789">
    <cfRule type="cellIs" dxfId="3736" priority="2363" stopIfTrue="1" operator="equal">
      <formula>"2 Add"</formula>
    </cfRule>
  </conditionalFormatting>
  <conditionalFormatting sqref="C789">
    <cfRule type="cellIs" dxfId="3735" priority="2364" stopIfTrue="1" operator="equal">
      <formula>"3 Delete"</formula>
    </cfRule>
  </conditionalFormatting>
  <conditionalFormatting sqref="C790">
    <cfRule type="cellIs" dxfId="3734" priority="2365" stopIfTrue="1" operator="equal">
      <formula>"1 Modify"</formula>
    </cfRule>
  </conditionalFormatting>
  <conditionalFormatting sqref="C790">
    <cfRule type="cellIs" dxfId="3733" priority="2366" stopIfTrue="1" operator="equal">
      <formula>"2 Add"</formula>
    </cfRule>
  </conditionalFormatting>
  <conditionalFormatting sqref="C790">
    <cfRule type="cellIs" dxfId="3732" priority="2367" stopIfTrue="1" operator="equal">
      <formula>"3 Delete"</formula>
    </cfRule>
  </conditionalFormatting>
  <conditionalFormatting sqref="C791">
    <cfRule type="cellIs" dxfId="3731" priority="2368" stopIfTrue="1" operator="equal">
      <formula>"1 Modify"</formula>
    </cfRule>
  </conditionalFormatting>
  <conditionalFormatting sqref="C791">
    <cfRule type="cellIs" dxfId="3730" priority="2369" stopIfTrue="1" operator="equal">
      <formula>"2 Add"</formula>
    </cfRule>
  </conditionalFormatting>
  <conditionalFormatting sqref="C791">
    <cfRule type="cellIs" dxfId="3729" priority="2370" stopIfTrue="1" operator="equal">
      <formula>"3 Delete"</formula>
    </cfRule>
  </conditionalFormatting>
  <conditionalFormatting sqref="C792">
    <cfRule type="cellIs" dxfId="3728" priority="2371" stopIfTrue="1" operator="equal">
      <formula>"1 Modify"</formula>
    </cfRule>
  </conditionalFormatting>
  <conditionalFormatting sqref="C792">
    <cfRule type="cellIs" dxfId="3727" priority="2372" stopIfTrue="1" operator="equal">
      <formula>"2 Add"</formula>
    </cfRule>
  </conditionalFormatting>
  <conditionalFormatting sqref="C792">
    <cfRule type="cellIs" dxfId="3726" priority="2373" stopIfTrue="1" operator="equal">
      <formula>"3 Delete"</formula>
    </cfRule>
  </conditionalFormatting>
  <conditionalFormatting sqref="C793">
    <cfRule type="cellIs" dxfId="3725" priority="2374" stopIfTrue="1" operator="equal">
      <formula>"1 Modify"</formula>
    </cfRule>
  </conditionalFormatting>
  <conditionalFormatting sqref="C793">
    <cfRule type="cellIs" dxfId="3724" priority="2375" stopIfTrue="1" operator="equal">
      <formula>"2 Add"</formula>
    </cfRule>
  </conditionalFormatting>
  <conditionalFormatting sqref="C793">
    <cfRule type="cellIs" dxfId="3723" priority="2376" stopIfTrue="1" operator="equal">
      <formula>"3 Delete"</formula>
    </cfRule>
  </conditionalFormatting>
  <conditionalFormatting sqref="C794">
    <cfRule type="cellIs" dxfId="3722" priority="2377" stopIfTrue="1" operator="equal">
      <formula>"1 Modify"</formula>
    </cfRule>
  </conditionalFormatting>
  <conditionalFormatting sqref="C794">
    <cfRule type="cellIs" dxfId="3721" priority="2378" stopIfTrue="1" operator="equal">
      <formula>"2 Add"</formula>
    </cfRule>
  </conditionalFormatting>
  <conditionalFormatting sqref="C794">
    <cfRule type="cellIs" dxfId="3720" priority="2379" stopIfTrue="1" operator="equal">
      <formula>"3 Delete"</formula>
    </cfRule>
  </conditionalFormatting>
  <conditionalFormatting sqref="C795">
    <cfRule type="cellIs" dxfId="3719" priority="2380" stopIfTrue="1" operator="equal">
      <formula>"1 Modify"</formula>
    </cfRule>
  </conditionalFormatting>
  <conditionalFormatting sqref="C795">
    <cfRule type="cellIs" dxfId="3718" priority="2381" stopIfTrue="1" operator="equal">
      <formula>"2 Add"</formula>
    </cfRule>
  </conditionalFormatting>
  <conditionalFormatting sqref="C795">
    <cfRule type="cellIs" dxfId="3717" priority="2382" stopIfTrue="1" operator="equal">
      <formula>"3 Delete"</formula>
    </cfRule>
  </conditionalFormatting>
  <conditionalFormatting sqref="C796">
    <cfRule type="cellIs" dxfId="3716" priority="2383" stopIfTrue="1" operator="equal">
      <formula>"1 Modify"</formula>
    </cfRule>
  </conditionalFormatting>
  <conditionalFormatting sqref="C796">
    <cfRule type="cellIs" dxfId="3715" priority="2384" stopIfTrue="1" operator="equal">
      <formula>"2 Add"</formula>
    </cfRule>
  </conditionalFormatting>
  <conditionalFormatting sqref="C796">
    <cfRule type="cellIs" dxfId="3714" priority="2385" stopIfTrue="1" operator="equal">
      <formula>"3 Delete"</formula>
    </cfRule>
  </conditionalFormatting>
  <conditionalFormatting sqref="C797">
    <cfRule type="cellIs" dxfId="3713" priority="2386" stopIfTrue="1" operator="equal">
      <formula>"1 Modify"</formula>
    </cfRule>
  </conditionalFormatting>
  <conditionalFormatting sqref="C797">
    <cfRule type="cellIs" dxfId="3712" priority="2387" stopIfTrue="1" operator="equal">
      <formula>"2 Add"</formula>
    </cfRule>
  </conditionalFormatting>
  <conditionalFormatting sqref="C797">
    <cfRule type="cellIs" dxfId="3711" priority="2388" stopIfTrue="1" operator="equal">
      <formula>"3 Delete"</formula>
    </cfRule>
  </conditionalFormatting>
  <conditionalFormatting sqref="C798">
    <cfRule type="cellIs" dxfId="3710" priority="2389" stopIfTrue="1" operator="equal">
      <formula>"1 Modify"</formula>
    </cfRule>
  </conditionalFormatting>
  <conditionalFormatting sqref="C798">
    <cfRule type="cellIs" dxfId="3709" priority="2390" stopIfTrue="1" operator="equal">
      <formula>"2 Add"</formula>
    </cfRule>
  </conditionalFormatting>
  <conditionalFormatting sqref="C798">
    <cfRule type="cellIs" dxfId="3708" priority="2391" stopIfTrue="1" operator="equal">
      <formula>"3 Delete"</formula>
    </cfRule>
  </conditionalFormatting>
  <conditionalFormatting sqref="C799">
    <cfRule type="cellIs" dxfId="3707" priority="2392" stopIfTrue="1" operator="equal">
      <formula>"1 Modify"</formula>
    </cfRule>
  </conditionalFormatting>
  <conditionalFormatting sqref="C799">
    <cfRule type="cellIs" dxfId="3706" priority="2393" stopIfTrue="1" operator="equal">
      <formula>"2 Add"</formula>
    </cfRule>
  </conditionalFormatting>
  <conditionalFormatting sqref="C799">
    <cfRule type="cellIs" dxfId="3705" priority="2394" stopIfTrue="1" operator="equal">
      <formula>"3 Delete"</formula>
    </cfRule>
  </conditionalFormatting>
  <conditionalFormatting sqref="C800">
    <cfRule type="cellIs" dxfId="3704" priority="2395" stopIfTrue="1" operator="equal">
      <formula>"1 Modify"</formula>
    </cfRule>
  </conditionalFormatting>
  <conditionalFormatting sqref="C800">
    <cfRule type="cellIs" dxfId="3703" priority="2396" stopIfTrue="1" operator="equal">
      <formula>"2 Add"</formula>
    </cfRule>
  </conditionalFormatting>
  <conditionalFormatting sqref="C800">
    <cfRule type="cellIs" dxfId="3702" priority="2397" stopIfTrue="1" operator="equal">
      <formula>"3 Delete"</formula>
    </cfRule>
  </conditionalFormatting>
  <conditionalFormatting sqref="C801">
    <cfRule type="cellIs" dxfId="3701" priority="2398" stopIfTrue="1" operator="equal">
      <formula>"1 Modify"</formula>
    </cfRule>
  </conditionalFormatting>
  <conditionalFormatting sqref="C801">
    <cfRule type="cellIs" dxfId="3700" priority="2399" stopIfTrue="1" operator="equal">
      <formula>"2 Add"</formula>
    </cfRule>
  </conditionalFormatting>
  <conditionalFormatting sqref="C801">
    <cfRule type="cellIs" dxfId="3699" priority="2400" stopIfTrue="1" operator="equal">
      <formula>"3 Delete"</formula>
    </cfRule>
  </conditionalFormatting>
  <conditionalFormatting sqref="C802">
    <cfRule type="cellIs" dxfId="3698" priority="2401" stopIfTrue="1" operator="equal">
      <formula>"1 Modify"</formula>
    </cfRule>
  </conditionalFormatting>
  <conditionalFormatting sqref="C802">
    <cfRule type="cellIs" dxfId="3697" priority="2402" stopIfTrue="1" operator="equal">
      <formula>"2 Add"</formula>
    </cfRule>
  </conditionalFormatting>
  <conditionalFormatting sqref="C802">
    <cfRule type="cellIs" dxfId="3696" priority="2403" stopIfTrue="1" operator="equal">
      <formula>"3 Delete"</formula>
    </cfRule>
  </conditionalFormatting>
  <conditionalFormatting sqref="C803">
    <cfRule type="cellIs" dxfId="3695" priority="2404" stopIfTrue="1" operator="equal">
      <formula>"1 Modify"</formula>
    </cfRule>
  </conditionalFormatting>
  <conditionalFormatting sqref="C803">
    <cfRule type="cellIs" dxfId="3694" priority="2405" stopIfTrue="1" operator="equal">
      <formula>"2 Add"</formula>
    </cfRule>
  </conditionalFormatting>
  <conditionalFormatting sqref="C803">
    <cfRule type="cellIs" dxfId="3693" priority="2406" stopIfTrue="1" operator="equal">
      <formula>"3 Delete"</formula>
    </cfRule>
  </conditionalFormatting>
  <conditionalFormatting sqref="C804">
    <cfRule type="cellIs" dxfId="3692" priority="2407" stopIfTrue="1" operator="equal">
      <formula>"1 Modify"</formula>
    </cfRule>
  </conditionalFormatting>
  <conditionalFormatting sqref="C804">
    <cfRule type="cellIs" dxfId="3691" priority="2408" stopIfTrue="1" operator="equal">
      <formula>"2 Add"</formula>
    </cfRule>
  </conditionalFormatting>
  <conditionalFormatting sqref="C804">
    <cfRule type="cellIs" dxfId="3690" priority="2409" stopIfTrue="1" operator="equal">
      <formula>"3 Delete"</formula>
    </cfRule>
  </conditionalFormatting>
  <conditionalFormatting sqref="C805">
    <cfRule type="cellIs" dxfId="3689" priority="2410" stopIfTrue="1" operator="equal">
      <formula>"1 Modify"</formula>
    </cfRule>
  </conditionalFormatting>
  <conditionalFormatting sqref="C805">
    <cfRule type="cellIs" dxfId="3688" priority="2411" stopIfTrue="1" operator="equal">
      <formula>"2 Add"</formula>
    </cfRule>
  </conditionalFormatting>
  <conditionalFormatting sqref="C805">
    <cfRule type="cellIs" dxfId="3687" priority="2412" stopIfTrue="1" operator="equal">
      <formula>"3 Delete"</formula>
    </cfRule>
  </conditionalFormatting>
  <conditionalFormatting sqref="C806">
    <cfRule type="cellIs" dxfId="3686" priority="2413" stopIfTrue="1" operator="equal">
      <formula>"1 Modify"</formula>
    </cfRule>
  </conditionalFormatting>
  <conditionalFormatting sqref="C806">
    <cfRule type="cellIs" dxfId="3685" priority="2414" stopIfTrue="1" operator="equal">
      <formula>"2 Add"</formula>
    </cfRule>
  </conditionalFormatting>
  <conditionalFormatting sqref="C806">
    <cfRule type="cellIs" dxfId="3684" priority="2415" stopIfTrue="1" operator="equal">
      <formula>"3 Delete"</formula>
    </cfRule>
  </conditionalFormatting>
  <conditionalFormatting sqref="C807">
    <cfRule type="cellIs" dxfId="3683" priority="2416" stopIfTrue="1" operator="equal">
      <formula>"1 Modify"</formula>
    </cfRule>
  </conditionalFormatting>
  <conditionalFormatting sqref="C807">
    <cfRule type="cellIs" dxfId="3682" priority="2417" stopIfTrue="1" operator="equal">
      <formula>"2 Add"</formula>
    </cfRule>
  </conditionalFormatting>
  <conditionalFormatting sqref="C807">
    <cfRule type="cellIs" dxfId="3681" priority="2418" stopIfTrue="1" operator="equal">
      <formula>"3 Delete"</formula>
    </cfRule>
  </conditionalFormatting>
  <conditionalFormatting sqref="C808">
    <cfRule type="cellIs" dxfId="3680" priority="2419" stopIfTrue="1" operator="equal">
      <formula>"1 Modify"</formula>
    </cfRule>
  </conditionalFormatting>
  <conditionalFormatting sqref="C808">
    <cfRule type="cellIs" dxfId="3679" priority="2420" stopIfTrue="1" operator="equal">
      <formula>"2 Add"</formula>
    </cfRule>
  </conditionalFormatting>
  <conditionalFormatting sqref="C808">
    <cfRule type="cellIs" dxfId="3678" priority="2421" stopIfTrue="1" operator="equal">
      <formula>"3 Delete"</formula>
    </cfRule>
  </conditionalFormatting>
  <conditionalFormatting sqref="C809">
    <cfRule type="cellIs" dxfId="3677" priority="2422" stopIfTrue="1" operator="equal">
      <formula>"1 Modify"</formula>
    </cfRule>
  </conditionalFormatting>
  <conditionalFormatting sqref="C809">
    <cfRule type="cellIs" dxfId="3676" priority="2423" stopIfTrue="1" operator="equal">
      <formula>"2 Add"</formula>
    </cfRule>
  </conditionalFormatting>
  <conditionalFormatting sqref="C809">
    <cfRule type="cellIs" dxfId="3675" priority="2424" stopIfTrue="1" operator="equal">
      <formula>"3 Delete"</formula>
    </cfRule>
  </conditionalFormatting>
  <conditionalFormatting sqref="C810">
    <cfRule type="cellIs" dxfId="3674" priority="2425" stopIfTrue="1" operator="equal">
      <formula>"1 Modify"</formula>
    </cfRule>
  </conditionalFormatting>
  <conditionalFormatting sqref="C810">
    <cfRule type="cellIs" dxfId="3673" priority="2426" stopIfTrue="1" operator="equal">
      <formula>"2 Add"</formula>
    </cfRule>
  </conditionalFormatting>
  <conditionalFormatting sqref="C810">
    <cfRule type="cellIs" dxfId="3672" priority="2427" stopIfTrue="1" operator="equal">
      <formula>"3 Delete"</formula>
    </cfRule>
  </conditionalFormatting>
  <conditionalFormatting sqref="C811">
    <cfRule type="cellIs" dxfId="3671" priority="2428" stopIfTrue="1" operator="equal">
      <formula>"1 Modify"</formula>
    </cfRule>
  </conditionalFormatting>
  <conditionalFormatting sqref="C811">
    <cfRule type="cellIs" dxfId="3670" priority="2429" stopIfTrue="1" operator="equal">
      <formula>"2 Add"</formula>
    </cfRule>
  </conditionalFormatting>
  <conditionalFormatting sqref="C811">
    <cfRule type="cellIs" dxfId="3669" priority="2430" stopIfTrue="1" operator="equal">
      <formula>"3 Delete"</formula>
    </cfRule>
  </conditionalFormatting>
  <conditionalFormatting sqref="C812">
    <cfRule type="cellIs" dxfId="3668" priority="2431" stopIfTrue="1" operator="equal">
      <formula>"1 Modify"</formula>
    </cfRule>
  </conditionalFormatting>
  <conditionalFormatting sqref="C812">
    <cfRule type="cellIs" dxfId="3667" priority="2432" stopIfTrue="1" operator="equal">
      <formula>"2 Add"</formula>
    </cfRule>
  </conditionalFormatting>
  <conditionalFormatting sqref="C812">
    <cfRule type="cellIs" dxfId="3666" priority="2433" stopIfTrue="1" operator="equal">
      <formula>"3 Delete"</formula>
    </cfRule>
  </conditionalFormatting>
  <conditionalFormatting sqref="C813">
    <cfRule type="cellIs" dxfId="3665" priority="2434" stopIfTrue="1" operator="equal">
      <formula>"1 Modify"</formula>
    </cfRule>
  </conditionalFormatting>
  <conditionalFormatting sqref="C813">
    <cfRule type="cellIs" dxfId="3664" priority="2435" stopIfTrue="1" operator="equal">
      <formula>"2 Add"</formula>
    </cfRule>
  </conditionalFormatting>
  <conditionalFormatting sqref="C813">
    <cfRule type="cellIs" dxfId="3663" priority="2436" stopIfTrue="1" operator="equal">
      <formula>"3 Delete"</formula>
    </cfRule>
  </conditionalFormatting>
  <conditionalFormatting sqref="C814">
    <cfRule type="cellIs" dxfId="3662" priority="2437" stopIfTrue="1" operator="equal">
      <formula>"1 Modify"</formula>
    </cfRule>
  </conditionalFormatting>
  <conditionalFormatting sqref="C814">
    <cfRule type="cellIs" dxfId="3661" priority="2438" stopIfTrue="1" operator="equal">
      <formula>"2 Add"</formula>
    </cfRule>
  </conditionalFormatting>
  <conditionalFormatting sqref="C814">
    <cfRule type="cellIs" dxfId="3660" priority="2439" stopIfTrue="1" operator="equal">
      <formula>"3 Delete"</formula>
    </cfRule>
  </conditionalFormatting>
  <conditionalFormatting sqref="C815">
    <cfRule type="cellIs" dxfId="3659" priority="2440" stopIfTrue="1" operator="equal">
      <formula>"1 Modify"</formula>
    </cfRule>
  </conditionalFormatting>
  <conditionalFormatting sqref="C815">
    <cfRule type="cellIs" dxfId="3658" priority="2441" stopIfTrue="1" operator="equal">
      <formula>"2 Add"</formula>
    </cfRule>
  </conditionalFormatting>
  <conditionalFormatting sqref="C815">
    <cfRule type="cellIs" dxfId="3657" priority="2442" stopIfTrue="1" operator="equal">
      <formula>"3 Delete"</formula>
    </cfRule>
  </conditionalFormatting>
  <conditionalFormatting sqref="C816">
    <cfRule type="cellIs" dxfId="3656" priority="2443" stopIfTrue="1" operator="equal">
      <formula>"1 Modify"</formula>
    </cfRule>
  </conditionalFormatting>
  <conditionalFormatting sqref="C816">
    <cfRule type="cellIs" dxfId="3655" priority="2444" stopIfTrue="1" operator="equal">
      <formula>"2 Add"</formula>
    </cfRule>
  </conditionalFormatting>
  <conditionalFormatting sqref="C816">
    <cfRule type="cellIs" dxfId="3654" priority="2445" stopIfTrue="1" operator="equal">
      <formula>"3 Delete"</formula>
    </cfRule>
  </conditionalFormatting>
  <conditionalFormatting sqref="C817">
    <cfRule type="cellIs" dxfId="3653" priority="2446" stopIfTrue="1" operator="equal">
      <formula>"1 Modify"</formula>
    </cfRule>
  </conditionalFormatting>
  <conditionalFormatting sqref="C817">
    <cfRule type="cellIs" dxfId="3652" priority="2447" stopIfTrue="1" operator="equal">
      <formula>"2 Add"</formula>
    </cfRule>
  </conditionalFormatting>
  <conditionalFormatting sqref="C817">
    <cfRule type="cellIs" dxfId="3651" priority="2448" stopIfTrue="1" operator="equal">
      <formula>"3 Delete"</formula>
    </cfRule>
  </conditionalFormatting>
  <conditionalFormatting sqref="C818">
    <cfRule type="cellIs" dxfId="3650" priority="2449" stopIfTrue="1" operator="equal">
      <formula>"1 Modify"</formula>
    </cfRule>
  </conditionalFormatting>
  <conditionalFormatting sqref="C818">
    <cfRule type="cellIs" dxfId="3649" priority="2450" stopIfTrue="1" operator="equal">
      <formula>"2 Add"</formula>
    </cfRule>
  </conditionalFormatting>
  <conditionalFormatting sqref="C818">
    <cfRule type="cellIs" dxfId="3648" priority="2451" stopIfTrue="1" operator="equal">
      <formula>"3 Delete"</formula>
    </cfRule>
  </conditionalFormatting>
  <conditionalFormatting sqref="C819">
    <cfRule type="cellIs" dxfId="3647" priority="2452" stopIfTrue="1" operator="equal">
      <formula>"1 Modify"</formula>
    </cfRule>
  </conditionalFormatting>
  <conditionalFormatting sqref="C819">
    <cfRule type="cellIs" dxfId="3646" priority="2453" stopIfTrue="1" operator="equal">
      <formula>"2 Add"</formula>
    </cfRule>
  </conditionalFormatting>
  <conditionalFormatting sqref="C819">
    <cfRule type="cellIs" dxfId="3645" priority="2454" stopIfTrue="1" operator="equal">
      <formula>"3 Delete"</formula>
    </cfRule>
  </conditionalFormatting>
  <conditionalFormatting sqref="C820">
    <cfRule type="cellIs" dxfId="3644" priority="2455" stopIfTrue="1" operator="equal">
      <formula>"1 Modify"</formula>
    </cfRule>
  </conditionalFormatting>
  <conditionalFormatting sqref="C820">
    <cfRule type="cellIs" dxfId="3643" priority="2456" stopIfTrue="1" operator="equal">
      <formula>"2 Add"</formula>
    </cfRule>
  </conditionalFormatting>
  <conditionalFormatting sqref="C820">
    <cfRule type="cellIs" dxfId="3642" priority="2457" stopIfTrue="1" operator="equal">
      <formula>"3 Delete"</formula>
    </cfRule>
  </conditionalFormatting>
  <conditionalFormatting sqref="C821">
    <cfRule type="cellIs" dxfId="3641" priority="2458" stopIfTrue="1" operator="equal">
      <formula>"1 Modify"</formula>
    </cfRule>
  </conditionalFormatting>
  <conditionalFormatting sqref="C821">
    <cfRule type="cellIs" dxfId="3640" priority="2459" stopIfTrue="1" operator="equal">
      <formula>"2 Add"</formula>
    </cfRule>
  </conditionalFormatting>
  <conditionalFormatting sqref="C821">
    <cfRule type="cellIs" dxfId="3639" priority="2460" stopIfTrue="1" operator="equal">
      <formula>"3 Delete"</formula>
    </cfRule>
  </conditionalFormatting>
  <conditionalFormatting sqref="C822">
    <cfRule type="cellIs" dxfId="3638" priority="2461" stopIfTrue="1" operator="equal">
      <formula>"1 Modify"</formula>
    </cfRule>
  </conditionalFormatting>
  <conditionalFormatting sqref="C822">
    <cfRule type="cellIs" dxfId="3637" priority="2462" stopIfTrue="1" operator="equal">
      <formula>"2 Add"</formula>
    </cfRule>
  </conditionalFormatting>
  <conditionalFormatting sqref="C822">
    <cfRule type="cellIs" dxfId="3636" priority="2463" stopIfTrue="1" operator="equal">
      <formula>"3 Delete"</formula>
    </cfRule>
  </conditionalFormatting>
  <conditionalFormatting sqref="C823">
    <cfRule type="cellIs" dxfId="3635" priority="2464" stopIfTrue="1" operator="equal">
      <formula>"1 Modify"</formula>
    </cfRule>
  </conditionalFormatting>
  <conditionalFormatting sqref="C823">
    <cfRule type="cellIs" dxfId="3634" priority="2465" stopIfTrue="1" operator="equal">
      <formula>"2 Add"</formula>
    </cfRule>
  </conditionalFormatting>
  <conditionalFormatting sqref="C823">
    <cfRule type="cellIs" dxfId="3633" priority="2466" stopIfTrue="1" operator="equal">
      <formula>"3 Delete"</formula>
    </cfRule>
  </conditionalFormatting>
  <conditionalFormatting sqref="C824">
    <cfRule type="cellIs" dxfId="3632" priority="2467" stopIfTrue="1" operator="equal">
      <formula>"1 Modify"</formula>
    </cfRule>
  </conditionalFormatting>
  <conditionalFormatting sqref="C824">
    <cfRule type="cellIs" dxfId="3631" priority="2468" stopIfTrue="1" operator="equal">
      <formula>"2 Add"</formula>
    </cfRule>
  </conditionalFormatting>
  <conditionalFormatting sqref="C824">
    <cfRule type="cellIs" dxfId="3630" priority="2469" stopIfTrue="1" operator="equal">
      <formula>"3 Delete"</formula>
    </cfRule>
  </conditionalFormatting>
  <conditionalFormatting sqref="C825">
    <cfRule type="cellIs" dxfId="3629" priority="2470" stopIfTrue="1" operator="equal">
      <formula>"1 Modify"</formula>
    </cfRule>
  </conditionalFormatting>
  <conditionalFormatting sqref="C825">
    <cfRule type="cellIs" dxfId="3628" priority="2471" stopIfTrue="1" operator="equal">
      <formula>"2 Add"</formula>
    </cfRule>
  </conditionalFormatting>
  <conditionalFormatting sqref="C825">
    <cfRule type="cellIs" dxfId="3627" priority="2472" stopIfTrue="1" operator="equal">
      <formula>"3 Delete"</formula>
    </cfRule>
  </conditionalFormatting>
  <conditionalFormatting sqref="C826">
    <cfRule type="cellIs" dxfId="3626" priority="2473" stopIfTrue="1" operator="equal">
      <formula>"1 Modify"</formula>
    </cfRule>
  </conditionalFormatting>
  <conditionalFormatting sqref="C826">
    <cfRule type="cellIs" dxfId="3625" priority="2474" stopIfTrue="1" operator="equal">
      <formula>"2 Add"</formula>
    </cfRule>
  </conditionalFormatting>
  <conditionalFormatting sqref="C826">
    <cfRule type="cellIs" dxfId="3624" priority="2475" stopIfTrue="1" operator="equal">
      <formula>"3 Delete"</formula>
    </cfRule>
  </conditionalFormatting>
  <conditionalFormatting sqref="C827">
    <cfRule type="cellIs" dxfId="3623" priority="2476" stopIfTrue="1" operator="equal">
      <formula>"1 Modify"</formula>
    </cfRule>
  </conditionalFormatting>
  <conditionalFormatting sqref="C827">
    <cfRule type="cellIs" dxfId="3622" priority="2477" stopIfTrue="1" operator="equal">
      <formula>"2 Add"</formula>
    </cfRule>
  </conditionalFormatting>
  <conditionalFormatting sqref="C827">
    <cfRule type="cellIs" dxfId="3621" priority="2478" stopIfTrue="1" operator="equal">
      <formula>"3 Delete"</formula>
    </cfRule>
  </conditionalFormatting>
  <conditionalFormatting sqref="C828">
    <cfRule type="cellIs" dxfId="3620" priority="2479" stopIfTrue="1" operator="equal">
      <formula>"1 Modify"</formula>
    </cfRule>
  </conditionalFormatting>
  <conditionalFormatting sqref="C828">
    <cfRule type="cellIs" dxfId="3619" priority="2480" stopIfTrue="1" operator="equal">
      <formula>"2 Add"</formula>
    </cfRule>
  </conditionalFormatting>
  <conditionalFormatting sqref="C828">
    <cfRule type="cellIs" dxfId="3618" priority="2481" stopIfTrue="1" operator="equal">
      <formula>"3 Delete"</formula>
    </cfRule>
  </conditionalFormatting>
  <conditionalFormatting sqref="C829">
    <cfRule type="cellIs" dxfId="3617" priority="2482" stopIfTrue="1" operator="equal">
      <formula>"1 Modify"</formula>
    </cfRule>
  </conditionalFormatting>
  <conditionalFormatting sqref="C829">
    <cfRule type="cellIs" dxfId="3616" priority="2483" stopIfTrue="1" operator="equal">
      <formula>"2 Add"</formula>
    </cfRule>
  </conditionalFormatting>
  <conditionalFormatting sqref="C829">
    <cfRule type="cellIs" dxfId="3615" priority="2484" stopIfTrue="1" operator="equal">
      <formula>"3 Delete"</formula>
    </cfRule>
  </conditionalFormatting>
  <conditionalFormatting sqref="C830">
    <cfRule type="cellIs" dxfId="3614" priority="2485" stopIfTrue="1" operator="equal">
      <formula>"1 Modify"</formula>
    </cfRule>
  </conditionalFormatting>
  <conditionalFormatting sqref="C830">
    <cfRule type="cellIs" dxfId="3613" priority="2486" stopIfTrue="1" operator="equal">
      <formula>"2 Add"</formula>
    </cfRule>
  </conditionalFormatting>
  <conditionalFormatting sqref="C830">
    <cfRule type="cellIs" dxfId="3612" priority="2487" stopIfTrue="1" operator="equal">
      <formula>"3 Delete"</formula>
    </cfRule>
  </conditionalFormatting>
  <conditionalFormatting sqref="C831">
    <cfRule type="cellIs" dxfId="3611" priority="2488" stopIfTrue="1" operator="equal">
      <formula>"1 Modify"</formula>
    </cfRule>
  </conditionalFormatting>
  <conditionalFormatting sqref="C831">
    <cfRule type="cellIs" dxfId="3610" priority="2489" stopIfTrue="1" operator="equal">
      <formula>"2 Add"</formula>
    </cfRule>
  </conditionalFormatting>
  <conditionalFormatting sqref="C831">
    <cfRule type="cellIs" dxfId="3609" priority="2490" stopIfTrue="1" operator="equal">
      <formula>"3 Delete"</formula>
    </cfRule>
  </conditionalFormatting>
  <conditionalFormatting sqref="C832">
    <cfRule type="cellIs" dxfId="3608" priority="2491" stopIfTrue="1" operator="equal">
      <formula>"1 Modify"</formula>
    </cfRule>
  </conditionalFormatting>
  <conditionalFormatting sqref="C832">
    <cfRule type="cellIs" dxfId="3607" priority="2492" stopIfTrue="1" operator="equal">
      <formula>"2 Add"</formula>
    </cfRule>
  </conditionalFormatting>
  <conditionalFormatting sqref="C832">
    <cfRule type="cellIs" dxfId="3606" priority="2493" stopIfTrue="1" operator="equal">
      <formula>"3 Delete"</formula>
    </cfRule>
  </conditionalFormatting>
  <conditionalFormatting sqref="C833">
    <cfRule type="cellIs" dxfId="3605" priority="2494" stopIfTrue="1" operator="equal">
      <formula>"1 Modify"</formula>
    </cfRule>
  </conditionalFormatting>
  <conditionalFormatting sqref="C833">
    <cfRule type="cellIs" dxfId="3604" priority="2495" stopIfTrue="1" operator="equal">
      <formula>"2 Add"</formula>
    </cfRule>
  </conditionalFormatting>
  <conditionalFormatting sqref="C833">
    <cfRule type="cellIs" dxfId="3603" priority="2496" stopIfTrue="1" operator="equal">
      <formula>"3 Delete"</formula>
    </cfRule>
  </conditionalFormatting>
  <conditionalFormatting sqref="C834">
    <cfRule type="cellIs" dxfId="3602" priority="2497" stopIfTrue="1" operator="equal">
      <formula>"1 Modify"</formula>
    </cfRule>
  </conditionalFormatting>
  <conditionalFormatting sqref="C834">
    <cfRule type="cellIs" dxfId="3601" priority="2498" stopIfTrue="1" operator="equal">
      <formula>"2 Add"</formula>
    </cfRule>
  </conditionalFormatting>
  <conditionalFormatting sqref="C834">
    <cfRule type="cellIs" dxfId="3600" priority="2499" stopIfTrue="1" operator="equal">
      <formula>"3 Delete"</formula>
    </cfRule>
  </conditionalFormatting>
  <conditionalFormatting sqref="C835">
    <cfRule type="cellIs" dxfId="3599" priority="2500" stopIfTrue="1" operator="equal">
      <formula>"1 Modify"</formula>
    </cfRule>
  </conditionalFormatting>
  <conditionalFormatting sqref="C835">
    <cfRule type="cellIs" dxfId="3598" priority="2501" stopIfTrue="1" operator="equal">
      <formula>"2 Add"</formula>
    </cfRule>
  </conditionalFormatting>
  <conditionalFormatting sqref="C835">
    <cfRule type="cellIs" dxfId="3597" priority="2502" stopIfTrue="1" operator="equal">
      <formula>"3 Delete"</formula>
    </cfRule>
  </conditionalFormatting>
  <conditionalFormatting sqref="C836">
    <cfRule type="cellIs" dxfId="3596" priority="2503" stopIfTrue="1" operator="equal">
      <formula>"1 Modify"</formula>
    </cfRule>
  </conditionalFormatting>
  <conditionalFormatting sqref="C836">
    <cfRule type="cellIs" dxfId="3595" priority="2504" stopIfTrue="1" operator="equal">
      <formula>"2 Add"</formula>
    </cfRule>
  </conditionalFormatting>
  <conditionalFormatting sqref="C836">
    <cfRule type="cellIs" dxfId="3594" priority="2505" stopIfTrue="1" operator="equal">
      <formula>"3 Delete"</formula>
    </cfRule>
  </conditionalFormatting>
  <conditionalFormatting sqref="C837">
    <cfRule type="cellIs" dxfId="3593" priority="2506" stopIfTrue="1" operator="equal">
      <formula>"1 Modify"</formula>
    </cfRule>
  </conditionalFormatting>
  <conditionalFormatting sqref="C837">
    <cfRule type="cellIs" dxfId="3592" priority="2507" stopIfTrue="1" operator="equal">
      <formula>"2 Add"</formula>
    </cfRule>
  </conditionalFormatting>
  <conditionalFormatting sqref="C837">
    <cfRule type="cellIs" dxfId="3591" priority="2508" stopIfTrue="1" operator="equal">
      <formula>"3 Delete"</formula>
    </cfRule>
  </conditionalFormatting>
  <conditionalFormatting sqref="C838">
    <cfRule type="cellIs" dxfId="3590" priority="2509" stopIfTrue="1" operator="equal">
      <formula>"1 Modify"</formula>
    </cfRule>
  </conditionalFormatting>
  <conditionalFormatting sqref="C838">
    <cfRule type="cellIs" dxfId="3589" priority="2510" stopIfTrue="1" operator="equal">
      <formula>"2 Add"</formula>
    </cfRule>
  </conditionalFormatting>
  <conditionalFormatting sqref="C838">
    <cfRule type="cellIs" dxfId="3588" priority="2511" stopIfTrue="1" operator="equal">
      <formula>"3 Delete"</formula>
    </cfRule>
  </conditionalFormatting>
  <conditionalFormatting sqref="C839">
    <cfRule type="cellIs" dxfId="3587" priority="2512" stopIfTrue="1" operator="equal">
      <formula>"1 Modify"</formula>
    </cfRule>
  </conditionalFormatting>
  <conditionalFormatting sqref="C839">
    <cfRule type="cellIs" dxfId="3586" priority="2513" stopIfTrue="1" operator="equal">
      <formula>"2 Add"</formula>
    </cfRule>
  </conditionalFormatting>
  <conditionalFormatting sqref="C839">
    <cfRule type="cellIs" dxfId="3585" priority="2514" stopIfTrue="1" operator="equal">
      <formula>"3 Delete"</formula>
    </cfRule>
  </conditionalFormatting>
  <conditionalFormatting sqref="C840">
    <cfRule type="cellIs" dxfId="3584" priority="2515" stopIfTrue="1" operator="equal">
      <formula>"1 Modify"</formula>
    </cfRule>
  </conditionalFormatting>
  <conditionalFormatting sqref="C840">
    <cfRule type="cellIs" dxfId="3583" priority="2516" stopIfTrue="1" operator="equal">
      <formula>"2 Add"</formula>
    </cfRule>
  </conditionalFormatting>
  <conditionalFormatting sqref="C840">
    <cfRule type="cellIs" dxfId="3582" priority="2517" stopIfTrue="1" operator="equal">
      <formula>"3 Delete"</formula>
    </cfRule>
  </conditionalFormatting>
  <conditionalFormatting sqref="C841">
    <cfRule type="cellIs" dxfId="3581" priority="2518" stopIfTrue="1" operator="equal">
      <formula>"1 Modify"</formula>
    </cfRule>
  </conditionalFormatting>
  <conditionalFormatting sqref="C841">
    <cfRule type="cellIs" dxfId="3580" priority="2519" stopIfTrue="1" operator="equal">
      <formula>"2 Add"</formula>
    </cfRule>
  </conditionalFormatting>
  <conditionalFormatting sqref="C841">
    <cfRule type="cellIs" dxfId="3579" priority="2520" stopIfTrue="1" operator="equal">
      <formula>"3 Delete"</formula>
    </cfRule>
  </conditionalFormatting>
  <conditionalFormatting sqref="C842">
    <cfRule type="cellIs" dxfId="3578" priority="2521" stopIfTrue="1" operator="equal">
      <formula>"1 Modify"</formula>
    </cfRule>
  </conditionalFormatting>
  <conditionalFormatting sqref="C842">
    <cfRule type="cellIs" dxfId="3577" priority="2522" stopIfTrue="1" operator="equal">
      <formula>"2 Add"</formula>
    </cfRule>
  </conditionalFormatting>
  <conditionalFormatting sqref="C842">
    <cfRule type="cellIs" dxfId="3576" priority="2523" stopIfTrue="1" operator="equal">
      <formula>"3 Delete"</formula>
    </cfRule>
  </conditionalFormatting>
  <conditionalFormatting sqref="C843">
    <cfRule type="cellIs" dxfId="3575" priority="2524" stopIfTrue="1" operator="equal">
      <formula>"1 Modify"</formula>
    </cfRule>
  </conditionalFormatting>
  <conditionalFormatting sqref="C843">
    <cfRule type="cellIs" dxfId="3574" priority="2525" stopIfTrue="1" operator="equal">
      <formula>"2 Add"</formula>
    </cfRule>
  </conditionalFormatting>
  <conditionalFormatting sqref="C843">
    <cfRule type="cellIs" dxfId="3573" priority="2526" stopIfTrue="1" operator="equal">
      <formula>"3 Delete"</formula>
    </cfRule>
  </conditionalFormatting>
  <conditionalFormatting sqref="C844">
    <cfRule type="cellIs" dxfId="3572" priority="2527" stopIfTrue="1" operator="equal">
      <formula>"1 Modify"</formula>
    </cfRule>
  </conditionalFormatting>
  <conditionalFormatting sqref="C844">
    <cfRule type="cellIs" dxfId="3571" priority="2528" stopIfTrue="1" operator="equal">
      <formula>"2 Add"</formula>
    </cfRule>
  </conditionalFormatting>
  <conditionalFormatting sqref="C844">
    <cfRule type="cellIs" dxfId="3570" priority="2529" stopIfTrue="1" operator="equal">
      <formula>"3 Delete"</formula>
    </cfRule>
  </conditionalFormatting>
  <conditionalFormatting sqref="C845">
    <cfRule type="cellIs" dxfId="3569" priority="2530" stopIfTrue="1" operator="equal">
      <formula>"1 Modify"</formula>
    </cfRule>
  </conditionalFormatting>
  <conditionalFormatting sqref="C845">
    <cfRule type="cellIs" dxfId="3568" priority="2531" stopIfTrue="1" operator="equal">
      <formula>"2 Add"</formula>
    </cfRule>
  </conditionalFormatting>
  <conditionalFormatting sqref="C845">
    <cfRule type="cellIs" dxfId="3567" priority="2532" stopIfTrue="1" operator="equal">
      <formula>"3 Delete"</formula>
    </cfRule>
  </conditionalFormatting>
  <conditionalFormatting sqref="C846">
    <cfRule type="cellIs" dxfId="3566" priority="2533" stopIfTrue="1" operator="equal">
      <formula>"1 Modify"</formula>
    </cfRule>
  </conditionalFormatting>
  <conditionalFormatting sqref="C846">
    <cfRule type="cellIs" dxfId="3565" priority="2534" stopIfTrue="1" operator="equal">
      <formula>"2 Add"</formula>
    </cfRule>
  </conditionalFormatting>
  <conditionalFormatting sqref="C846">
    <cfRule type="cellIs" dxfId="3564" priority="2535" stopIfTrue="1" operator="equal">
      <formula>"3 Delete"</formula>
    </cfRule>
  </conditionalFormatting>
  <conditionalFormatting sqref="C847">
    <cfRule type="cellIs" dxfId="3563" priority="2536" stopIfTrue="1" operator="equal">
      <formula>"1 Modify"</formula>
    </cfRule>
  </conditionalFormatting>
  <conditionalFormatting sqref="C847">
    <cfRule type="cellIs" dxfId="3562" priority="2537" stopIfTrue="1" operator="equal">
      <formula>"2 Add"</formula>
    </cfRule>
  </conditionalFormatting>
  <conditionalFormatting sqref="C847">
    <cfRule type="cellIs" dxfId="3561" priority="2538" stopIfTrue="1" operator="equal">
      <formula>"3 Delete"</formula>
    </cfRule>
  </conditionalFormatting>
  <conditionalFormatting sqref="C848">
    <cfRule type="cellIs" dxfId="3560" priority="2539" stopIfTrue="1" operator="equal">
      <formula>"1 Modify"</formula>
    </cfRule>
  </conditionalFormatting>
  <conditionalFormatting sqref="C848">
    <cfRule type="cellIs" dxfId="3559" priority="2540" stopIfTrue="1" operator="equal">
      <formula>"2 Add"</formula>
    </cfRule>
  </conditionalFormatting>
  <conditionalFormatting sqref="C848">
    <cfRule type="cellIs" dxfId="3558" priority="2541" stopIfTrue="1" operator="equal">
      <formula>"3 Delete"</formula>
    </cfRule>
  </conditionalFormatting>
  <conditionalFormatting sqref="C849">
    <cfRule type="cellIs" dxfId="3557" priority="2542" stopIfTrue="1" operator="equal">
      <formula>"1 Modify"</formula>
    </cfRule>
  </conditionalFormatting>
  <conditionalFormatting sqref="C849">
    <cfRule type="cellIs" dxfId="3556" priority="2543" stopIfTrue="1" operator="equal">
      <formula>"2 Add"</formula>
    </cfRule>
  </conditionalFormatting>
  <conditionalFormatting sqref="C849">
    <cfRule type="cellIs" dxfId="3555" priority="2544" stopIfTrue="1" operator="equal">
      <formula>"3 Delete"</formula>
    </cfRule>
  </conditionalFormatting>
  <conditionalFormatting sqref="C850">
    <cfRule type="cellIs" dxfId="3554" priority="2545" stopIfTrue="1" operator="equal">
      <formula>"1 Modify"</formula>
    </cfRule>
  </conditionalFormatting>
  <conditionalFormatting sqref="C850">
    <cfRule type="cellIs" dxfId="3553" priority="2546" stopIfTrue="1" operator="equal">
      <formula>"2 Add"</formula>
    </cfRule>
  </conditionalFormatting>
  <conditionalFormatting sqref="C850">
    <cfRule type="cellIs" dxfId="3552" priority="2547" stopIfTrue="1" operator="equal">
      <formula>"3 Delete"</formula>
    </cfRule>
  </conditionalFormatting>
  <conditionalFormatting sqref="C851">
    <cfRule type="cellIs" dxfId="3551" priority="2548" stopIfTrue="1" operator="equal">
      <formula>"1 Modify"</formula>
    </cfRule>
  </conditionalFormatting>
  <conditionalFormatting sqref="C851">
    <cfRule type="cellIs" dxfId="3550" priority="2549" stopIfTrue="1" operator="equal">
      <formula>"2 Add"</formula>
    </cfRule>
  </conditionalFormatting>
  <conditionalFormatting sqref="C851">
    <cfRule type="cellIs" dxfId="3549" priority="2550" stopIfTrue="1" operator="equal">
      <formula>"3 Delete"</formula>
    </cfRule>
  </conditionalFormatting>
  <conditionalFormatting sqref="C852">
    <cfRule type="cellIs" dxfId="3548" priority="2551" stopIfTrue="1" operator="equal">
      <formula>"1 Modify"</formula>
    </cfRule>
  </conditionalFormatting>
  <conditionalFormatting sqref="C852">
    <cfRule type="cellIs" dxfId="3547" priority="2552" stopIfTrue="1" operator="equal">
      <formula>"2 Add"</formula>
    </cfRule>
  </conditionalFormatting>
  <conditionalFormatting sqref="C852">
    <cfRule type="cellIs" dxfId="3546" priority="2553" stopIfTrue="1" operator="equal">
      <formula>"3 Delete"</formula>
    </cfRule>
  </conditionalFormatting>
  <conditionalFormatting sqref="C853">
    <cfRule type="cellIs" dxfId="3545" priority="2554" stopIfTrue="1" operator="equal">
      <formula>"1 Modify"</formula>
    </cfRule>
  </conditionalFormatting>
  <conditionalFormatting sqref="C853">
    <cfRule type="cellIs" dxfId="3544" priority="2555" stopIfTrue="1" operator="equal">
      <formula>"2 Add"</formula>
    </cfRule>
  </conditionalFormatting>
  <conditionalFormatting sqref="C853">
    <cfRule type="cellIs" dxfId="3543" priority="2556" stopIfTrue="1" operator="equal">
      <formula>"3 Delete"</formula>
    </cfRule>
  </conditionalFormatting>
  <conditionalFormatting sqref="C854">
    <cfRule type="cellIs" dxfId="3542" priority="2557" stopIfTrue="1" operator="equal">
      <formula>"1 Modify"</formula>
    </cfRule>
  </conditionalFormatting>
  <conditionalFormatting sqref="C854">
    <cfRule type="cellIs" dxfId="3541" priority="2558" stopIfTrue="1" operator="equal">
      <formula>"2 Add"</formula>
    </cfRule>
  </conditionalFormatting>
  <conditionalFormatting sqref="C854">
    <cfRule type="cellIs" dxfId="3540" priority="2559" stopIfTrue="1" operator="equal">
      <formula>"3 Delete"</formula>
    </cfRule>
  </conditionalFormatting>
  <conditionalFormatting sqref="C855">
    <cfRule type="cellIs" dxfId="3539" priority="2560" stopIfTrue="1" operator="equal">
      <formula>"1 Modify"</formula>
    </cfRule>
  </conditionalFormatting>
  <conditionalFormatting sqref="C855">
    <cfRule type="cellIs" dxfId="3538" priority="2561" stopIfTrue="1" operator="equal">
      <formula>"2 Add"</formula>
    </cfRule>
  </conditionalFormatting>
  <conditionalFormatting sqref="C855">
    <cfRule type="cellIs" dxfId="3537" priority="2562" stopIfTrue="1" operator="equal">
      <formula>"3 Delete"</formula>
    </cfRule>
  </conditionalFormatting>
  <conditionalFormatting sqref="C856">
    <cfRule type="cellIs" dxfId="3536" priority="2563" stopIfTrue="1" operator="equal">
      <formula>"1 Modify"</formula>
    </cfRule>
  </conditionalFormatting>
  <conditionalFormatting sqref="C856">
    <cfRule type="cellIs" dxfId="3535" priority="2564" stopIfTrue="1" operator="equal">
      <formula>"2 Add"</formula>
    </cfRule>
  </conditionalFormatting>
  <conditionalFormatting sqref="C856">
    <cfRule type="cellIs" dxfId="3534" priority="2565" stopIfTrue="1" operator="equal">
      <formula>"3 Delete"</formula>
    </cfRule>
  </conditionalFormatting>
  <conditionalFormatting sqref="C857">
    <cfRule type="cellIs" dxfId="3533" priority="2566" stopIfTrue="1" operator="equal">
      <formula>"1 Modify"</formula>
    </cfRule>
  </conditionalFormatting>
  <conditionalFormatting sqref="C857">
    <cfRule type="cellIs" dxfId="3532" priority="2567" stopIfTrue="1" operator="equal">
      <formula>"2 Add"</formula>
    </cfRule>
  </conditionalFormatting>
  <conditionalFormatting sqref="C857">
    <cfRule type="cellIs" dxfId="3531" priority="2568" stopIfTrue="1" operator="equal">
      <formula>"3 Delete"</formula>
    </cfRule>
  </conditionalFormatting>
  <conditionalFormatting sqref="C858">
    <cfRule type="cellIs" dxfId="3530" priority="2569" stopIfTrue="1" operator="equal">
      <formula>"1 Modify"</formula>
    </cfRule>
  </conditionalFormatting>
  <conditionalFormatting sqref="C858">
    <cfRule type="cellIs" dxfId="3529" priority="2570" stopIfTrue="1" operator="equal">
      <formula>"2 Add"</formula>
    </cfRule>
  </conditionalFormatting>
  <conditionalFormatting sqref="C858">
    <cfRule type="cellIs" dxfId="3528" priority="2571" stopIfTrue="1" operator="equal">
      <formula>"3 Delete"</formula>
    </cfRule>
  </conditionalFormatting>
  <conditionalFormatting sqref="C859">
    <cfRule type="cellIs" dxfId="3527" priority="2572" stopIfTrue="1" operator="equal">
      <formula>"1 Modify"</formula>
    </cfRule>
  </conditionalFormatting>
  <conditionalFormatting sqref="C859">
    <cfRule type="cellIs" dxfId="3526" priority="2573" stopIfTrue="1" operator="equal">
      <formula>"2 Add"</formula>
    </cfRule>
  </conditionalFormatting>
  <conditionalFormatting sqref="C859">
    <cfRule type="cellIs" dxfId="3525" priority="2574" stopIfTrue="1" operator="equal">
      <formula>"3 Delete"</formula>
    </cfRule>
  </conditionalFormatting>
  <conditionalFormatting sqref="C860">
    <cfRule type="cellIs" dxfId="3524" priority="2575" stopIfTrue="1" operator="equal">
      <formula>"1 Modify"</formula>
    </cfRule>
  </conditionalFormatting>
  <conditionalFormatting sqref="C860">
    <cfRule type="cellIs" dxfId="3523" priority="2576" stopIfTrue="1" operator="equal">
      <formula>"2 Add"</formula>
    </cfRule>
  </conditionalFormatting>
  <conditionalFormatting sqref="C860">
    <cfRule type="cellIs" dxfId="3522" priority="2577" stopIfTrue="1" operator="equal">
      <formula>"3 Delete"</formula>
    </cfRule>
  </conditionalFormatting>
  <conditionalFormatting sqref="C861">
    <cfRule type="cellIs" dxfId="3521" priority="2578" stopIfTrue="1" operator="equal">
      <formula>"1 Modify"</formula>
    </cfRule>
  </conditionalFormatting>
  <conditionalFormatting sqref="C861">
    <cfRule type="cellIs" dxfId="3520" priority="2579" stopIfTrue="1" operator="equal">
      <formula>"2 Add"</formula>
    </cfRule>
  </conditionalFormatting>
  <conditionalFormatting sqref="C861">
    <cfRule type="cellIs" dxfId="3519" priority="2580" stopIfTrue="1" operator="equal">
      <formula>"3 Delete"</formula>
    </cfRule>
  </conditionalFormatting>
  <conditionalFormatting sqref="C862">
    <cfRule type="cellIs" dxfId="3518" priority="2581" stopIfTrue="1" operator="equal">
      <formula>"1 Modify"</formula>
    </cfRule>
  </conditionalFormatting>
  <conditionalFormatting sqref="C862">
    <cfRule type="cellIs" dxfId="3517" priority="2582" stopIfTrue="1" operator="equal">
      <formula>"2 Add"</formula>
    </cfRule>
  </conditionalFormatting>
  <conditionalFormatting sqref="C862">
    <cfRule type="cellIs" dxfId="3516" priority="2583" stopIfTrue="1" operator="equal">
      <formula>"3 Delete"</formula>
    </cfRule>
  </conditionalFormatting>
  <conditionalFormatting sqref="C863">
    <cfRule type="cellIs" dxfId="3515" priority="2584" stopIfTrue="1" operator="equal">
      <formula>"1 Modify"</formula>
    </cfRule>
  </conditionalFormatting>
  <conditionalFormatting sqref="C863">
    <cfRule type="cellIs" dxfId="3514" priority="2585" stopIfTrue="1" operator="equal">
      <formula>"2 Add"</formula>
    </cfRule>
  </conditionalFormatting>
  <conditionalFormatting sqref="C863">
    <cfRule type="cellIs" dxfId="3513" priority="2586" stopIfTrue="1" operator="equal">
      <formula>"3 Delete"</formula>
    </cfRule>
  </conditionalFormatting>
  <conditionalFormatting sqref="C864">
    <cfRule type="cellIs" dxfId="3512" priority="2587" stopIfTrue="1" operator="equal">
      <formula>"1 Modify"</formula>
    </cfRule>
  </conditionalFormatting>
  <conditionalFormatting sqref="C864">
    <cfRule type="cellIs" dxfId="3511" priority="2588" stopIfTrue="1" operator="equal">
      <formula>"2 Add"</formula>
    </cfRule>
  </conditionalFormatting>
  <conditionalFormatting sqref="C864">
    <cfRule type="cellIs" dxfId="3510" priority="2589" stopIfTrue="1" operator="equal">
      <formula>"3 Delete"</formula>
    </cfRule>
  </conditionalFormatting>
  <conditionalFormatting sqref="C865">
    <cfRule type="cellIs" dxfId="3509" priority="2590" stopIfTrue="1" operator="equal">
      <formula>"1 Modify"</formula>
    </cfRule>
  </conditionalFormatting>
  <conditionalFormatting sqref="C865">
    <cfRule type="cellIs" dxfId="3508" priority="2591" stopIfTrue="1" operator="equal">
      <formula>"2 Add"</formula>
    </cfRule>
  </conditionalFormatting>
  <conditionalFormatting sqref="C865">
    <cfRule type="cellIs" dxfId="3507" priority="2592" stopIfTrue="1" operator="equal">
      <formula>"3 Delete"</formula>
    </cfRule>
  </conditionalFormatting>
  <conditionalFormatting sqref="C866">
    <cfRule type="cellIs" dxfId="3506" priority="2593" stopIfTrue="1" operator="equal">
      <formula>"1 Modify"</formula>
    </cfRule>
  </conditionalFormatting>
  <conditionalFormatting sqref="C866">
    <cfRule type="cellIs" dxfId="3505" priority="2594" stopIfTrue="1" operator="equal">
      <formula>"2 Add"</formula>
    </cfRule>
  </conditionalFormatting>
  <conditionalFormatting sqref="C866">
    <cfRule type="cellIs" dxfId="3504" priority="2595" stopIfTrue="1" operator="equal">
      <formula>"3 Delete"</formula>
    </cfRule>
  </conditionalFormatting>
  <conditionalFormatting sqref="C867">
    <cfRule type="cellIs" dxfId="3503" priority="2596" stopIfTrue="1" operator="equal">
      <formula>"1 Modify"</formula>
    </cfRule>
  </conditionalFormatting>
  <conditionalFormatting sqref="C867">
    <cfRule type="cellIs" dxfId="3502" priority="2597" stopIfTrue="1" operator="equal">
      <formula>"2 Add"</formula>
    </cfRule>
  </conditionalFormatting>
  <conditionalFormatting sqref="C867">
    <cfRule type="cellIs" dxfId="3501" priority="2598" stopIfTrue="1" operator="equal">
      <formula>"3 Delete"</formula>
    </cfRule>
  </conditionalFormatting>
  <conditionalFormatting sqref="C868">
    <cfRule type="cellIs" dxfId="3500" priority="2599" stopIfTrue="1" operator="equal">
      <formula>"1 Modify"</formula>
    </cfRule>
  </conditionalFormatting>
  <conditionalFormatting sqref="C868">
    <cfRule type="cellIs" dxfId="3499" priority="2600" stopIfTrue="1" operator="equal">
      <formula>"2 Add"</formula>
    </cfRule>
  </conditionalFormatting>
  <conditionalFormatting sqref="C868">
    <cfRule type="cellIs" dxfId="3498" priority="2601" stopIfTrue="1" operator="equal">
      <formula>"3 Delete"</formula>
    </cfRule>
  </conditionalFormatting>
  <conditionalFormatting sqref="C869">
    <cfRule type="cellIs" dxfId="3497" priority="2602" stopIfTrue="1" operator="equal">
      <formula>"1 Modify"</formula>
    </cfRule>
  </conditionalFormatting>
  <conditionalFormatting sqref="C869">
    <cfRule type="cellIs" dxfId="3496" priority="2603" stopIfTrue="1" operator="equal">
      <formula>"2 Add"</formula>
    </cfRule>
  </conditionalFormatting>
  <conditionalFormatting sqref="C869">
    <cfRule type="cellIs" dxfId="3495" priority="2604" stopIfTrue="1" operator="equal">
      <formula>"3 Delete"</formula>
    </cfRule>
  </conditionalFormatting>
  <conditionalFormatting sqref="C870">
    <cfRule type="cellIs" dxfId="3494" priority="2605" stopIfTrue="1" operator="equal">
      <formula>"1 Modify"</formula>
    </cfRule>
  </conditionalFormatting>
  <conditionalFormatting sqref="C870">
    <cfRule type="cellIs" dxfId="3493" priority="2606" stopIfTrue="1" operator="equal">
      <formula>"2 Add"</formula>
    </cfRule>
  </conditionalFormatting>
  <conditionalFormatting sqref="C870">
    <cfRule type="cellIs" dxfId="3492" priority="2607" stopIfTrue="1" operator="equal">
      <formula>"3 Delete"</formula>
    </cfRule>
  </conditionalFormatting>
  <conditionalFormatting sqref="C871">
    <cfRule type="cellIs" dxfId="3491" priority="2608" stopIfTrue="1" operator="equal">
      <formula>"1 Modify"</formula>
    </cfRule>
  </conditionalFormatting>
  <conditionalFormatting sqref="C871">
    <cfRule type="cellIs" dxfId="3490" priority="2609" stopIfTrue="1" operator="equal">
      <formula>"2 Add"</formula>
    </cfRule>
  </conditionalFormatting>
  <conditionalFormatting sqref="C871">
    <cfRule type="cellIs" dxfId="3489" priority="2610" stopIfTrue="1" operator="equal">
      <formula>"3 Delete"</formula>
    </cfRule>
  </conditionalFormatting>
  <conditionalFormatting sqref="C872">
    <cfRule type="cellIs" dxfId="3488" priority="2611" stopIfTrue="1" operator="equal">
      <formula>"1 Modify"</formula>
    </cfRule>
  </conditionalFormatting>
  <conditionalFormatting sqref="C872">
    <cfRule type="cellIs" dxfId="3487" priority="2612" stopIfTrue="1" operator="equal">
      <formula>"2 Add"</formula>
    </cfRule>
  </conditionalFormatting>
  <conditionalFormatting sqref="C872">
    <cfRule type="cellIs" dxfId="3486" priority="2613" stopIfTrue="1" operator="equal">
      <formula>"3 Delete"</formula>
    </cfRule>
  </conditionalFormatting>
  <conditionalFormatting sqref="C873">
    <cfRule type="cellIs" dxfId="3485" priority="2614" stopIfTrue="1" operator="equal">
      <formula>"1 Modify"</formula>
    </cfRule>
  </conditionalFormatting>
  <conditionalFormatting sqref="C873">
    <cfRule type="cellIs" dxfId="3484" priority="2615" stopIfTrue="1" operator="equal">
      <formula>"2 Add"</formula>
    </cfRule>
  </conditionalFormatting>
  <conditionalFormatting sqref="C873">
    <cfRule type="cellIs" dxfId="3483" priority="2616" stopIfTrue="1" operator="equal">
      <formula>"3 Delete"</formula>
    </cfRule>
  </conditionalFormatting>
  <conditionalFormatting sqref="C874">
    <cfRule type="cellIs" dxfId="3482" priority="2617" stopIfTrue="1" operator="equal">
      <formula>"1 Modify"</formula>
    </cfRule>
  </conditionalFormatting>
  <conditionalFormatting sqref="C874">
    <cfRule type="cellIs" dxfId="3481" priority="2618" stopIfTrue="1" operator="equal">
      <formula>"2 Add"</formula>
    </cfRule>
  </conditionalFormatting>
  <conditionalFormatting sqref="C874">
    <cfRule type="cellIs" dxfId="3480" priority="2619" stopIfTrue="1" operator="equal">
      <formula>"3 Delete"</formula>
    </cfRule>
  </conditionalFormatting>
  <conditionalFormatting sqref="C875">
    <cfRule type="cellIs" dxfId="3479" priority="2620" stopIfTrue="1" operator="equal">
      <formula>"1 Modify"</formula>
    </cfRule>
  </conditionalFormatting>
  <conditionalFormatting sqref="C875">
    <cfRule type="cellIs" dxfId="3478" priority="2621" stopIfTrue="1" operator="equal">
      <formula>"2 Add"</formula>
    </cfRule>
  </conditionalFormatting>
  <conditionalFormatting sqref="C875">
    <cfRule type="cellIs" dxfId="3477" priority="2622" stopIfTrue="1" operator="equal">
      <formula>"3 Delete"</formula>
    </cfRule>
  </conditionalFormatting>
  <conditionalFormatting sqref="C876">
    <cfRule type="cellIs" dxfId="3476" priority="2623" stopIfTrue="1" operator="equal">
      <formula>"1 Modify"</formula>
    </cfRule>
  </conditionalFormatting>
  <conditionalFormatting sqref="C876">
    <cfRule type="cellIs" dxfId="3475" priority="2624" stopIfTrue="1" operator="equal">
      <formula>"2 Add"</formula>
    </cfRule>
  </conditionalFormatting>
  <conditionalFormatting sqref="C876">
    <cfRule type="cellIs" dxfId="3474" priority="2625" stopIfTrue="1" operator="equal">
      <formula>"3 Delete"</formula>
    </cfRule>
  </conditionalFormatting>
  <conditionalFormatting sqref="C877">
    <cfRule type="cellIs" dxfId="3473" priority="2626" stopIfTrue="1" operator="equal">
      <formula>"1 Modify"</formula>
    </cfRule>
  </conditionalFormatting>
  <conditionalFormatting sqref="C877">
    <cfRule type="cellIs" dxfId="3472" priority="2627" stopIfTrue="1" operator="equal">
      <formula>"2 Add"</formula>
    </cfRule>
  </conditionalFormatting>
  <conditionalFormatting sqref="C877">
    <cfRule type="cellIs" dxfId="3471" priority="2628" stopIfTrue="1" operator="equal">
      <formula>"3 Delete"</formula>
    </cfRule>
  </conditionalFormatting>
  <conditionalFormatting sqref="C878">
    <cfRule type="cellIs" dxfId="3470" priority="2629" stopIfTrue="1" operator="equal">
      <formula>"1 Modify"</formula>
    </cfRule>
  </conditionalFormatting>
  <conditionalFormatting sqref="C878">
    <cfRule type="cellIs" dxfId="3469" priority="2630" stopIfTrue="1" operator="equal">
      <formula>"2 Add"</formula>
    </cfRule>
  </conditionalFormatting>
  <conditionalFormatting sqref="C878">
    <cfRule type="cellIs" dxfId="3468" priority="2631" stopIfTrue="1" operator="equal">
      <formula>"3 Delete"</formula>
    </cfRule>
  </conditionalFormatting>
  <conditionalFormatting sqref="C879">
    <cfRule type="cellIs" dxfId="3467" priority="2632" stopIfTrue="1" operator="equal">
      <formula>"1 Modify"</formula>
    </cfRule>
  </conditionalFormatting>
  <conditionalFormatting sqref="C879">
    <cfRule type="cellIs" dxfId="3466" priority="2633" stopIfTrue="1" operator="equal">
      <formula>"2 Add"</formula>
    </cfRule>
  </conditionalFormatting>
  <conditionalFormatting sqref="C879">
    <cfRule type="cellIs" dxfId="3465" priority="2634" stopIfTrue="1" operator="equal">
      <formula>"3 Delete"</formula>
    </cfRule>
  </conditionalFormatting>
  <conditionalFormatting sqref="C880">
    <cfRule type="cellIs" dxfId="3464" priority="2635" stopIfTrue="1" operator="equal">
      <formula>"1 Modify"</formula>
    </cfRule>
  </conditionalFormatting>
  <conditionalFormatting sqref="C880">
    <cfRule type="cellIs" dxfId="3463" priority="2636" stopIfTrue="1" operator="equal">
      <formula>"2 Add"</formula>
    </cfRule>
  </conditionalFormatting>
  <conditionalFormatting sqref="C880">
    <cfRule type="cellIs" dxfId="3462" priority="2637" stopIfTrue="1" operator="equal">
      <formula>"3 Delete"</formula>
    </cfRule>
  </conditionalFormatting>
  <conditionalFormatting sqref="C881">
    <cfRule type="cellIs" dxfId="3461" priority="2638" stopIfTrue="1" operator="equal">
      <formula>"1 Modify"</formula>
    </cfRule>
  </conditionalFormatting>
  <conditionalFormatting sqref="C881">
    <cfRule type="cellIs" dxfId="3460" priority="2639" stopIfTrue="1" operator="equal">
      <formula>"2 Add"</formula>
    </cfRule>
  </conditionalFormatting>
  <conditionalFormatting sqref="C881">
    <cfRule type="cellIs" dxfId="3459" priority="2640" stopIfTrue="1" operator="equal">
      <formula>"3 Delete"</formula>
    </cfRule>
  </conditionalFormatting>
  <conditionalFormatting sqref="C882">
    <cfRule type="cellIs" dxfId="3458" priority="2641" stopIfTrue="1" operator="equal">
      <formula>"1 Modify"</formula>
    </cfRule>
  </conditionalFormatting>
  <conditionalFormatting sqref="C882">
    <cfRule type="cellIs" dxfId="3457" priority="2642" stopIfTrue="1" operator="equal">
      <formula>"2 Add"</formula>
    </cfRule>
  </conditionalFormatting>
  <conditionalFormatting sqref="C882">
    <cfRule type="cellIs" dxfId="3456" priority="2643" stopIfTrue="1" operator="equal">
      <formula>"3 Delete"</formula>
    </cfRule>
  </conditionalFormatting>
  <conditionalFormatting sqref="C883">
    <cfRule type="cellIs" dxfId="3455" priority="2644" stopIfTrue="1" operator="equal">
      <formula>"1 Modify"</formula>
    </cfRule>
  </conditionalFormatting>
  <conditionalFormatting sqref="C883">
    <cfRule type="cellIs" dxfId="3454" priority="2645" stopIfTrue="1" operator="equal">
      <formula>"2 Add"</formula>
    </cfRule>
  </conditionalFormatting>
  <conditionalFormatting sqref="C883">
    <cfRule type="cellIs" dxfId="3453" priority="2646" stopIfTrue="1" operator="equal">
      <formula>"3 Delete"</formula>
    </cfRule>
  </conditionalFormatting>
  <conditionalFormatting sqref="C884">
    <cfRule type="cellIs" dxfId="3452" priority="2647" stopIfTrue="1" operator="equal">
      <formula>"1 Modify"</formula>
    </cfRule>
  </conditionalFormatting>
  <conditionalFormatting sqref="C884">
    <cfRule type="cellIs" dxfId="3451" priority="2648" stopIfTrue="1" operator="equal">
      <formula>"2 Add"</formula>
    </cfRule>
  </conditionalFormatting>
  <conditionalFormatting sqref="C884">
    <cfRule type="cellIs" dxfId="3450" priority="2649" stopIfTrue="1" operator="equal">
      <formula>"3 Delete"</formula>
    </cfRule>
  </conditionalFormatting>
  <conditionalFormatting sqref="C885">
    <cfRule type="cellIs" dxfId="3449" priority="2650" stopIfTrue="1" operator="equal">
      <formula>"1 Modify"</formula>
    </cfRule>
  </conditionalFormatting>
  <conditionalFormatting sqref="C885">
    <cfRule type="cellIs" dxfId="3448" priority="2651" stopIfTrue="1" operator="equal">
      <formula>"2 Add"</formula>
    </cfRule>
  </conditionalFormatting>
  <conditionalFormatting sqref="C885">
    <cfRule type="cellIs" dxfId="3447" priority="2652" stopIfTrue="1" operator="equal">
      <formula>"3 Delete"</formula>
    </cfRule>
  </conditionalFormatting>
  <conditionalFormatting sqref="C886">
    <cfRule type="cellIs" dxfId="3446" priority="2653" stopIfTrue="1" operator="equal">
      <formula>"1 Modify"</formula>
    </cfRule>
  </conditionalFormatting>
  <conditionalFormatting sqref="C886">
    <cfRule type="cellIs" dxfId="3445" priority="2654" stopIfTrue="1" operator="equal">
      <formula>"2 Add"</formula>
    </cfRule>
  </conditionalFormatting>
  <conditionalFormatting sqref="C886">
    <cfRule type="cellIs" dxfId="3444" priority="2655" stopIfTrue="1" operator="equal">
      <formula>"3 Delete"</formula>
    </cfRule>
  </conditionalFormatting>
  <conditionalFormatting sqref="C887">
    <cfRule type="cellIs" dxfId="3443" priority="2656" stopIfTrue="1" operator="equal">
      <formula>"1 Modify"</formula>
    </cfRule>
  </conditionalFormatting>
  <conditionalFormatting sqref="C887">
    <cfRule type="cellIs" dxfId="3442" priority="2657" stopIfTrue="1" operator="equal">
      <formula>"2 Add"</formula>
    </cfRule>
  </conditionalFormatting>
  <conditionalFormatting sqref="C887">
    <cfRule type="cellIs" dxfId="3441" priority="2658" stopIfTrue="1" operator="equal">
      <formula>"3 Delete"</formula>
    </cfRule>
  </conditionalFormatting>
  <conditionalFormatting sqref="C888">
    <cfRule type="cellIs" dxfId="3440" priority="2659" stopIfTrue="1" operator="equal">
      <formula>"1 Modify"</formula>
    </cfRule>
  </conditionalFormatting>
  <conditionalFormatting sqref="C888">
    <cfRule type="cellIs" dxfId="3439" priority="2660" stopIfTrue="1" operator="equal">
      <formula>"2 Add"</formula>
    </cfRule>
  </conditionalFormatting>
  <conditionalFormatting sqref="C888">
    <cfRule type="cellIs" dxfId="3438" priority="2661" stopIfTrue="1" operator="equal">
      <formula>"3 Delete"</formula>
    </cfRule>
  </conditionalFormatting>
  <conditionalFormatting sqref="C889">
    <cfRule type="cellIs" dxfId="3437" priority="2662" stopIfTrue="1" operator="equal">
      <formula>"1 Modify"</formula>
    </cfRule>
  </conditionalFormatting>
  <conditionalFormatting sqref="C889">
    <cfRule type="cellIs" dxfId="3436" priority="2663" stopIfTrue="1" operator="equal">
      <formula>"2 Add"</formula>
    </cfRule>
  </conditionalFormatting>
  <conditionalFormatting sqref="C889">
    <cfRule type="cellIs" dxfId="3435" priority="2664" stopIfTrue="1" operator="equal">
      <formula>"3 Delete"</formula>
    </cfRule>
  </conditionalFormatting>
  <conditionalFormatting sqref="C890">
    <cfRule type="cellIs" dxfId="3434" priority="2665" stopIfTrue="1" operator="equal">
      <formula>"1 Modify"</formula>
    </cfRule>
  </conditionalFormatting>
  <conditionalFormatting sqref="C890">
    <cfRule type="cellIs" dxfId="3433" priority="2666" stopIfTrue="1" operator="equal">
      <formula>"2 Add"</formula>
    </cfRule>
  </conditionalFormatting>
  <conditionalFormatting sqref="C890">
    <cfRule type="cellIs" dxfId="3432" priority="2667" stopIfTrue="1" operator="equal">
      <formula>"3 Delete"</formula>
    </cfRule>
  </conditionalFormatting>
  <conditionalFormatting sqref="C891">
    <cfRule type="cellIs" dxfId="3431" priority="2668" stopIfTrue="1" operator="equal">
      <formula>"1 Modify"</formula>
    </cfRule>
  </conditionalFormatting>
  <conditionalFormatting sqref="C891">
    <cfRule type="cellIs" dxfId="3430" priority="2669" stopIfTrue="1" operator="equal">
      <formula>"2 Add"</formula>
    </cfRule>
  </conditionalFormatting>
  <conditionalFormatting sqref="C891">
    <cfRule type="cellIs" dxfId="3429" priority="2670" stopIfTrue="1" operator="equal">
      <formula>"3 Delete"</formula>
    </cfRule>
  </conditionalFormatting>
  <conditionalFormatting sqref="C892">
    <cfRule type="cellIs" dxfId="3428" priority="2671" stopIfTrue="1" operator="equal">
      <formula>"1 Modify"</formula>
    </cfRule>
  </conditionalFormatting>
  <conditionalFormatting sqref="C892">
    <cfRule type="cellIs" dxfId="3427" priority="2672" stopIfTrue="1" operator="equal">
      <formula>"2 Add"</formula>
    </cfRule>
  </conditionalFormatting>
  <conditionalFormatting sqref="C892">
    <cfRule type="cellIs" dxfId="3426" priority="2673" stopIfTrue="1" operator="equal">
      <formula>"3 Delete"</formula>
    </cfRule>
  </conditionalFormatting>
  <conditionalFormatting sqref="C893">
    <cfRule type="cellIs" dxfId="3425" priority="2674" stopIfTrue="1" operator="equal">
      <formula>"1 Modify"</formula>
    </cfRule>
  </conditionalFormatting>
  <conditionalFormatting sqref="C893">
    <cfRule type="cellIs" dxfId="3424" priority="2675" stopIfTrue="1" operator="equal">
      <formula>"2 Add"</formula>
    </cfRule>
  </conditionalFormatting>
  <conditionalFormatting sqref="C893">
    <cfRule type="cellIs" dxfId="3423" priority="2676" stopIfTrue="1" operator="equal">
      <formula>"3 Delete"</formula>
    </cfRule>
  </conditionalFormatting>
  <conditionalFormatting sqref="C894">
    <cfRule type="cellIs" dxfId="3422" priority="2677" stopIfTrue="1" operator="equal">
      <formula>"1 Modify"</formula>
    </cfRule>
  </conditionalFormatting>
  <conditionalFormatting sqref="C894">
    <cfRule type="cellIs" dxfId="3421" priority="2678" stopIfTrue="1" operator="equal">
      <formula>"2 Add"</formula>
    </cfRule>
  </conditionalFormatting>
  <conditionalFormatting sqref="C894">
    <cfRule type="cellIs" dxfId="3420" priority="2679" stopIfTrue="1" operator="equal">
      <formula>"3 Delete"</formula>
    </cfRule>
  </conditionalFormatting>
  <conditionalFormatting sqref="C895">
    <cfRule type="cellIs" dxfId="3419" priority="2680" stopIfTrue="1" operator="equal">
      <formula>"1 Modify"</formula>
    </cfRule>
  </conditionalFormatting>
  <conditionalFormatting sqref="C895">
    <cfRule type="cellIs" dxfId="3418" priority="2681" stopIfTrue="1" operator="equal">
      <formula>"2 Add"</formula>
    </cfRule>
  </conditionalFormatting>
  <conditionalFormatting sqref="C895">
    <cfRule type="cellIs" dxfId="3417" priority="2682" stopIfTrue="1" operator="equal">
      <formula>"3 Delete"</formula>
    </cfRule>
  </conditionalFormatting>
  <conditionalFormatting sqref="C896">
    <cfRule type="cellIs" dxfId="3416" priority="2683" stopIfTrue="1" operator="equal">
      <formula>"1 Modify"</formula>
    </cfRule>
  </conditionalFormatting>
  <conditionalFormatting sqref="C896">
    <cfRule type="cellIs" dxfId="3415" priority="2684" stopIfTrue="1" operator="equal">
      <formula>"2 Add"</formula>
    </cfRule>
  </conditionalFormatting>
  <conditionalFormatting sqref="C896">
    <cfRule type="cellIs" dxfId="3414" priority="2685" stopIfTrue="1" operator="equal">
      <formula>"3 Delete"</formula>
    </cfRule>
  </conditionalFormatting>
  <conditionalFormatting sqref="C897">
    <cfRule type="cellIs" dxfId="3413" priority="2686" stopIfTrue="1" operator="equal">
      <formula>"1 Modify"</formula>
    </cfRule>
  </conditionalFormatting>
  <conditionalFormatting sqref="C897">
    <cfRule type="cellIs" dxfId="3412" priority="2687" stopIfTrue="1" operator="equal">
      <formula>"2 Add"</formula>
    </cfRule>
  </conditionalFormatting>
  <conditionalFormatting sqref="C897">
    <cfRule type="cellIs" dxfId="3411" priority="2688" stopIfTrue="1" operator="equal">
      <formula>"3 Delete"</formula>
    </cfRule>
  </conditionalFormatting>
  <conditionalFormatting sqref="C898">
    <cfRule type="cellIs" dxfId="3410" priority="2689" stopIfTrue="1" operator="equal">
      <formula>"1 Modify"</formula>
    </cfRule>
  </conditionalFormatting>
  <conditionalFormatting sqref="C898">
    <cfRule type="cellIs" dxfId="3409" priority="2690" stopIfTrue="1" operator="equal">
      <formula>"2 Add"</formula>
    </cfRule>
  </conditionalFormatting>
  <conditionalFormatting sqref="C898">
    <cfRule type="cellIs" dxfId="3408" priority="2691" stopIfTrue="1" operator="equal">
      <formula>"3 Delete"</formula>
    </cfRule>
  </conditionalFormatting>
  <conditionalFormatting sqref="C899">
    <cfRule type="cellIs" dxfId="3407" priority="2692" stopIfTrue="1" operator="equal">
      <formula>"1 Modify"</formula>
    </cfRule>
  </conditionalFormatting>
  <conditionalFormatting sqref="C899">
    <cfRule type="cellIs" dxfId="3406" priority="2693" stopIfTrue="1" operator="equal">
      <formula>"2 Add"</formula>
    </cfRule>
  </conditionalFormatting>
  <conditionalFormatting sqref="C899">
    <cfRule type="cellIs" dxfId="3405" priority="2694" stopIfTrue="1" operator="equal">
      <formula>"3 Delete"</formula>
    </cfRule>
  </conditionalFormatting>
  <conditionalFormatting sqref="C900">
    <cfRule type="cellIs" dxfId="3404" priority="2695" stopIfTrue="1" operator="equal">
      <formula>"1 Modify"</formula>
    </cfRule>
  </conditionalFormatting>
  <conditionalFormatting sqref="C900">
    <cfRule type="cellIs" dxfId="3403" priority="2696" stopIfTrue="1" operator="equal">
      <formula>"2 Add"</formula>
    </cfRule>
  </conditionalFormatting>
  <conditionalFormatting sqref="C900">
    <cfRule type="cellIs" dxfId="3402" priority="2697" stopIfTrue="1" operator="equal">
      <formula>"3 Delete"</formula>
    </cfRule>
  </conditionalFormatting>
  <conditionalFormatting sqref="C901">
    <cfRule type="cellIs" dxfId="3401" priority="2698" stopIfTrue="1" operator="equal">
      <formula>"1 Modify"</formula>
    </cfRule>
  </conditionalFormatting>
  <conditionalFormatting sqref="C901">
    <cfRule type="cellIs" dxfId="3400" priority="2699" stopIfTrue="1" operator="equal">
      <formula>"2 Add"</formula>
    </cfRule>
  </conditionalFormatting>
  <conditionalFormatting sqref="C901">
    <cfRule type="cellIs" dxfId="3399" priority="2700" stopIfTrue="1" operator="equal">
      <formula>"3 Delete"</formula>
    </cfRule>
  </conditionalFormatting>
  <conditionalFormatting sqref="C902">
    <cfRule type="cellIs" dxfId="3398" priority="2701" stopIfTrue="1" operator="equal">
      <formula>"1 Modify"</formula>
    </cfRule>
  </conditionalFormatting>
  <conditionalFormatting sqref="C902">
    <cfRule type="cellIs" dxfId="3397" priority="2702" stopIfTrue="1" operator="equal">
      <formula>"2 Add"</formula>
    </cfRule>
  </conditionalFormatting>
  <conditionalFormatting sqref="C902">
    <cfRule type="cellIs" dxfId="3396" priority="2703" stopIfTrue="1" operator="equal">
      <formula>"3 Delete"</formula>
    </cfRule>
  </conditionalFormatting>
  <conditionalFormatting sqref="C903">
    <cfRule type="cellIs" dxfId="3395" priority="2704" stopIfTrue="1" operator="equal">
      <formula>"1 Modify"</formula>
    </cfRule>
  </conditionalFormatting>
  <conditionalFormatting sqref="C903">
    <cfRule type="cellIs" dxfId="3394" priority="2705" stopIfTrue="1" operator="equal">
      <formula>"2 Add"</formula>
    </cfRule>
  </conditionalFormatting>
  <conditionalFormatting sqref="C903">
    <cfRule type="cellIs" dxfId="3393" priority="2706" stopIfTrue="1" operator="equal">
      <formula>"3 Delete"</formula>
    </cfRule>
  </conditionalFormatting>
  <conditionalFormatting sqref="C904">
    <cfRule type="cellIs" dxfId="3392" priority="2707" stopIfTrue="1" operator="equal">
      <formula>"1 Modify"</formula>
    </cfRule>
  </conditionalFormatting>
  <conditionalFormatting sqref="C904">
    <cfRule type="cellIs" dxfId="3391" priority="2708" stopIfTrue="1" operator="equal">
      <formula>"2 Add"</formula>
    </cfRule>
  </conditionalFormatting>
  <conditionalFormatting sqref="C904">
    <cfRule type="cellIs" dxfId="3390" priority="2709" stopIfTrue="1" operator="equal">
      <formula>"3 Delete"</formula>
    </cfRule>
  </conditionalFormatting>
  <conditionalFormatting sqref="C905">
    <cfRule type="cellIs" dxfId="3389" priority="2710" stopIfTrue="1" operator="equal">
      <formula>"1 Modify"</formula>
    </cfRule>
  </conditionalFormatting>
  <conditionalFormatting sqref="C905">
    <cfRule type="cellIs" dxfId="3388" priority="2711" stopIfTrue="1" operator="equal">
      <formula>"2 Add"</formula>
    </cfRule>
  </conditionalFormatting>
  <conditionalFormatting sqref="C905">
    <cfRule type="cellIs" dxfId="3387" priority="2712" stopIfTrue="1" operator="equal">
      <formula>"3 Delete"</formula>
    </cfRule>
  </conditionalFormatting>
  <conditionalFormatting sqref="C906">
    <cfRule type="cellIs" dxfId="3386" priority="2713" stopIfTrue="1" operator="equal">
      <formula>"1 Modify"</formula>
    </cfRule>
  </conditionalFormatting>
  <conditionalFormatting sqref="C906">
    <cfRule type="cellIs" dxfId="3385" priority="2714" stopIfTrue="1" operator="equal">
      <formula>"2 Add"</formula>
    </cfRule>
  </conditionalFormatting>
  <conditionalFormatting sqref="C906">
    <cfRule type="cellIs" dxfId="3384" priority="2715" stopIfTrue="1" operator="equal">
      <formula>"3 Delete"</formula>
    </cfRule>
  </conditionalFormatting>
  <conditionalFormatting sqref="C907">
    <cfRule type="cellIs" dxfId="3383" priority="2716" stopIfTrue="1" operator="equal">
      <formula>"1 Modify"</formula>
    </cfRule>
  </conditionalFormatting>
  <conditionalFormatting sqref="C907">
    <cfRule type="cellIs" dxfId="3382" priority="2717" stopIfTrue="1" operator="equal">
      <formula>"2 Add"</formula>
    </cfRule>
  </conditionalFormatting>
  <conditionalFormatting sqref="C907">
    <cfRule type="cellIs" dxfId="3381" priority="2718" stopIfTrue="1" operator="equal">
      <formula>"3 Delete"</formula>
    </cfRule>
  </conditionalFormatting>
  <conditionalFormatting sqref="C908">
    <cfRule type="cellIs" dxfId="3380" priority="2719" stopIfTrue="1" operator="equal">
      <formula>"1 Modify"</formula>
    </cfRule>
  </conditionalFormatting>
  <conditionalFormatting sqref="C908">
    <cfRule type="cellIs" dxfId="3379" priority="2720" stopIfTrue="1" operator="equal">
      <formula>"2 Add"</formula>
    </cfRule>
  </conditionalFormatting>
  <conditionalFormatting sqref="C908">
    <cfRule type="cellIs" dxfId="3378" priority="2721" stopIfTrue="1" operator="equal">
      <formula>"3 Delete"</formula>
    </cfRule>
  </conditionalFormatting>
  <conditionalFormatting sqref="C909">
    <cfRule type="cellIs" dxfId="3377" priority="2722" stopIfTrue="1" operator="equal">
      <formula>"1 Modify"</formula>
    </cfRule>
  </conditionalFormatting>
  <conditionalFormatting sqref="C909">
    <cfRule type="cellIs" dxfId="3376" priority="2723" stopIfTrue="1" operator="equal">
      <formula>"2 Add"</formula>
    </cfRule>
  </conditionalFormatting>
  <conditionalFormatting sqref="C909">
    <cfRule type="cellIs" dxfId="3375" priority="2724" stopIfTrue="1" operator="equal">
      <formula>"3 Delete"</formula>
    </cfRule>
  </conditionalFormatting>
  <conditionalFormatting sqref="C910">
    <cfRule type="cellIs" dxfId="3374" priority="2725" stopIfTrue="1" operator="equal">
      <formula>"1 Modify"</formula>
    </cfRule>
  </conditionalFormatting>
  <conditionalFormatting sqref="C910">
    <cfRule type="cellIs" dxfId="3373" priority="2726" stopIfTrue="1" operator="equal">
      <formula>"2 Add"</formula>
    </cfRule>
  </conditionalFormatting>
  <conditionalFormatting sqref="C910">
    <cfRule type="cellIs" dxfId="3372" priority="2727" stopIfTrue="1" operator="equal">
      <formula>"3 Delete"</formula>
    </cfRule>
  </conditionalFormatting>
  <conditionalFormatting sqref="C911">
    <cfRule type="cellIs" dxfId="3371" priority="2728" stopIfTrue="1" operator="equal">
      <formula>"1 Modify"</formula>
    </cfRule>
  </conditionalFormatting>
  <conditionalFormatting sqref="C911">
    <cfRule type="cellIs" dxfId="3370" priority="2729" stopIfTrue="1" operator="equal">
      <formula>"2 Add"</formula>
    </cfRule>
  </conditionalFormatting>
  <conditionalFormatting sqref="C911">
    <cfRule type="cellIs" dxfId="3369" priority="2730" stopIfTrue="1" operator="equal">
      <formula>"3 Delete"</formula>
    </cfRule>
  </conditionalFormatting>
  <conditionalFormatting sqref="C912">
    <cfRule type="cellIs" dxfId="3368" priority="2731" stopIfTrue="1" operator="equal">
      <formula>"1 Modify"</formula>
    </cfRule>
  </conditionalFormatting>
  <conditionalFormatting sqref="C912">
    <cfRule type="cellIs" dxfId="3367" priority="2732" stopIfTrue="1" operator="equal">
      <formula>"2 Add"</formula>
    </cfRule>
  </conditionalFormatting>
  <conditionalFormatting sqref="C912">
    <cfRule type="cellIs" dxfId="3366" priority="2733" stopIfTrue="1" operator="equal">
      <formula>"3 Delete"</formula>
    </cfRule>
  </conditionalFormatting>
  <conditionalFormatting sqref="C913">
    <cfRule type="cellIs" dxfId="3365" priority="2734" stopIfTrue="1" operator="equal">
      <formula>"1 Modify"</formula>
    </cfRule>
  </conditionalFormatting>
  <conditionalFormatting sqref="C913">
    <cfRule type="cellIs" dxfId="3364" priority="2735" stopIfTrue="1" operator="equal">
      <formula>"2 Add"</formula>
    </cfRule>
  </conditionalFormatting>
  <conditionalFormatting sqref="C913">
    <cfRule type="cellIs" dxfId="3363" priority="2736" stopIfTrue="1" operator="equal">
      <formula>"3 Delete"</formula>
    </cfRule>
  </conditionalFormatting>
  <conditionalFormatting sqref="C914">
    <cfRule type="cellIs" dxfId="3362" priority="2737" stopIfTrue="1" operator="equal">
      <formula>"1 Modify"</formula>
    </cfRule>
  </conditionalFormatting>
  <conditionalFormatting sqref="C914">
    <cfRule type="cellIs" dxfId="3361" priority="2738" stopIfTrue="1" operator="equal">
      <formula>"2 Add"</formula>
    </cfRule>
  </conditionalFormatting>
  <conditionalFormatting sqref="C914">
    <cfRule type="cellIs" dxfId="3360" priority="2739" stopIfTrue="1" operator="equal">
      <formula>"3 Delete"</formula>
    </cfRule>
  </conditionalFormatting>
  <conditionalFormatting sqref="C915">
    <cfRule type="cellIs" dxfId="3359" priority="2740" stopIfTrue="1" operator="equal">
      <formula>"1 Modify"</formula>
    </cfRule>
  </conditionalFormatting>
  <conditionalFormatting sqref="C915">
    <cfRule type="cellIs" dxfId="3358" priority="2741" stopIfTrue="1" operator="equal">
      <formula>"2 Add"</formula>
    </cfRule>
  </conditionalFormatting>
  <conditionalFormatting sqref="C915">
    <cfRule type="cellIs" dxfId="3357" priority="2742" stopIfTrue="1" operator="equal">
      <formula>"3 Delete"</formula>
    </cfRule>
  </conditionalFormatting>
  <conditionalFormatting sqref="C916">
    <cfRule type="cellIs" dxfId="3356" priority="2743" stopIfTrue="1" operator="equal">
      <formula>"1 Modify"</formula>
    </cfRule>
  </conditionalFormatting>
  <conditionalFormatting sqref="C916">
    <cfRule type="cellIs" dxfId="3355" priority="2744" stopIfTrue="1" operator="equal">
      <formula>"2 Add"</formula>
    </cfRule>
  </conditionalFormatting>
  <conditionalFormatting sqref="C916">
    <cfRule type="cellIs" dxfId="3354" priority="2745" stopIfTrue="1" operator="equal">
      <formula>"3 Delete"</formula>
    </cfRule>
  </conditionalFormatting>
  <conditionalFormatting sqref="C917">
    <cfRule type="cellIs" dxfId="3353" priority="2746" stopIfTrue="1" operator="equal">
      <formula>"1 Modify"</formula>
    </cfRule>
  </conditionalFormatting>
  <conditionalFormatting sqref="C917">
    <cfRule type="cellIs" dxfId="3352" priority="2747" stopIfTrue="1" operator="equal">
      <formula>"2 Add"</formula>
    </cfRule>
  </conditionalFormatting>
  <conditionalFormatting sqref="C917">
    <cfRule type="cellIs" dxfId="3351" priority="2748" stopIfTrue="1" operator="equal">
      <formula>"3 Delete"</formula>
    </cfRule>
  </conditionalFormatting>
  <conditionalFormatting sqref="C918">
    <cfRule type="cellIs" dxfId="3350" priority="2749" stopIfTrue="1" operator="equal">
      <formula>"1 Modify"</formula>
    </cfRule>
  </conditionalFormatting>
  <conditionalFormatting sqref="C918">
    <cfRule type="cellIs" dxfId="3349" priority="2750" stopIfTrue="1" operator="equal">
      <formula>"2 Add"</formula>
    </cfRule>
  </conditionalFormatting>
  <conditionalFormatting sqref="C918">
    <cfRule type="cellIs" dxfId="3348" priority="2751" stopIfTrue="1" operator="equal">
      <formula>"3 Delete"</formula>
    </cfRule>
  </conditionalFormatting>
  <conditionalFormatting sqref="C919">
    <cfRule type="cellIs" dxfId="3347" priority="2752" stopIfTrue="1" operator="equal">
      <formula>"1 Modify"</formula>
    </cfRule>
  </conditionalFormatting>
  <conditionalFormatting sqref="C919">
    <cfRule type="cellIs" dxfId="3346" priority="2753" stopIfTrue="1" operator="equal">
      <formula>"2 Add"</formula>
    </cfRule>
  </conditionalFormatting>
  <conditionalFormatting sqref="C919">
    <cfRule type="cellIs" dxfId="3345" priority="2754" stopIfTrue="1" operator="equal">
      <formula>"3 Delete"</formula>
    </cfRule>
  </conditionalFormatting>
  <conditionalFormatting sqref="C920">
    <cfRule type="cellIs" dxfId="3344" priority="2755" stopIfTrue="1" operator="equal">
      <formula>"1 Modify"</formula>
    </cfRule>
  </conditionalFormatting>
  <conditionalFormatting sqref="C920">
    <cfRule type="cellIs" dxfId="3343" priority="2756" stopIfTrue="1" operator="equal">
      <formula>"2 Add"</formula>
    </cfRule>
  </conditionalFormatting>
  <conditionalFormatting sqref="C920">
    <cfRule type="cellIs" dxfId="3342" priority="2757" stopIfTrue="1" operator="equal">
      <formula>"3 Delete"</formula>
    </cfRule>
  </conditionalFormatting>
  <conditionalFormatting sqref="C921">
    <cfRule type="cellIs" dxfId="3341" priority="2758" stopIfTrue="1" operator="equal">
      <formula>"1 Modify"</formula>
    </cfRule>
  </conditionalFormatting>
  <conditionalFormatting sqref="C921">
    <cfRule type="cellIs" dxfId="3340" priority="2759" stopIfTrue="1" operator="equal">
      <formula>"2 Add"</formula>
    </cfRule>
  </conditionalFormatting>
  <conditionalFormatting sqref="C921">
    <cfRule type="cellIs" dxfId="3339" priority="2760" stopIfTrue="1" operator="equal">
      <formula>"3 Delete"</formula>
    </cfRule>
  </conditionalFormatting>
  <conditionalFormatting sqref="C922">
    <cfRule type="cellIs" dxfId="3338" priority="2761" stopIfTrue="1" operator="equal">
      <formula>"1 Modify"</formula>
    </cfRule>
  </conditionalFormatting>
  <conditionalFormatting sqref="C922">
    <cfRule type="cellIs" dxfId="3337" priority="2762" stopIfTrue="1" operator="equal">
      <formula>"2 Add"</formula>
    </cfRule>
  </conditionalFormatting>
  <conditionalFormatting sqref="C922">
    <cfRule type="cellIs" dxfId="3336" priority="2763" stopIfTrue="1" operator="equal">
      <formula>"3 Delete"</formula>
    </cfRule>
  </conditionalFormatting>
  <conditionalFormatting sqref="C923">
    <cfRule type="cellIs" dxfId="3335" priority="2764" stopIfTrue="1" operator="equal">
      <formula>"1 Modify"</formula>
    </cfRule>
  </conditionalFormatting>
  <conditionalFormatting sqref="C923">
    <cfRule type="cellIs" dxfId="3334" priority="2765" stopIfTrue="1" operator="equal">
      <formula>"2 Add"</formula>
    </cfRule>
  </conditionalFormatting>
  <conditionalFormatting sqref="C923">
    <cfRule type="cellIs" dxfId="3333" priority="2766" stopIfTrue="1" operator="equal">
      <formula>"3 Delete"</formula>
    </cfRule>
  </conditionalFormatting>
  <conditionalFormatting sqref="C924">
    <cfRule type="cellIs" dxfId="3332" priority="2767" stopIfTrue="1" operator="equal">
      <formula>"1 Modify"</formula>
    </cfRule>
  </conditionalFormatting>
  <conditionalFormatting sqref="C924">
    <cfRule type="cellIs" dxfId="3331" priority="2768" stopIfTrue="1" operator="equal">
      <formula>"2 Add"</formula>
    </cfRule>
  </conditionalFormatting>
  <conditionalFormatting sqref="C924">
    <cfRule type="cellIs" dxfId="3330" priority="2769" stopIfTrue="1" operator="equal">
      <formula>"3 Delete"</formula>
    </cfRule>
  </conditionalFormatting>
  <conditionalFormatting sqref="C925">
    <cfRule type="cellIs" dxfId="3329" priority="2770" stopIfTrue="1" operator="equal">
      <formula>"1 Modify"</formula>
    </cfRule>
  </conditionalFormatting>
  <conditionalFormatting sqref="C925">
    <cfRule type="cellIs" dxfId="3328" priority="2771" stopIfTrue="1" operator="equal">
      <formula>"2 Add"</formula>
    </cfRule>
  </conditionalFormatting>
  <conditionalFormatting sqref="C925">
    <cfRule type="cellIs" dxfId="3327" priority="2772" stopIfTrue="1" operator="equal">
      <formula>"3 Delete"</formula>
    </cfRule>
  </conditionalFormatting>
  <conditionalFormatting sqref="C926">
    <cfRule type="cellIs" dxfId="3326" priority="2773" stopIfTrue="1" operator="equal">
      <formula>"1 Modify"</formula>
    </cfRule>
  </conditionalFormatting>
  <conditionalFormatting sqref="C926">
    <cfRule type="cellIs" dxfId="3325" priority="2774" stopIfTrue="1" operator="equal">
      <formula>"2 Add"</formula>
    </cfRule>
  </conditionalFormatting>
  <conditionalFormatting sqref="C926">
    <cfRule type="cellIs" dxfId="3324" priority="2775" stopIfTrue="1" operator="equal">
      <formula>"3 Delete"</formula>
    </cfRule>
  </conditionalFormatting>
  <conditionalFormatting sqref="C927">
    <cfRule type="cellIs" dxfId="3323" priority="2776" stopIfTrue="1" operator="equal">
      <formula>"1 Modify"</formula>
    </cfRule>
  </conditionalFormatting>
  <conditionalFormatting sqref="C927">
    <cfRule type="cellIs" dxfId="3322" priority="2777" stopIfTrue="1" operator="equal">
      <formula>"2 Add"</formula>
    </cfRule>
  </conditionalFormatting>
  <conditionalFormatting sqref="C927">
    <cfRule type="cellIs" dxfId="3321" priority="2778" stopIfTrue="1" operator="equal">
      <formula>"3 Delete"</formula>
    </cfRule>
  </conditionalFormatting>
  <conditionalFormatting sqref="C928">
    <cfRule type="cellIs" dxfId="3320" priority="2779" stopIfTrue="1" operator="equal">
      <formula>"1 Modify"</formula>
    </cfRule>
  </conditionalFormatting>
  <conditionalFormatting sqref="C928">
    <cfRule type="cellIs" dxfId="3319" priority="2780" stopIfTrue="1" operator="equal">
      <formula>"2 Add"</formula>
    </cfRule>
  </conditionalFormatting>
  <conditionalFormatting sqref="C928">
    <cfRule type="cellIs" dxfId="3318" priority="2781" stopIfTrue="1" operator="equal">
      <formula>"3 Delete"</formula>
    </cfRule>
  </conditionalFormatting>
  <conditionalFormatting sqref="C929">
    <cfRule type="cellIs" dxfId="3317" priority="2782" stopIfTrue="1" operator="equal">
      <formula>"1 Modify"</formula>
    </cfRule>
  </conditionalFormatting>
  <conditionalFormatting sqref="C929">
    <cfRule type="cellIs" dxfId="3316" priority="2783" stopIfTrue="1" operator="equal">
      <formula>"2 Add"</formula>
    </cfRule>
  </conditionalFormatting>
  <conditionalFormatting sqref="C929">
    <cfRule type="cellIs" dxfId="3315" priority="2784" stopIfTrue="1" operator="equal">
      <formula>"3 Delete"</formula>
    </cfRule>
  </conditionalFormatting>
  <conditionalFormatting sqref="C930">
    <cfRule type="cellIs" dxfId="3314" priority="2785" stopIfTrue="1" operator="equal">
      <formula>"1 Modify"</formula>
    </cfRule>
  </conditionalFormatting>
  <conditionalFormatting sqref="C930">
    <cfRule type="cellIs" dxfId="3313" priority="2786" stopIfTrue="1" operator="equal">
      <formula>"2 Add"</formula>
    </cfRule>
  </conditionalFormatting>
  <conditionalFormatting sqref="C930">
    <cfRule type="cellIs" dxfId="3312" priority="2787" stopIfTrue="1" operator="equal">
      <formula>"3 Delete"</formula>
    </cfRule>
  </conditionalFormatting>
  <conditionalFormatting sqref="C931">
    <cfRule type="cellIs" dxfId="3311" priority="2788" stopIfTrue="1" operator="equal">
      <formula>"1 Modify"</formula>
    </cfRule>
  </conditionalFormatting>
  <conditionalFormatting sqref="C931">
    <cfRule type="cellIs" dxfId="3310" priority="2789" stopIfTrue="1" operator="equal">
      <formula>"2 Add"</formula>
    </cfRule>
  </conditionalFormatting>
  <conditionalFormatting sqref="C931">
    <cfRule type="cellIs" dxfId="3309" priority="2790" stopIfTrue="1" operator="equal">
      <formula>"3 Delete"</formula>
    </cfRule>
  </conditionalFormatting>
  <conditionalFormatting sqref="C932">
    <cfRule type="cellIs" dxfId="3308" priority="2791" stopIfTrue="1" operator="equal">
      <formula>"1 Modify"</formula>
    </cfRule>
  </conditionalFormatting>
  <conditionalFormatting sqref="C932">
    <cfRule type="cellIs" dxfId="3307" priority="2792" stopIfTrue="1" operator="equal">
      <formula>"2 Add"</formula>
    </cfRule>
  </conditionalFormatting>
  <conditionalFormatting sqref="C932">
    <cfRule type="cellIs" dxfId="3306" priority="2793" stopIfTrue="1" operator="equal">
      <formula>"3 Delete"</formula>
    </cfRule>
  </conditionalFormatting>
  <conditionalFormatting sqref="C933">
    <cfRule type="cellIs" dxfId="3305" priority="2794" stopIfTrue="1" operator="equal">
      <formula>"1 Modify"</formula>
    </cfRule>
  </conditionalFormatting>
  <conditionalFormatting sqref="C933">
    <cfRule type="cellIs" dxfId="3304" priority="2795" stopIfTrue="1" operator="equal">
      <formula>"2 Add"</formula>
    </cfRule>
  </conditionalFormatting>
  <conditionalFormatting sqref="C933">
    <cfRule type="cellIs" dxfId="3303" priority="2796" stopIfTrue="1" operator="equal">
      <formula>"3 Delete"</formula>
    </cfRule>
  </conditionalFormatting>
  <conditionalFormatting sqref="C934">
    <cfRule type="cellIs" dxfId="3302" priority="2797" stopIfTrue="1" operator="equal">
      <formula>"1 Modify"</formula>
    </cfRule>
  </conditionalFormatting>
  <conditionalFormatting sqref="C934">
    <cfRule type="cellIs" dxfId="3301" priority="2798" stopIfTrue="1" operator="equal">
      <formula>"2 Add"</formula>
    </cfRule>
  </conditionalFormatting>
  <conditionalFormatting sqref="C934">
    <cfRule type="cellIs" dxfId="3300" priority="2799" stopIfTrue="1" operator="equal">
      <formula>"3 Delete"</formula>
    </cfRule>
  </conditionalFormatting>
  <conditionalFormatting sqref="C935">
    <cfRule type="cellIs" dxfId="3299" priority="2800" stopIfTrue="1" operator="equal">
      <formula>"1 Modify"</formula>
    </cfRule>
  </conditionalFormatting>
  <conditionalFormatting sqref="C935">
    <cfRule type="cellIs" dxfId="3298" priority="2801" stopIfTrue="1" operator="equal">
      <formula>"2 Add"</formula>
    </cfRule>
  </conditionalFormatting>
  <conditionalFormatting sqref="C935">
    <cfRule type="cellIs" dxfId="3297" priority="2802" stopIfTrue="1" operator="equal">
      <formula>"3 Delete"</formula>
    </cfRule>
  </conditionalFormatting>
  <conditionalFormatting sqref="C936">
    <cfRule type="cellIs" dxfId="3296" priority="2803" stopIfTrue="1" operator="equal">
      <formula>"1 Modify"</formula>
    </cfRule>
  </conditionalFormatting>
  <conditionalFormatting sqref="C936">
    <cfRule type="cellIs" dxfId="3295" priority="2804" stopIfTrue="1" operator="equal">
      <formula>"2 Add"</formula>
    </cfRule>
  </conditionalFormatting>
  <conditionalFormatting sqref="C936">
    <cfRule type="cellIs" dxfId="3294" priority="2805" stopIfTrue="1" operator="equal">
      <formula>"3 Delete"</formula>
    </cfRule>
  </conditionalFormatting>
  <conditionalFormatting sqref="C937">
    <cfRule type="cellIs" dxfId="3293" priority="2806" stopIfTrue="1" operator="equal">
      <formula>"1 Modify"</formula>
    </cfRule>
  </conditionalFormatting>
  <conditionalFormatting sqref="C937">
    <cfRule type="cellIs" dxfId="3292" priority="2807" stopIfTrue="1" operator="equal">
      <formula>"2 Add"</formula>
    </cfRule>
  </conditionalFormatting>
  <conditionalFormatting sqref="C937">
    <cfRule type="cellIs" dxfId="3291" priority="2808" stopIfTrue="1" operator="equal">
      <formula>"3 Delete"</formula>
    </cfRule>
  </conditionalFormatting>
  <conditionalFormatting sqref="C938">
    <cfRule type="cellIs" dxfId="3290" priority="2809" stopIfTrue="1" operator="equal">
      <formula>"1 Modify"</formula>
    </cfRule>
  </conditionalFormatting>
  <conditionalFormatting sqref="C938">
    <cfRule type="cellIs" dxfId="3289" priority="2810" stopIfTrue="1" operator="equal">
      <formula>"2 Add"</formula>
    </cfRule>
  </conditionalFormatting>
  <conditionalFormatting sqref="C938">
    <cfRule type="cellIs" dxfId="3288" priority="2811" stopIfTrue="1" operator="equal">
      <formula>"3 Delete"</formula>
    </cfRule>
  </conditionalFormatting>
  <conditionalFormatting sqref="C939">
    <cfRule type="cellIs" dxfId="3287" priority="2812" stopIfTrue="1" operator="equal">
      <formula>"1 Modify"</formula>
    </cfRule>
  </conditionalFormatting>
  <conditionalFormatting sqref="C939">
    <cfRule type="cellIs" dxfId="3286" priority="2813" stopIfTrue="1" operator="equal">
      <formula>"2 Add"</formula>
    </cfRule>
  </conditionalFormatting>
  <conditionalFormatting sqref="C939">
    <cfRule type="cellIs" dxfId="3285" priority="2814" stopIfTrue="1" operator="equal">
      <formula>"3 Delete"</formula>
    </cfRule>
  </conditionalFormatting>
  <conditionalFormatting sqref="C940">
    <cfRule type="cellIs" dxfId="3284" priority="2815" stopIfTrue="1" operator="equal">
      <formula>"1 Modify"</formula>
    </cfRule>
  </conditionalFormatting>
  <conditionalFormatting sqref="C940">
    <cfRule type="cellIs" dxfId="3283" priority="2816" stopIfTrue="1" operator="equal">
      <formula>"2 Add"</formula>
    </cfRule>
  </conditionalFormatting>
  <conditionalFormatting sqref="C940">
    <cfRule type="cellIs" dxfId="3282" priority="2817" stopIfTrue="1" operator="equal">
      <formula>"3 Delete"</formula>
    </cfRule>
  </conditionalFormatting>
  <conditionalFormatting sqref="C941">
    <cfRule type="cellIs" dxfId="3281" priority="2818" stopIfTrue="1" operator="equal">
      <formula>"1 Modify"</formula>
    </cfRule>
  </conditionalFormatting>
  <conditionalFormatting sqref="C941">
    <cfRule type="cellIs" dxfId="3280" priority="2819" stopIfTrue="1" operator="equal">
      <formula>"2 Add"</formula>
    </cfRule>
  </conditionalFormatting>
  <conditionalFormatting sqref="C941">
    <cfRule type="cellIs" dxfId="3279" priority="2820" stopIfTrue="1" operator="equal">
      <formula>"3 Delete"</formula>
    </cfRule>
  </conditionalFormatting>
  <conditionalFormatting sqref="C942">
    <cfRule type="cellIs" dxfId="3278" priority="2821" stopIfTrue="1" operator="equal">
      <formula>"1 Modify"</formula>
    </cfRule>
  </conditionalFormatting>
  <conditionalFormatting sqref="C942">
    <cfRule type="cellIs" dxfId="3277" priority="2822" stopIfTrue="1" operator="equal">
      <formula>"2 Add"</formula>
    </cfRule>
  </conditionalFormatting>
  <conditionalFormatting sqref="C942">
    <cfRule type="cellIs" dxfId="3276" priority="2823" stopIfTrue="1" operator="equal">
      <formula>"3 Delete"</formula>
    </cfRule>
  </conditionalFormatting>
  <conditionalFormatting sqref="C943">
    <cfRule type="cellIs" dxfId="3275" priority="2824" stopIfTrue="1" operator="equal">
      <formula>"1 Modify"</formula>
    </cfRule>
  </conditionalFormatting>
  <conditionalFormatting sqref="C943">
    <cfRule type="cellIs" dxfId="3274" priority="2825" stopIfTrue="1" operator="equal">
      <formula>"2 Add"</formula>
    </cfRule>
  </conditionalFormatting>
  <conditionalFormatting sqref="C943">
    <cfRule type="cellIs" dxfId="3273" priority="2826" stopIfTrue="1" operator="equal">
      <formula>"3 Delete"</formula>
    </cfRule>
  </conditionalFormatting>
  <conditionalFormatting sqref="C944">
    <cfRule type="cellIs" dxfId="3272" priority="2827" stopIfTrue="1" operator="equal">
      <formula>"1 Modify"</formula>
    </cfRule>
  </conditionalFormatting>
  <conditionalFormatting sqref="C944">
    <cfRule type="cellIs" dxfId="3271" priority="2828" stopIfTrue="1" operator="equal">
      <formula>"2 Add"</formula>
    </cfRule>
  </conditionalFormatting>
  <conditionalFormatting sqref="C944">
    <cfRule type="cellIs" dxfId="3270" priority="2829" stopIfTrue="1" operator="equal">
      <formula>"3 Delete"</formula>
    </cfRule>
  </conditionalFormatting>
  <conditionalFormatting sqref="C945">
    <cfRule type="cellIs" dxfId="3269" priority="2830" stopIfTrue="1" operator="equal">
      <formula>"1 Modify"</formula>
    </cfRule>
  </conditionalFormatting>
  <conditionalFormatting sqref="C945">
    <cfRule type="cellIs" dxfId="3268" priority="2831" stopIfTrue="1" operator="equal">
      <formula>"2 Add"</formula>
    </cfRule>
  </conditionalFormatting>
  <conditionalFormatting sqref="C945">
    <cfRule type="cellIs" dxfId="3267" priority="2832" stopIfTrue="1" operator="equal">
      <formula>"3 Delete"</formula>
    </cfRule>
  </conditionalFormatting>
  <conditionalFormatting sqref="C946">
    <cfRule type="cellIs" dxfId="3266" priority="2833" stopIfTrue="1" operator="equal">
      <formula>"1 Modify"</formula>
    </cfRule>
  </conditionalFormatting>
  <conditionalFormatting sqref="C946">
    <cfRule type="cellIs" dxfId="3265" priority="2834" stopIfTrue="1" operator="equal">
      <formula>"2 Add"</formula>
    </cfRule>
  </conditionalFormatting>
  <conditionalFormatting sqref="C946">
    <cfRule type="cellIs" dxfId="3264" priority="2835" stopIfTrue="1" operator="equal">
      <formula>"3 Delete"</formula>
    </cfRule>
  </conditionalFormatting>
  <conditionalFormatting sqref="C947">
    <cfRule type="cellIs" dxfId="3263" priority="2836" stopIfTrue="1" operator="equal">
      <formula>"1 Modify"</formula>
    </cfRule>
  </conditionalFormatting>
  <conditionalFormatting sqref="C947">
    <cfRule type="cellIs" dxfId="3262" priority="2837" stopIfTrue="1" operator="equal">
      <formula>"2 Add"</formula>
    </cfRule>
  </conditionalFormatting>
  <conditionalFormatting sqref="C947">
    <cfRule type="cellIs" dxfId="3261" priority="2838" stopIfTrue="1" operator="equal">
      <formula>"3 Delete"</formula>
    </cfRule>
  </conditionalFormatting>
  <conditionalFormatting sqref="C948">
    <cfRule type="cellIs" dxfId="3260" priority="2839" stopIfTrue="1" operator="equal">
      <formula>"1 Modify"</formula>
    </cfRule>
  </conditionalFormatting>
  <conditionalFormatting sqref="C948">
    <cfRule type="cellIs" dxfId="3259" priority="2840" stopIfTrue="1" operator="equal">
      <formula>"2 Add"</formula>
    </cfRule>
  </conditionalFormatting>
  <conditionalFormatting sqref="C948">
    <cfRule type="cellIs" dxfId="3258" priority="2841" stopIfTrue="1" operator="equal">
      <formula>"3 Delete"</formula>
    </cfRule>
  </conditionalFormatting>
  <conditionalFormatting sqref="C949">
    <cfRule type="cellIs" dxfId="3257" priority="2842" stopIfTrue="1" operator="equal">
      <formula>"1 Modify"</formula>
    </cfRule>
  </conditionalFormatting>
  <conditionalFormatting sqref="C949">
    <cfRule type="cellIs" dxfId="3256" priority="2843" stopIfTrue="1" operator="equal">
      <formula>"2 Add"</formula>
    </cfRule>
  </conditionalFormatting>
  <conditionalFormatting sqref="C949">
    <cfRule type="cellIs" dxfId="3255" priority="2844" stopIfTrue="1" operator="equal">
      <formula>"3 Delete"</formula>
    </cfRule>
  </conditionalFormatting>
  <conditionalFormatting sqref="C950">
    <cfRule type="cellIs" dxfId="3254" priority="2845" stopIfTrue="1" operator="equal">
      <formula>"1 Modify"</formula>
    </cfRule>
  </conditionalFormatting>
  <conditionalFormatting sqref="C950">
    <cfRule type="cellIs" dxfId="3253" priority="2846" stopIfTrue="1" operator="equal">
      <formula>"2 Add"</formula>
    </cfRule>
  </conditionalFormatting>
  <conditionalFormatting sqref="C950">
    <cfRule type="cellIs" dxfId="3252" priority="2847" stopIfTrue="1" operator="equal">
      <formula>"3 Delete"</formula>
    </cfRule>
  </conditionalFormatting>
  <conditionalFormatting sqref="C951">
    <cfRule type="cellIs" dxfId="3251" priority="2848" stopIfTrue="1" operator="equal">
      <formula>"1 Modify"</formula>
    </cfRule>
  </conditionalFormatting>
  <conditionalFormatting sqref="C951">
    <cfRule type="cellIs" dxfId="3250" priority="2849" stopIfTrue="1" operator="equal">
      <formula>"2 Add"</formula>
    </cfRule>
  </conditionalFormatting>
  <conditionalFormatting sqref="C951">
    <cfRule type="cellIs" dxfId="3249" priority="2850" stopIfTrue="1" operator="equal">
      <formula>"3 Delete"</formula>
    </cfRule>
  </conditionalFormatting>
  <conditionalFormatting sqref="C952">
    <cfRule type="cellIs" dxfId="3248" priority="2851" stopIfTrue="1" operator="equal">
      <formula>"1 Modify"</formula>
    </cfRule>
  </conditionalFormatting>
  <conditionalFormatting sqref="C952">
    <cfRule type="cellIs" dxfId="3247" priority="2852" stopIfTrue="1" operator="equal">
      <formula>"2 Add"</formula>
    </cfRule>
  </conditionalFormatting>
  <conditionalFormatting sqref="C952">
    <cfRule type="cellIs" dxfId="3246" priority="2853" stopIfTrue="1" operator="equal">
      <formula>"3 Delete"</formula>
    </cfRule>
  </conditionalFormatting>
  <conditionalFormatting sqref="C953">
    <cfRule type="cellIs" dxfId="3245" priority="2854" stopIfTrue="1" operator="equal">
      <formula>"1 Modify"</formula>
    </cfRule>
  </conditionalFormatting>
  <conditionalFormatting sqref="C953">
    <cfRule type="cellIs" dxfId="3244" priority="2855" stopIfTrue="1" operator="equal">
      <formula>"2 Add"</formula>
    </cfRule>
  </conditionalFormatting>
  <conditionalFormatting sqref="C953">
    <cfRule type="cellIs" dxfId="3243" priority="2856" stopIfTrue="1" operator="equal">
      <formula>"3 Delete"</formula>
    </cfRule>
  </conditionalFormatting>
  <conditionalFormatting sqref="C954">
    <cfRule type="cellIs" dxfId="3242" priority="2857" stopIfTrue="1" operator="equal">
      <formula>"1 Modify"</formula>
    </cfRule>
  </conditionalFormatting>
  <conditionalFormatting sqref="C954">
    <cfRule type="cellIs" dxfId="3241" priority="2858" stopIfTrue="1" operator="equal">
      <formula>"2 Add"</formula>
    </cfRule>
  </conditionalFormatting>
  <conditionalFormatting sqref="C954">
    <cfRule type="cellIs" dxfId="3240" priority="2859" stopIfTrue="1" operator="equal">
      <formula>"3 Delete"</formula>
    </cfRule>
  </conditionalFormatting>
  <conditionalFormatting sqref="C955">
    <cfRule type="cellIs" dxfId="3239" priority="2860" stopIfTrue="1" operator="equal">
      <formula>"1 Modify"</formula>
    </cfRule>
  </conditionalFormatting>
  <conditionalFormatting sqref="C955">
    <cfRule type="cellIs" dxfId="3238" priority="2861" stopIfTrue="1" operator="equal">
      <formula>"2 Add"</formula>
    </cfRule>
  </conditionalFormatting>
  <conditionalFormatting sqref="C955">
    <cfRule type="cellIs" dxfId="3237" priority="2862" stopIfTrue="1" operator="equal">
      <formula>"3 Delete"</formula>
    </cfRule>
  </conditionalFormatting>
  <conditionalFormatting sqref="C956">
    <cfRule type="cellIs" dxfId="3236" priority="2863" stopIfTrue="1" operator="equal">
      <formula>"1 Modify"</formula>
    </cfRule>
  </conditionalFormatting>
  <conditionalFormatting sqref="C956">
    <cfRule type="cellIs" dxfId="3235" priority="2864" stopIfTrue="1" operator="equal">
      <formula>"2 Add"</formula>
    </cfRule>
  </conditionalFormatting>
  <conditionalFormatting sqref="C956">
    <cfRule type="cellIs" dxfId="3234" priority="2865" stopIfTrue="1" operator="equal">
      <formula>"3 Delete"</formula>
    </cfRule>
  </conditionalFormatting>
  <conditionalFormatting sqref="C957">
    <cfRule type="cellIs" dxfId="3233" priority="2866" stopIfTrue="1" operator="equal">
      <formula>"1 Modify"</formula>
    </cfRule>
  </conditionalFormatting>
  <conditionalFormatting sqref="C957">
    <cfRule type="cellIs" dxfId="3232" priority="2867" stopIfTrue="1" operator="equal">
      <formula>"2 Add"</formula>
    </cfRule>
  </conditionalFormatting>
  <conditionalFormatting sqref="C957">
    <cfRule type="cellIs" dxfId="3231" priority="2868" stopIfTrue="1" operator="equal">
      <formula>"3 Delete"</formula>
    </cfRule>
  </conditionalFormatting>
  <conditionalFormatting sqref="C958">
    <cfRule type="cellIs" dxfId="3230" priority="2869" stopIfTrue="1" operator="equal">
      <formula>"1 Modify"</formula>
    </cfRule>
  </conditionalFormatting>
  <conditionalFormatting sqref="C958">
    <cfRule type="cellIs" dxfId="3229" priority="2870" stopIfTrue="1" operator="equal">
      <formula>"2 Add"</formula>
    </cfRule>
  </conditionalFormatting>
  <conditionalFormatting sqref="C958">
    <cfRule type="cellIs" dxfId="3228" priority="2871" stopIfTrue="1" operator="equal">
      <formula>"3 Delete"</formula>
    </cfRule>
  </conditionalFormatting>
  <conditionalFormatting sqref="C959">
    <cfRule type="cellIs" dxfId="3227" priority="2872" stopIfTrue="1" operator="equal">
      <formula>"1 Modify"</formula>
    </cfRule>
  </conditionalFormatting>
  <conditionalFormatting sqref="C959">
    <cfRule type="cellIs" dxfId="3226" priority="2873" stopIfTrue="1" operator="equal">
      <formula>"2 Add"</formula>
    </cfRule>
  </conditionalFormatting>
  <conditionalFormatting sqref="C959">
    <cfRule type="cellIs" dxfId="3225" priority="2874" stopIfTrue="1" operator="equal">
      <formula>"3 Delete"</formula>
    </cfRule>
  </conditionalFormatting>
  <conditionalFormatting sqref="C960">
    <cfRule type="cellIs" dxfId="3224" priority="2875" stopIfTrue="1" operator="equal">
      <formula>"1 Modify"</formula>
    </cfRule>
  </conditionalFormatting>
  <conditionalFormatting sqref="C960">
    <cfRule type="cellIs" dxfId="3223" priority="2876" stopIfTrue="1" operator="equal">
      <formula>"2 Add"</formula>
    </cfRule>
  </conditionalFormatting>
  <conditionalFormatting sqref="C960">
    <cfRule type="cellIs" dxfId="3222" priority="2877" stopIfTrue="1" operator="equal">
      <formula>"3 Delete"</formula>
    </cfRule>
  </conditionalFormatting>
  <conditionalFormatting sqref="C961">
    <cfRule type="cellIs" dxfId="3221" priority="2878" stopIfTrue="1" operator="equal">
      <formula>"1 Modify"</formula>
    </cfRule>
  </conditionalFormatting>
  <conditionalFormatting sqref="C961">
    <cfRule type="cellIs" dxfId="3220" priority="2879" stopIfTrue="1" operator="equal">
      <formula>"2 Add"</formula>
    </cfRule>
  </conditionalFormatting>
  <conditionalFormatting sqref="C961">
    <cfRule type="cellIs" dxfId="3219" priority="2880" stopIfTrue="1" operator="equal">
      <formula>"3 Delete"</formula>
    </cfRule>
  </conditionalFormatting>
  <conditionalFormatting sqref="C962">
    <cfRule type="cellIs" dxfId="3218" priority="2881" stopIfTrue="1" operator="equal">
      <formula>"1 Modify"</formula>
    </cfRule>
  </conditionalFormatting>
  <conditionalFormatting sqref="C962">
    <cfRule type="cellIs" dxfId="3217" priority="2882" stopIfTrue="1" operator="equal">
      <formula>"2 Add"</formula>
    </cfRule>
  </conditionalFormatting>
  <conditionalFormatting sqref="C962">
    <cfRule type="cellIs" dxfId="3216" priority="2883" stopIfTrue="1" operator="equal">
      <formula>"3 Delete"</formula>
    </cfRule>
  </conditionalFormatting>
  <conditionalFormatting sqref="C963">
    <cfRule type="cellIs" dxfId="3215" priority="2884" stopIfTrue="1" operator="equal">
      <formula>"1 Modify"</formula>
    </cfRule>
  </conditionalFormatting>
  <conditionalFormatting sqref="C963">
    <cfRule type="cellIs" dxfId="3214" priority="2885" stopIfTrue="1" operator="equal">
      <formula>"2 Add"</formula>
    </cfRule>
  </conditionalFormatting>
  <conditionalFormatting sqref="C963">
    <cfRule type="cellIs" dxfId="3213" priority="2886" stopIfTrue="1" operator="equal">
      <formula>"3 Delete"</formula>
    </cfRule>
  </conditionalFormatting>
  <conditionalFormatting sqref="C964">
    <cfRule type="cellIs" dxfId="3212" priority="2887" stopIfTrue="1" operator="equal">
      <formula>"1 Modify"</formula>
    </cfRule>
  </conditionalFormatting>
  <conditionalFormatting sqref="C964">
    <cfRule type="cellIs" dxfId="3211" priority="2888" stopIfTrue="1" operator="equal">
      <formula>"2 Add"</formula>
    </cfRule>
  </conditionalFormatting>
  <conditionalFormatting sqref="C964">
    <cfRule type="cellIs" dxfId="3210" priority="2889" stopIfTrue="1" operator="equal">
      <formula>"3 Delete"</formula>
    </cfRule>
  </conditionalFormatting>
  <conditionalFormatting sqref="C965">
    <cfRule type="cellIs" dxfId="3209" priority="2890" stopIfTrue="1" operator="equal">
      <formula>"1 Modify"</formula>
    </cfRule>
  </conditionalFormatting>
  <conditionalFormatting sqref="C965">
    <cfRule type="cellIs" dxfId="3208" priority="2891" stopIfTrue="1" operator="equal">
      <formula>"2 Add"</formula>
    </cfRule>
  </conditionalFormatting>
  <conditionalFormatting sqref="C965">
    <cfRule type="cellIs" dxfId="3207" priority="2892" stopIfTrue="1" operator="equal">
      <formula>"3 Delete"</formula>
    </cfRule>
  </conditionalFormatting>
  <conditionalFormatting sqref="C966">
    <cfRule type="cellIs" dxfId="3206" priority="2893" stopIfTrue="1" operator="equal">
      <formula>"1 Modify"</formula>
    </cfRule>
  </conditionalFormatting>
  <conditionalFormatting sqref="C966">
    <cfRule type="cellIs" dxfId="3205" priority="2894" stopIfTrue="1" operator="equal">
      <formula>"2 Add"</formula>
    </cfRule>
  </conditionalFormatting>
  <conditionalFormatting sqref="C966">
    <cfRule type="cellIs" dxfId="3204" priority="2895" stopIfTrue="1" operator="equal">
      <formula>"3 Delete"</formula>
    </cfRule>
  </conditionalFormatting>
  <conditionalFormatting sqref="C967">
    <cfRule type="cellIs" dxfId="3203" priority="2896" stopIfTrue="1" operator="equal">
      <formula>"1 Modify"</formula>
    </cfRule>
  </conditionalFormatting>
  <conditionalFormatting sqref="C967">
    <cfRule type="cellIs" dxfId="3202" priority="2897" stopIfTrue="1" operator="equal">
      <formula>"2 Add"</formula>
    </cfRule>
  </conditionalFormatting>
  <conditionalFormatting sqref="C967">
    <cfRule type="cellIs" dxfId="3201" priority="2898" stopIfTrue="1" operator="equal">
      <formula>"3 Delete"</formula>
    </cfRule>
  </conditionalFormatting>
  <conditionalFormatting sqref="C968">
    <cfRule type="cellIs" dxfId="3200" priority="2899" stopIfTrue="1" operator="equal">
      <formula>"1 Modify"</formula>
    </cfRule>
  </conditionalFormatting>
  <conditionalFormatting sqref="C968">
    <cfRule type="cellIs" dxfId="3199" priority="2900" stopIfTrue="1" operator="equal">
      <formula>"2 Add"</formula>
    </cfRule>
  </conditionalFormatting>
  <conditionalFormatting sqref="C968">
    <cfRule type="cellIs" dxfId="3198" priority="2901" stopIfTrue="1" operator="equal">
      <formula>"3 Delete"</formula>
    </cfRule>
  </conditionalFormatting>
  <conditionalFormatting sqref="C969">
    <cfRule type="cellIs" dxfId="3197" priority="2902" stopIfTrue="1" operator="equal">
      <formula>"1 Modify"</formula>
    </cfRule>
  </conditionalFormatting>
  <conditionalFormatting sqref="C969">
    <cfRule type="cellIs" dxfId="3196" priority="2903" stopIfTrue="1" operator="equal">
      <formula>"2 Add"</formula>
    </cfRule>
  </conditionalFormatting>
  <conditionalFormatting sqref="C969">
    <cfRule type="cellIs" dxfId="3195" priority="2904" stopIfTrue="1" operator="equal">
      <formula>"3 Delete"</formula>
    </cfRule>
  </conditionalFormatting>
  <conditionalFormatting sqref="C970">
    <cfRule type="cellIs" dxfId="3194" priority="2905" stopIfTrue="1" operator="equal">
      <formula>"1 Modify"</formula>
    </cfRule>
  </conditionalFormatting>
  <conditionalFormatting sqref="C970">
    <cfRule type="cellIs" dxfId="3193" priority="2906" stopIfTrue="1" operator="equal">
      <formula>"2 Add"</formula>
    </cfRule>
  </conditionalFormatting>
  <conditionalFormatting sqref="C970">
    <cfRule type="cellIs" dxfId="3192" priority="2907" stopIfTrue="1" operator="equal">
      <formula>"3 Delete"</formula>
    </cfRule>
  </conditionalFormatting>
  <conditionalFormatting sqref="C971">
    <cfRule type="cellIs" dxfId="3191" priority="2908" stopIfTrue="1" operator="equal">
      <formula>"1 Modify"</formula>
    </cfRule>
  </conditionalFormatting>
  <conditionalFormatting sqref="C971">
    <cfRule type="cellIs" dxfId="3190" priority="2909" stopIfTrue="1" operator="equal">
      <formula>"2 Add"</formula>
    </cfRule>
  </conditionalFormatting>
  <conditionalFormatting sqref="C971">
    <cfRule type="cellIs" dxfId="3189" priority="2910" stopIfTrue="1" operator="equal">
      <formula>"3 Delete"</formula>
    </cfRule>
  </conditionalFormatting>
  <conditionalFormatting sqref="C972">
    <cfRule type="cellIs" dxfId="3188" priority="2911" stopIfTrue="1" operator="equal">
      <formula>"1 Modify"</formula>
    </cfRule>
  </conditionalFormatting>
  <conditionalFormatting sqref="C972">
    <cfRule type="cellIs" dxfId="3187" priority="2912" stopIfTrue="1" operator="equal">
      <formula>"2 Add"</formula>
    </cfRule>
  </conditionalFormatting>
  <conditionalFormatting sqref="C972">
    <cfRule type="cellIs" dxfId="3186" priority="2913" stopIfTrue="1" operator="equal">
      <formula>"3 Delete"</formula>
    </cfRule>
  </conditionalFormatting>
  <conditionalFormatting sqref="C973">
    <cfRule type="cellIs" dxfId="3185" priority="2914" stopIfTrue="1" operator="equal">
      <formula>"1 Modify"</formula>
    </cfRule>
  </conditionalFormatting>
  <conditionalFormatting sqref="C973">
    <cfRule type="cellIs" dxfId="3184" priority="2915" stopIfTrue="1" operator="equal">
      <formula>"2 Add"</formula>
    </cfRule>
  </conditionalFormatting>
  <conditionalFormatting sqref="C973">
    <cfRule type="cellIs" dxfId="3183" priority="2916" stopIfTrue="1" operator="equal">
      <formula>"3 Delete"</formula>
    </cfRule>
  </conditionalFormatting>
  <conditionalFormatting sqref="C974">
    <cfRule type="cellIs" dxfId="3182" priority="2917" stopIfTrue="1" operator="equal">
      <formula>"1 Modify"</formula>
    </cfRule>
  </conditionalFormatting>
  <conditionalFormatting sqref="C974">
    <cfRule type="cellIs" dxfId="3181" priority="2918" stopIfTrue="1" operator="equal">
      <formula>"2 Add"</formula>
    </cfRule>
  </conditionalFormatting>
  <conditionalFormatting sqref="C974">
    <cfRule type="cellIs" dxfId="3180" priority="2919" stopIfTrue="1" operator="equal">
      <formula>"3 Delete"</formula>
    </cfRule>
  </conditionalFormatting>
  <conditionalFormatting sqref="C975">
    <cfRule type="cellIs" dxfId="3179" priority="2920" stopIfTrue="1" operator="equal">
      <formula>"1 Modify"</formula>
    </cfRule>
  </conditionalFormatting>
  <conditionalFormatting sqref="C975">
    <cfRule type="cellIs" dxfId="3178" priority="2921" stopIfTrue="1" operator="equal">
      <formula>"2 Add"</formula>
    </cfRule>
  </conditionalFormatting>
  <conditionalFormatting sqref="C975">
    <cfRule type="cellIs" dxfId="3177" priority="2922" stopIfTrue="1" operator="equal">
      <formula>"3 Delete"</formula>
    </cfRule>
  </conditionalFormatting>
  <conditionalFormatting sqref="C976">
    <cfRule type="cellIs" dxfId="3176" priority="2923" stopIfTrue="1" operator="equal">
      <formula>"1 Modify"</formula>
    </cfRule>
  </conditionalFormatting>
  <conditionalFormatting sqref="C976">
    <cfRule type="cellIs" dxfId="3175" priority="2924" stopIfTrue="1" operator="equal">
      <formula>"2 Add"</formula>
    </cfRule>
  </conditionalFormatting>
  <conditionalFormatting sqref="C976">
    <cfRule type="cellIs" dxfId="3174" priority="2925" stopIfTrue="1" operator="equal">
      <formula>"3 Delete"</formula>
    </cfRule>
  </conditionalFormatting>
  <conditionalFormatting sqref="C977">
    <cfRule type="cellIs" dxfId="3173" priority="2926" stopIfTrue="1" operator="equal">
      <formula>"1 Modify"</formula>
    </cfRule>
  </conditionalFormatting>
  <conditionalFormatting sqref="C977">
    <cfRule type="cellIs" dxfId="3172" priority="2927" stopIfTrue="1" operator="equal">
      <formula>"2 Add"</formula>
    </cfRule>
  </conditionalFormatting>
  <conditionalFormatting sqref="C977">
    <cfRule type="cellIs" dxfId="3171" priority="2928" stopIfTrue="1" operator="equal">
      <formula>"3 Delete"</formula>
    </cfRule>
  </conditionalFormatting>
  <conditionalFormatting sqref="C978">
    <cfRule type="cellIs" dxfId="3170" priority="2929" stopIfTrue="1" operator="equal">
      <formula>"1 Modify"</formula>
    </cfRule>
  </conditionalFormatting>
  <conditionalFormatting sqref="C978">
    <cfRule type="cellIs" dxfId="3169" priority="2930" stopIfTrue="1" operator="equal">
      <formula>"2 Add"</formula>
    </cfRule>
  </conditionalFormatting>
  <conditionalFormatting sqref="C978">
    <cfRule type="cellIs" dxfId="3168" priority="2931" stopIfTrue="1" operator="equal">
      <formula>"3 Delete"</formula>
    </cfRule>
  </conditionalFormatting>
  <conditionalFormatting sqref="C979">
    <cfRule type="cellIs" dxfId="3167" priority="2932" stopIfTrue="1" operator="equal">
      <formula>"1 Modify"</formula>
    </cfRule>
  </conditionalFormatting>
  <conditionalFormatting sqref="C979">
    <cfRule type="cellIs" dxfId="3166" priority="2933" stopIfTrue="1" operator="equal">
      <formula>"2 Add"</formula>
    </cfRule>
  </conditionalFormatting>
  <conditionalFormatting sqref="C979">
    <cfRule type="cellIs" dxfId="3165" priority="2934" stopIfTrue="1" operator="equal">
      <formula>"3 Delete"</formula>
    </cfRule>
  </conditionalFormatting>
  <conditionalFormatting sqref="C980">
    <cfRule type="cellIs" dxfId="3164" priority="2935" stopIfTrue="1" operator="equal">
      <formula>"1 Modify"</formula>
    </cfRule>
  </conditionalFormatting>
  <conditionalFormatting sqref="C980">
    <cfRule type="cellIs" dxfId="3163" priority="2936" stopIfTrue="1" operator="equal">
      <formula>"2 Add"</formula>
    </cfRule>
  </conditionalFormatting>
  <conditionalFormatting sqref="C980">
    <cfRule type="cellIs" dxfId="3162" priority="2937" stopIfTrue="1" operator="equal">
      <formula>"3 Delete"</formula>
    </cfRule>
  </conditionalFormatting>
  <conditionalFormatting sqref="C981">
    <cfRule type="cellIs" dxfId="3161" priority="2938" stopIfTrue="1" operator="equal">
      <formula>"1 Modify"</formula>
    </cfRule>
  </conditionalFormatting>
  <conditionalFormatting sqref="C981">
    <cfRule type="cellIs" dxfId="3160" priority="2939" stopIfTrue="1" operator="equal">
      <formula>"2 Add"</formula>
    </cfRule>
  </conditionalFormatting>
  <conditionalFormatting sqref="C981">
    <cfRule type="cellIs" dxfId="3159" priority="2940" stopIfTrue="1" operator="equal">
      <formula>"3 Delete"</formula>
    </cfRule>
  </conditionalFormatting>
  <conditionalFormatting sqref="C982">
    <cfRule type="cellIs" dxfId="3158" priority="2941" stopIfTrue="1" operator="equal">
      <formula>"1 Modify"</formula>
    </cfRule>
  </conditionalFormatting>
  <conditionalFormatting sqref="C982">
    <cfRule type="cellIs" dxfId="3157" priority="2942" stopIfTrue="1" operator="equal">
      <formula>"2 Add"</formula>
    </cfRule>
  </conditionalFormatting>
  <conditionalFormatting sqref="C982">
    <cfRule type="cellIs" dxfId="3156" priority="2943" stopIfTrue="1" operator="equal">
      <formula>"3 Delete"</formula>
    </cfRule>
  </conditionalFormatting>
  <conditionalFormatting sqref="C983">
    <cfRule type="cellIs" dxfId="3155" priority="2944" stopIfTrue="1" operator="equal">
      <formula>"1 Modify"</formula>
    </cfRule>
  </conditionalFormatting>
  <conditionalFormatting sqref="C983">
    <cfRule type="cellIs" dxfId="3154" priority="2945" stopIfTrue="1" operator="equal">
      <formula>"2 Add"</formula>
    </cfRule>
  </conditionalFormatting>
  <conditionalFormatting sqref="C983">
    <cfRule type="cellIs" dxfId="3153" priority="2946" stopIfTrue="1" operator="equal">
      <formula>"3 Delete"</formula>
    </cfRule>
  </conditionalFormatting>
  <conditionalFormatting sqref="C984">
    <cfRule type="cellIs" dxfId="3152" priority="2947" stopIfTrue="1" operator="equal">
      <formula>"1 Modify"</formula>
    </cfRule>
  </conditionalFormatting>
  <conditionalFormatting sqref="C984">
    <cfRule type="cellIs" dxfId="3151" priority="2948" stopIfTrue="1" operator="equal">
      <formula>"2 Add"</formula>
    </cfRule>
  </conditionalFormatting>
  <conditionalFormatting sqref="C984">
    <cfRule type="cellIs" dxfId="3150" priority="2949" stopIfTrue="1" operator="equal">
      <formula>"3 Delete"</formula>
    </cfRule>
  </conditionalFormatting>
  <conditionalFormatting sqref="C985">
    <cfRule type="cellIs" dxfId="3149" priority="2950" stopIfTrue="1" operator="equal">
      <formula>"1 Modify"</formula>
    </cfRule>
  </conditionalFormatting>
  <conditionalFormatting sqref="C985">
    <cfRule type="cellIs" dxfId="3148" priority="2951" stopIfTrue="1" operator="equal">
      <formula>"2 Add"</formula>
    </cfRule>
  </conditionalFormatting>
  <conditionalFormatting sqref="C985">
    <cfRule type="cellIs" dxfId="3147" priority="2952" stopIfTrue="1" operator="equal">
      <formula>"3 Delete"</formula>
    </cfRule>
  </conditionalFormatting>
  <conditionalFormatting sqref="C986">
    <cfRule type="cellIs" dxfId="3146" priority="2953" stopIfTrue="1" operator="equal">
      <formula>"1 Modify"</formula>
    </cfRule>
  </conditionalFormatting>
  <conditionalFormatting sqref="C986">
    <cfRule type="cellIs" dxfId="3145" priority="2954" stopIfTrue="1" operator="equal">
      <formula>"2 Add"</formula>
    </cfRule>
  </conditionalFormatting>
  <conditionalFormatting sqref="C986">
    <cfRule type="cellIs" dxfId="3144" priority="2955" stopIfTrue="1" operator="equal">
      <formula>"3 Delete"</formula>
    </cfRule>
  </conditionalFormatting>
  <conditionalFormatting sqref="C987">
    <cfRule type="cellIs" dxfId="3143" priority="2956" stopIfTrue="1" operator="equal">
      <formula>"1 Modify"</formula>
    </cfRule>
  </conditionalFormatting>
  <conditionalFormatting sqref="C987">
    <cfRule type="cellIs" dxfId="3142" priority="2957" stopIfTrue="1" operator="equal">
      <formula>"2 Add"</formula>
    </cfRule>
  </conditionalFormatting>
  <conditionalFormatting sqref="C987">
    <cfRule type="cellIs" dxfId="3141" priority="2958" stopIfTrue="1" operator="equal">
      <formula>"3 Delete"</formula>
    </cfRule>
  </conditionalFormatting>
  <conditionalFormatting sqref="C988">
    <cfRule type="cellIs" dxfId="3140" priority="2959" stopIfTrue="1" operator="equal">
      <formula>"1 Modify"</formula>
    </cfRule>
  </conditionalFormatting>
  <conditionalFormatting sqref="C988">
    <cfRule type="cellIs" dxfId="3139" priority="2960" stopIfTrue="1" operator="equal">
      <formula>"2 Add"</formula>
    </cfRule>
  </conditionalFormatting>
  <conditionalFormatting sqref="C988">
    <cfRule type="cellIs" dxfId="3138" priority="2961" stopIfTrue="1" operator="equal">
      <formula>"3 Delete"</formula>
    </cfRule>
  </conditionalFormatting>
  <conditionalFormatting sqref="C989">
    <cfRule type="cellIs" dxfId="3137" priority="2962" stopIfTrue="1" operator="equal">
      <formula>"1 Modify"</formula>
    </cfRule>
  </conditionalFormatting>
  <conditionalFormatting sqref="C989">
    <cfRule type="cellIs" dxfId="3136" priority="2963" stopIfTrue="1" operator="equal">
      <formula>"2 Add"</formula>
    </cfRule>
  </conditionalFormatting>
  <conditionalFormatting sqref="C989">
    <cfRule type="cellIs" dxfId="3135" priority="2964" stopIfTrue="1" operator="equal">
      <formula>"3 Delete"</formula>
    </cfRule>
  </conditionalFormatting>
  <conditionalFormatting sqref="C990">
    <cfRule type="cellIs" dxfId="3134" priority="2965" stopIfTrue="1" operator="equal">
      <formula>"1 Modify"</formula>
    </cfRule>
  </conditionalFormatting>
  <conditionalFormatting sqref="C990">
    <cfRule type="cellIs" dxfId="3133" priority="2966" stopIfTrue="1" operator="equal">
      <formula>"2 Add"</formula>
    </cfRule>
  </conditionalFormatting>
  <conditionalFormatting sqref="C990">
    <cfRule type="cellIs" dxfId="3132" priority="2967" stopIfTrue="1" operator="equal">
      <formula>"3 Delete"</formula>
    </cfRule>
  </conditionalFormatting>
  <conditionalFormatting sqref="C991">
    <cfRule type="cellIs" dxfId="3131" priority="2968" stopIfTrue="1" operator="equal">
      <formula>"1 Modify"</formula>
    </cfRule>
  </conditionalFormatting>
  <conditionalFormatting sqref="C991">
    <cfRule type="cellIs" dxfId="3130" priority="2969" stopIfTrue="1" operator="equal">
      <formula>"2 Add"</formula>
    </cfRule>
  </conditionalFormatting>
  <conditionalFormatting sqref="C991">
    <cfRule type="cellIs" dxfId="3129" priority="2970" stopIfTrue="1" operator="equal">
      <formula>"3 Delete"</formula>
    </cfRule>
  </conditionalFormatting>
  <conditionalFormatting sqref="C992">
    <cfRule type="cellIs" dxfId="3128" priority="2971" stopIfTrue="1" operator="equal">
      <formula>"1 Modify"</formula>
    </cfRule>
  </conditionalFormatting>
  <conditionalFormatting sqref="C992">
    <cfRule type="cellIs" dxfId="3127" priority="2972" stopIfTrue="1" operator="equal">
      <formula>"2 Add"</formula>
    </cfRule>
  </conditionalFormatting>
  <conditionalFormatting sqref="C992">
    <cfRule type="cellIs" dxfId="3126" priority="2973" stopIfTrue="1" operator="equal">
      <formula>"3 Delete"</formula>
    </cfRule>
  </conditionalFormatting>
  <conditionalFormatting sqref="C993">
    <cfRule type="cellIs" dxfId="3125" priority="2974" stopIfTrue="1" operator="equal">
      <formula>"1 Modify"</formula>
    </cfRule>
  </conditionalFormatting>
  <conditionalFormatting sqref="C993">
    <cfRule type="cellIs" dxfId="3124" priority="2975" stopIfTrue="1" operator="equal">
      <formula>"2 Add"</formula>
    </cfRule>
  </conditionalFormatting>
  <conditionalFormatting sqref="C993">
    <cfRule type="cellIs" dxfId="3123" priority="2976" stopIfTrue="1" operator="equal">
      <formula>"3 Delete"</formula>
    </cfRule>
  </conditionalFormatting>
  <conditionalFormatting sqref="C994">
    <cfRule type="cellIs" dxfId="3122" priority="2977" stopIfTrue="1" operator="equal">
      <formula>"1 Modify"</formula>
    </cfRule>
  </conditionalFormatting>
  <conditionalFormatting sqref="C994">
    <cfRule type="cellIs" dxfId="3121" priority="2978" stopIfTrue="1" operator="equal">
      <formula>"2 Add"</formula>
    </cfRule>
  </conditionalFormatting>
  <conditionalFormatting sqref="C994">
    <cfRule type="cellIs" dxfId="3120" priority="2979" stopIfTrue="1" operator="equal">
      <formula>"3 Delete"</formula>
    </cfRule>
  </conditionalFormatting>
  <conditionalFormatting sqref="C995">
    <cfRule type="cellIs" dxfId="3119" priority="2980" stopIfTrue="1" operator="equal">
      <formula>"1 Modify"</formula>
    </cfRule>
  </conditionalFormatting>
  <conditionalFormatting sqref="C995">
    <cfRule type="cellIs" dxfId="3118" priority="2981" stopIfTrue="1" operator="equal">
      <formula>"2 Add"</formula>
    </cfRule>
  </conditionalFormatting>
  <conditionalFormatting sqref="C995">
    <cfRule type="cellIs" dxfId="3117" priority="2982" stopIfTrue="1" operator="equal">
      <formula>"3 Delete"</formula>
    </cfRule>
  </conditionalFormatting>
  <conditionalFormatting sqref="C996">
    <cfRule type="cellIs" dxfId="3116" priority="2983" stopIfTrue="1" operator="equal">
      <formula>"1 Modify"</formula>
    </cfRule>
  </conditionalFormatting>
  <conditionalFormatting sqref="C996">
    <cfRule type="cellIs" dxfId="3115" priority="2984" stopIfTrue="1" operator="equal">
      <formula>"2 Add"</formula>
    </cfRule>
  </conditionalFormatting>
  <conditionalFormatting sqref="C996">
    <cfRule type="cellIs" dxfId="3114" priority="2985" stopIfTrue="1" operator="equal">
      <formula>"3 Delete"</formula>
    </cfRule>
  </conditionalFormatting>
  <conditionalFormatting sqref="C997">
    <cfRule type="cellIs" dxfId="3113" priority="2986" stopIfTrue="1" operator="equal">
      <formula>"1 Modify"</formula>
    </cfRule>
  </conditionalFormatting>
  <conditionalFormatting sqref="C997">
    <cfRule type="cellIs" dxfId="3112" priority="2987" stopIfTrue="1" operator="equal">
      <formula>"2 Add"</formula>
    </cfRule>
  </conditionalFormatting>
  <conditionalFormatting sqref="C997">
    <cfRule type="cellIs" dxfId="3111" priority="2988" stopIfTrue="1" operator="equal">
      <formula>"3 Delete"</formula>
    </cfRule>
  </conditionalFormatting>
  <conditionalFormatting sqref="C998">
    <cfRule type="cellIs" dxfId="3110" priority="2989" stopIfTrue="1" operator="equal">
      <formula>"1 Modify"</formula>
    </cfRule>
  </conditionalFormatting>
  <conditionalFormatting sqref="C998">
    <cfRule type="cellIs" dxfId="3109" priority="2990" stopIfTrue="1" operator="equal">
      <formula>"2 Add"</formula>
    </cfRule>
  </conditionalFormatting>
  <conditionalFormatting sqref="C998">
    <cfRule type="cellIs" dxfId="3108" priority="2991" stopIfTrue="1" operator="equal">
      <formula>"3 Delete"</formula>
    </cfRule>
  </conditionalFormatting>
  <conditionalFormatting sqref="C999">
    <cfRule type="cellIs" dxfId="3107" priority="2992" stopIfTrue="1" operator="equal">
      <formula>"1 Modify"</formula>
    </cfRule>
  </conditionalFormatting>
  <conditionalFormatting sqref="C999">
    <cfRule type="cellIs" dxfId="3106" priority="2993" stopIfTrue="1" operator="equal">
      <formula>"2 Add"</formula>
    </cfRule>
  </conditionalFormatting>
  <conditionalFormatting sqref="C999">
    <cfRule type="cellIs" dxfId="3105" priority="2994" stopIfTrue="1" operator="equal">
      <formula>"3 Delete"</formula>
    </cfRule>
  </conditionalFormatting>
  <conditionalFormatting sqref="C1000">
    <cfRule type="cellIs" dxfId="3104" priority="2995" stopIfTrue="1" operator="equal">
      <formula>"1 Modify"</formula>
    </cfRule>
  </conditionalFormatting>
  <conditionalFormatting sqref="C1000">
    <cfRule type="cellIs" dxfId="3103" priority="2996" stopIfTrue="1" operator="equal">
      <formula>"2 Add"</formula>
    </cfRule>
  </conditionalFormatting>
  <conditionalFormatting sqref="C1000">
    <cfRule type="cellIs" dxfId="3102" priority="2997" stopIfTrue="1" operator="equal">
      <formula>"3 Delete"</formula>
    </cfRule>
  </conditionalFormatting>
  <conditionalFormatting sqref="C1001">
    <cfRule type="cellIs" dxfId="3101" priority="2998" stopIfTrue="1" operator="equal">
      <formula>"1 Modify"</formula>
    </cfRule>
  </conditionalFormatting>
  <conditionalFormatting sqref="C1001">
    <cfRule type="cellIs" dxfId="3100" priority="2999" stopIfTrue="1" operator="equal">
      <formula>"2 Add"</formula>
    </cfRule>
  </conditionalFormatting>
  <conditionalFormatting sqref="C1001">
    <cfRule type="cellIs" dxfId="3099" priority="3000" stopIfTrue="1" operator="equal">
      <formula>"3 Delete"</formula>
    </cfRule>
  </conditionalFormatting>
  <conditionalFormatting sqref="C1002">
    <cfRule type="cellIs" dxfId="3098" priority="3001" stopIfTrue="1" operator="equal">
      <formula>"1 Modify"</formula>
    </cfRule>
  </conditionalFormatting>
  <conditionalFormatting sqref="C1002">
    <cfRule type="cellIs" dxfId="3097" priority="3002" stopIfTrue="1" operator="equal">
      <formula>"2 Add"</formula>
    </cfRule>
  </conditionalFormatting>
  <conditionalFormatting sqref="C1002">
    <cfRule type="cellIs" dxfId="3096" priority="3003" stopIfTrue="1" operator="equal">
      <formula>"3 Delete"</formula>
    </cfRule>
  </conditionalFormatting>
  <conditionalFormatting sqref="C1003">
    <cfRule type="cellIs" dxfId="3095" priority="3004" stopIfTrue="1" operator="equal">
      <formula>"1 Modify"</formula>
    </cfRule>
  </conditionalFormatting>
  <conditionalFormatting sqref="C1003">
    <cfRule type="cellIs" dxfId="3094" priority="3005" stopIfTrue="1" operator="equal">
      <formula>"2 Add"</formula>
    </cfRule>
  </conditionalFormatting>
  <conditionalFormatting sqref="C1003">
    <cfRule type="cellIs" dxfId="3093" priority="3006" stopIfTrue="1" operator="equal">
      <formula>"3 Delete"</formula>
    </cfRule>
  </conditionalFormatting>
  <conditionalFormatting sqref="C1004">
    <cfRule type="cellIs" dxfId="3092" priority="3007" stopIfTrue="1" operator="equal">
      <formula>"1 Modify"</formula>
    </cfRule>
  </conditionalFormatting>
  <conditionalFormatting sqref="C1004">
    <cfRule type="cellIs" dxfId="3091" priority="3008" stopIfTrue="1" operator="equal">
      <formula>"2 Add"</formula>
    </cfRule>
  </conditionalFormatting>
  <conditionalFormatting sqref="C1004">
    <cfRule type="cellIs" dxfId="3090" priority="3009" stopIfTrue="1" operator="equal">
      <formula>"3 Delete"</formula>
    </cfRule>
  </conditionalFormatting>
  <conditionalFormatting sqref="C1005">
    <cfRule type="cellIs" dxfId="3089" priority="3010" stopIfTrue="1" operator="equal">
      <formula>"1 Modify"</formula>
    </cfRule>
  </conditionalFormatting>
  <conditionalFormatting sqref="C1005">
    <cfRule type="cellIs" dxfId="3088" priority="3011" stopIfTrue="1" operator="equal">
      <formula>"2 Add"</formula>
    </cfRule>
  </conditionalFormatting>
  <conditionalFormatting sqref="C1005">
    <cfRule type="cellIs" dxfId="3087" priority="3012" stopIfTrue="1" operator="equal">
      <formula>"3 Delete"</formula>
    </cfRule>
  </conditionalFormatting>
  <conditionalFormatting sqref="C1006">
    <cfRule type="cellIs" dxfId="3086" priority="3013" stopIfTrue="1" operator="equal">
      <formula>"1 Modify"</formula>
    </cfRule>
  </conditionalFormatting>
  <conditionalFormatting sqref="C1006">
    <cfRule type="cellIs" dxfId="3085" priority="3014" stopIfTrue="1" operator="equal">
      <formula>"2 Add"</formula>
    </cfRule>
  </conditionalFormatting>
  <conditionalFormatting sqref="C1006">
    <cfRule type="cellIs" dxfId="3084" priority="3015" stopIfTrue="1" operator="equal">
      <formula>"3 Delete"</formula>
    </cfRule>
  </conditionalFormatting>
  <conditionalFormatting sqref="C1007">
    <cfRule type="cellIs" dxfId="3083" priority="3016" stopIfTrue="1" operator="equal">
      <formula>"1 Modify"</formula>
    </cfRule>
  </conditionalFormatting>
  <conditionalFormatting sqref="C1007">
    <cfRule type="cellIs" dxfId="3082" priority="3017" stopIfTrue="1" operator="equal">
      <formula>"2 Add"</formula>
    </cfRule>
  </conditionalFormatting>
  <conditionalFormatting sqref="C1007">
    <cfRule type="cellIs" dxfId="3081" priority="3018" stopIfTrue="1" operator="equal">
      <formula>"3 Delete"</formula>
    </cfRule>
  </conditionalFormatting>
  <conditionalFormatting sqref="C1008">
    <cfRule type="cellIs" dxfId="3080" priority="3019" stopIfTrue="1" operator="equal">
      <formula>"1 Modify"</formula>
    </cfRule>
  </conditionalFormatting>
  <conditionalFormatting sqref="C1008">
    <cfRule type="cellIs" dxfId="3079" priority="3020" stopIfTrue="1" operator="equal">
      <formula>"2 Add"</formula>
    </cfRule>
  </conditionalFormatting>
  <conditionalFormatting sqref="C1008">
    <cfRule type="cellIs" dxfId="3078" priority="3021" stopIfTrue="1" operator="equal">
      <formula>"3 Delete"</formula>
    </cfRule>
  </conditionalFormatting>
  <conditionalFormatting sqref="C1009">
    <cfRule type="cellIs" dxfId="3077" priority="3022" stopIfTrue="1" operator="equal">
      <formula>"1 Modify"</formula>
    </cfRule>
  </conditionalFormatting>
  <conditionalFormatting sqref="C1009">
    <cfRule type="cellIs" dxfId="3076" priority="3023" stopIfTrue="1" operator="equal">
      <formula>"2 Add"</formula>
    </cfRule>
  </conditionalFormatting>
  <conditionalFormatting sqref="C1009">
    <cfRule type="cellIs" dxfId="3075" priority="3024" stopIfTrue="1" operator="equal">
      <formula>"3 Delete"</formula>
    </cfRule>
  </conditionalFormatting>
  <conditionalFormatting sqref="C1010">
    <cfRule type="cellIs" dxfId="3074" priority="3025" stopIfTrue="1" operator="equal">
      <formula>"1 Modify"</formula>
    </cfRule>
  </conditionalFormatting>
  <conditionalFormatting sqref="C1010">
    <cfRule type="cellIs" dxfId="3073" priority="3026" stopIfTrue="1" operator="equal">
      <formula>"2 Add"</formula>
    </cfRule>
  </conditionalFormatting>
  <conditionalFormatting sqref="C1010">
    <cfRule type="cellIs" dxfId="3072" priority="3027" stopIfTrue="1" operator="equal">
      <formula>"3 Delete"</formula>
    </cfRule>
  </conditionalFormatting>
  <conditionalFormatting sqref="C1011">
    <cfRule type="cellIs" dxfId="3071" priority="3028" stopIfTrue="1" operator="equal">
      <formula>"1 Modify"</formula>
    </cfRule>
  </conditionalFormatting>
  <conditionalFormatting sqref="C1011">
    <cfRule type="cellIs" dxfId="3070" priority="3029" stopIfTrue="1" operator="equal">
      <formula>"2 Add"</formula>
    </cfRule>
  </conditionalFormatting>
  <conditionalFormatting sqref="C1011">
    <cfRule type="cellIs" dxfId="3069" priority="3030" stopIfTrue="1" operator="equal">
      <formula>"3 Delete"</formula>
    </cfRule>
  </conditionalFormatting>
  <conditionalFormatting sqref="C1012">
    <cfRule type="cellIs" dxfId="3068" priority="3031" stopIfTrue="1" operator="equal">
      <formula>"1 Modify"</formula>
    </cfRule>
  </conditionalFormatting>
  <conditionalFormatting sqref="C1012">
    <cfRule type="cellIs" dxfId="3067" priority="3032" stopIfTrue="1" operator="equal">
      <formula>"2 Add"</formula>
    </cfRule>
  </conditionalFormatting>
  <conditionalFormatting sqref="C1012">
    <cfRule type="cellIs" dxfId="3066" priority="3033" stopIfTrue="1" operator="equal">
      <formula>"3 Delete"</formula>
    </cfRule>
  </conditionalFormatting>
  <conditionalFormatting sqref="C1013">
    <cfRule type="cellIs" dxfId="3065" priority="3034" stopIfTrue="1" operator="equal">
      <formula>"1 Modify"</formula>
    </cfRule>
  </conditionalFormatting>
  <conditionalFormatting sqref="C1013">
    <cfRule type="cellIs" dxfId="3064" priority="3035" stopIfTrue="1" operator="equal">
      <formula>"2 Add"</formula>
    </cfRule>
  </conditionalFormatting>
  <conditionalFormatting sqref="C1013">
    <cfRule type="cellIs" dxfId="3063" priority="3036" stopIfTrue="1" operator="equal">
      <formula>"3 Delete"</formula>
    </cfRule>
  </conditionalFormatting>
  <conditionalFormatting sqref="C1014">
    <cfRule type="cellIs" dxfId="3062" priority="3037" stopIfTrue="1" operator="equal">
      <formula>"1 Modify"</formula>
    </cfRule>
  </conditionalFormatting>
  <conditionalFormatting sqref="C1014">
    <cfRule type="cellIs" dxfId="3061" priority="3038" stopIfTrue="1" operator="equal">
      <formula>"2 Add"</formula>
    </cfRule>
  </conditionalFormatting>
  <conditionalFormatting sqref="C1014">
    <cfRule type="cellIs" dxfId="3060" priority="3039" stopIfTrue="1" operator="equal">
      <formula>"3 Delete"</formula>
    </cfRule>
  </conditionalFormatting>
  <conditionalFormatting sqref="C1015">
    <cfRule type="cellIs" dxfId="3059" priority="3040" stopIfTrue="1" operator="equal">
      <formula>"1 Modify"</formula>
    </cfRule>
  </conditionalFormatting>
  <conditionalFormatting sqref="C1015">
    <cfRule type="cellIs" dxfId="3058" priority="3041" stopIfTrue="1" operator="equal">
      <formula>"2 Add"</formula>
    </cfRule>
  </conditionalFormatting>
  <conditionalFormatting sqref="C1015">
    <cfRule type="cellIs" dxfId="3057" priority="3042" stopIfTrue="1" operator="equal">
      <formula>"3 Delete"</formula>
    </cfRule>
  </conditionalFormatting>
  <conditionalFormatting sqref="C1016">
    <cfRule type="cellIs" dxfId="3056" priority="3043" stopIfTrue="1" operator="equal">
      <formula>"1 Modify"</formula>
    </cfRule>
  </conditionalFormatting>
  <conditionalFormatting sqref="C1016">
    <cfRule type="cellIs" dxfId="3055" priority="3044" stopIfTrue="1" operator="equal">
      <formula>"2 Add"</formula>
    </cfRule>
  </conditionalFormatting>
  <conditionalFormatting sqref="C1016">
    <cfRule type="cellIs" dxfId="3054" priority="3045" stopIfTrue="1" operator="equal">
      <formula>"3 Delete"</formula>
    </cfRule>
  </conditionalFormatting>
  <conditionalFormatting sqref="C1017">
    <cfRule type="cellIs" dxfId="3053" priority="3046" stopIfTrue="1" operator="equal">
      <formula>"1 Modify"</formula>
    </cfRule>
  </conditionalFormatting>
  <conditionalFormatting sqref="C1017">
    <cfRule type="cellIs" dxfId="3052" priority="3047" stopIfTrue="1" operator="equal">
      <formula>"2 Add"</formula>
    </cfRule>
  </conditionalFormatting>
  <conditionalFormatting sqref="C1017">
    <cfRule type="cellIs" dxfId="3051" priority="3048" stopIfTrue="1" operator="equal">
      <formula>"3 Delete"</formula>
    </cfRule>
  </conditionalFormatting>
  <conditionalFormatting sqref="C1018">
    <cfRule type="cellIs" dxfId="3050" priority="3049" stopIfTrue="1" operator="equal">
      <formula>"1 Modify"</formula>
    </cfRule>
  </conditionalFormatting>
  <conditionalFormatting sqref="C1018">
    <cfRule type="cellIs" dxfId="3049" priority="3050" stopIfTrue="1" operator="equal">
      <formula>"2 Add"</formula>
    </cfRule>
  </conditionalFormatting>
  <conditionalFormatting sqref="C1018">
    <cfRule type="cellIs" dxfId="3048" priority="3051" stopIfTrue="1" operator="equal">
      <formula>"3 Delete"</formula>
    </cfRule>
  </conditionalFormatting>
  <conditionalFormatting sqref="C1019">
    <cfRule type="cellIs" dxfId="3047" priority="3052" stopIfTrue="1" operator="equal">
      <formula>"1 Modify"</formula>
    </cfRule>
  </conditionalFormatting>
  <conditionalFormatting sqref="C1019">
    <cfRule type="cellIs" dxfId="3046" priority="3053" stopIfTrue="1" operator="equal">
      <formula>"2 Add"</formula>
    </cfRule>
  </conditionalFormatting>
  <conditionalFormatting sqref="C1019">
    <cfRule type="cellIs" dxfId="3045" priority="3054" stopIfTrue="1" operator="equal">
      <formula>"3 Delete"</formula>
    </cfRule>
  </conditionalFormatting>
  <conditionalFormatting sqref="C1020">
    <cfRule type="cellIs" dxfId="3044" priority="3055" stopIfTrue="1" operator="equal">
      <formula>"1 Modify"</formula>
    </cfRule>
  </conditionalFormatting>
  <conditionalFormatting sqref="C1020">
    <cfRule type="cellIs" dxfId="3043" priority="3056" stopIfTrue="1" operator="equal">
      <formula>"2 Add"</formula>
    </cfRule>
  </conditionalFormatting>
  <conditionalFormatting sqref="C1020">
    <cfRule type="cellIs" dxfId="3042" priority="3057" stopIfTrue="1" operator="equal">
      <formula>"3 Delete"</formula>
    </cfRule>
  </conditionalFormatting>
  <conditionalFormatting sqref="C1021">
    <cfRule type="cellIs" dxfId="3041" priority="3058" stopIfTrue="1" operator="equal">
      <formula>"1 Modify"</formula>
    </cfRule>
  </conditionalFormatting>
  <conditionalFormatting sqref="C1021">
    <cfRule type="cellIs" dxfId="3040" priority="3059" stopIfTrue="1" operator="equal">
      <formula>"2 Add"</formula>
    </cfRule>
  </conditionalFormatting>
  <conditionalFormatting sqref="C1021">
    <cfRule type="cellIs" dxfId="3039" priority="3060" stopIfTrue="1" operator="equal">
      <formula>"3 Delete"</formula>
    </cfRule>
  </conditionalFormatting>
  <conditionalFormatting sqref="C1022">
    <cfRule type="cellIs" dxfId="3038" priority="3061" stopIfTrue="1" operator="equal">
      <formula>"1 Modify"</formula>
    </cfRule>
  </conditionalFormatting>
  <conditionalFormatting sqref="C1022">
    <cfRule type="cellIs" dxfId="3037" priority="3062" stopIfTrue="1" operator="equal">
      <formula>"2 Add"</formula>
    </cfRule>
  </conditionalFormatting>
  <conditionalFormatting sqref="C1022">
    <cfRule type="cellIs" dxfId="3036" priority="3063" stopIfTrue="1" operator="equal">
      <formula>"3 Delete"</formula>
    </cfRule>
  </conditionalFormatting>
  <conditionalFormatting sqref="C1023">
    <cfRule type="cellIs" dxfId="3035" priority="3064" stopIfTrue="1" operator="equal">
      <formula>"1 Modify"</formula>
    </cfRule>
  </conditionalFormatting>
  <conditionalFormatting sqref="C1023">
    <cfRule type="cellIs" dxfId="3034" priority="3065" stopIfTrue="1" operator="equal">
      <formula>"2 Add"</formula>
    </cfRule>
  </conditionalFormatting>
  <conditionalFormatting sqref="C1023">
    <cfRule type="cellIs" dxfId="3033" priority="3066" stopIfTrue="1" operator="equal">
      <formula>"3 Delete"</formula>
    </cfRule>
  </conditionalFormatting>
  <conditionalFormatting sqref="C1024">
    <cfRule type="cellIs" dxfId="3032" priority="3067" stopIfTrue="1" operator="equal">
      <formula>"1 Modify"</formula>
    </cfRule>
  </conditionalFormatting>
  <conditionalFormatting sqref="C1024">
    <cfRule type="cellIs" dxfId="3031" priority="3068" stopIfTrue="1" operator="equal">
      <formula>"2 Add"</formula>
    </cfRule>
  </conditionalFormatting>
  <conditionalFormatting sqref="C1024">
    <cfRule type="cellIs" dxfId="3030" priority="3069" stopIfTrue="1" operator="equal">
      <formula>"3 Delete"</formula>
    </cfRule>
  </conditionalFormatting>
  <conditionalFormatting sqref="C1025">
    <cfRule type="cellIs" dxfId="3029" priority="3070" stopIfTrue="1" operator="equal">
      <formula>"1 Modify"</formula>
    </cfRule>
  </conditionalFormatting>
  <conditionalFormatting sqref="C1025">
    <cfRule type="cellIs" dxfId="3028" priority="3071" stopIfTrue="1" operator="equal">
      <formula>"2 Add"</formula>
    </cfRule>
  </conditionalFormatting>
  <conditionalFormatting sqref="C1025">
    <cfRule type="cellIs" dxfId="3027" priority="3072" stopIfTrue="1" operator="equal">
      <formula>"3 Delete"</formula>
    </cfRule>
  </conditionalFormatting>
  <conditionalFormatting sqref="C1026">
    <cfRule type="cellIs" dxfId="3026" priority="3073" stopIfTrue="1" operator="equal">
      <formula>"1 Modify"</formula>
    </cfRule>
  </conditionalFormatting>
  <conditionalFormatting sqref="C1026">
    <cfRule type="cellIs" dxfId="3025" priority="3074" stopIfTrue="1" operator="equal">
      <formula>"2 Add"</formula>
    </cfRule>
  </conditionalFormatting>
  <conditionalFormatting sqref="C1026">
    <cfRule type="cellIs" dxfId="3024" priority="3075" stopIfTrue="1" operator="equal">
      <formula>"3 Delete"</formula>
    </cfRule>
  </conditionalFormatting>
  <conditionalFormatting sqref="C1027">
    <cfRule type="cellIs" dxfId="3023" priority="3076" stopIfTrue="1" operator="equal">
      <formula>"1 Modify"</formula>
    </cfRule>
  </conditionalFormatting>
  <conditionalFormatting sqref="C1027">
    <cfRule type="cellIs" dxfId="3022" priority="3077" stopIfTrue="1" operator="equal">
      <formula>"2 Add"</formula>
    </cfRule>
  </conditionalFormatting>
  <conditionalFormatting sqref="C1027">
    <cfRule type="cellIs" dxfId="3021" priority="3078" stopIfTrue="1" operator="equal">
      <formula>"3 Delete"</formula>
    </cfRule>
  </conditionalFormatting>
  <conditionalFormatting sqref="C1028">
    <cfRule type="cellIs" dxfId="3020" priority="3079" stopIfTrue="1" operator="equal">
      <formula>"1 Modify"</formula>
    </cfRule>
  </conditionalFormatting>
  <conditionalFormatting sqref="C1028">
    <cfRule type="cellIs" dxfId="3019" priority="3080" stopIfTrue="1" operator="equal">
      <formula>"2 Add"</formula>
    </cfRule>
  </conditionalFormatting>
  <conditionalFormatting sqref="C1028">
    <cfRule type="cellIs" dxfId="3018" priority="3081" stopIfTrue="1" operator="equal">
      <formula>"3 Delete"</formula>
    </cfRule>
  </conditionalFormatting>
  <conditionalFormatting sqref="C1029">
    <cfRule type="cellIs" dxfId="3017" priority="3082" stopIfTrue="1" operator="equal">
      <formula>"1 Modify"</formula>
    </cfRule>
  </conditionalFormatting>
  <conditionalFormatting sqref="C1029">
    <cfRule type="cellIs" dxfId="3016" priority="3083" stopIfTrue="1" operator="equal">
      <formula>"2 Add"</formula>
    </cfRule>
  </conditionalFormatting>
  <conditionalFormatting sqref="C1029">
    <cfRule type="cellIs" dxfId="3015" priority="3084" stopIfTrue="1" operator="equal">
      <formula>"3 Delete"</formula>
    </cfRule>
  </conditionalFormatting>
  <conditionalFormatting sqref="C1030">
    <cfRule type="cellIs" dxfId="3014" priority="3085" stopIfTrue="1" operator="equal">
      <formula>"1 Modify"</formula>
    </cfRule>
  </conditionalFormatting>
  <conditionalFormatting sqref="C1030">
    <cfRule type="cellIs" dxfId="3013" priority="3086" stopIfTrue="1" operator="equal">
      <formula>"2 Add"</formula>
    </cfRule>
  </conditionalFormatting>
  <conditionalFormatting sqref="C1030">
    <cfRule type="cellIs" dxfId="3012" priority="3087" stopIfTrue="1" operator="equal">
      <formula>"3 Delete"</formula>
    </cfRule>
  </conditionalFormatting>
  <conditionalFormatting sqref="C1031">
    <cfRule type="cellIs" dxfId="3011" priority="3088" stopIfTrue="1" operator="equal">
      <formula>"1 Modify"</formula>
    </cfRule>
  </conditionalFormatting>
  <conditionalFormatting sqref="C1031">
    <cfRule type="cellIs" dxfId="3010" priority="3089" stopIfTrue="1" operator="equal">
      <formula>"2 Add"</formula>
    </cfRule>
  </conditionalFormatting>
  <conditionalFormatting sqref="C1031">
    <cfRule type="cellIs" dxfId="3009" priority="3090" stopIfTrue="1" operator="equal">
      <formula>"3 Delete"</formula>
    </cfRule>
  </conditionalFormatting>
  <conditionalFormatting sqref="C1032">
    <cfRule type="cellIs" dxfId="3008" priority="3091" stopIfTrue="1" operator="equal">
      <formula>"1 Modify"</formula>
    </cfRule>
  </conditionalFormatting>
  <conditionalFormatting sqref="C1032">
    <cfRule type="cellIs" dxfId="3007" priority="3092" stopIfTrue="1" operator="equal">
      <formula>"2 Add"</formula>
    </cfRule>
  </conditionalFormatting>
  <conditionalFormatting sqref="C1032">
    <cfRule type="cellIs" dxfId="3006" priority="3093" stopIfTrue="1" operator="equal">
      <formula>"3 Delete"</formula>
    </cfRule>
  </conditionalFormatting>
  <conditionalFormatting sqref="C1033">
    <cfRule type="cellIs" dxfId="3005" priority="3094" stopIfTrue="1" operator="equal">
      <formula>"1 Modify"</formula>
    </cfRule>
  </conditionalFormatting>
  <conditionalFormatting sqref="C1033">
    <cfRule type="cellIs" dxfId="3004" priority="3095" stopIfTrue="1" operator="equal">
      <formula>"2 Add"</formula>
    </cfRule>
  </conditionalFormatting>
  <conditionalFormatting sqref="C1033">
    <cfRule type="cellIs" dxfId="3003" priority="3096" stopIfTrue="1" operator="equal">
      <formula>"3 Delete"</formula>
    </cfRule>
  </conditionalFormatting>
  <conditionalFormatting sqref="C1034">
    <cfRule type="cellIs" dxfId="3002" priority="3097" stopIfTrue="1" operator="equal">
      <formula>"1 Modify"</formula>
    </cfRule>
  </conditionalFormatting>
  <conditionalFormatting sqref="C1034">
    <cfRule type="cellIs" dxfId="3001" priority="3098" stopIfTrue="1" operator="equal">
      <formula>"2 Add"</formula>
    </cfRule>
  </conditionalFormatting>
  <conditionalFormatting sqref="C1034">
    <cfRule type="cellIs" dxfId="3000" priority="3099" stopIfTrue="1" operator="equal">
      <formula>"3 Delete"</formula>
    </cfRule>
  </conditionalFormatting>
  <conditionalFormatting sqref="C1035">
    <cfRule type="cellIs" dxfId="2999" priority="3100" stopIfTrue="1" operator="equal">
      <formula>"1 Modify"</formula>
    </cfRule>
  </conditionalFormatting>
  <conditionalFormatting sqref="C1035">
    <cfRule type="cellIs" dxfId="2998" priority="3101" stopIfTrue="1" operator="equal">
      <formula>"2 Add"</formula>
    </cfRule>
  </conditionalFormatting>
  <conditionalFormatting sqref="C1035">
    <cfRule type="cellIs" dxfId="2997" priority="3102" stopIfTrue="1" operator="equal">
      <formula>"3 Delete"</formula>
    </cfRule>
  </conditionalFormatting>
  <conditionalFormatting sqref="C1036">
    <cfRule type="cellIs" dxfId="2996" priority="3103" stopIfTrue="1" operator="equal">
      <formula>"1 Modify"</formula>
    </cfRule>
  </conditionalFormatting>
  <conditionalFormatting sqref="C1036">
    <cfRule type="cellIs" dxfId="2995" priority="3104" stopIfTrue="1" operator="equal">
      <formula>"2 Add"</formula>
    </cfRule>
  </conditionalFormatting>
  <conditionalFormatting sqref="C1036">
    <cfRule type="cellIs" dxfId="2994" priority="3105" stopIfTrue="1" operator="equal">
      <formula>"3 Delete"</formula>
    </cfRule>
  </conditionalFormatting>
  <conditionalFormatting sqref="C1037">
    <cfRule type="cellIs" dxfId="2993" priority="3106" stopIfTrue="1" operator="equal">
      <formula>"1 Modify"</formula>
    </cfRule>
  </conditionalFormatting>
  <conditionalFormatting sqref="C1037">
    <cfRule type="cellIs" dxfId="2992" priority="3107" stopIfTrue="1" operator="equal">
      <formula>"2 Add"</formula>
    </cfRule>
  </conditionalFormatting>
  <conditionalFormatting sqref="C1037">
    <cfRule type="cellIs" dxfId="2991" priority="3108" stopIfTrue="1" operator="equal">
      <formula>"3 Delete"</formula>
    </cfRule>
  </conditionalFormatting>
  <conditionalFormatting sqref="C1038">
    <cfRule type="cellIs" dxfId="2990" priority="3109" stopIfTrue="1" operator="equal">
      <formula>"1 Modify"</formula>
    </cfRule>
  </conditionalFormatting>
  <conditionalFormatting sqref="C1038">
    <cfRule type="cellIs" dxfId="2989" priority="3110" stopIfTrue="1" operator="equal">
      <formula>"2 Add"</formula>
    </cfRule>
  </conditionalFormatting>
  <conditionalFormatting sqref="C1038">
    <cfRule type="cellIs" dxfId="2988" priority="3111" stopIfTrue="1" operator="equal">
      <formula>"3 Delete"</formula>
    </cfRule>
  </conditionalFormatting>
  <conditionalFormatting sqref="C1039">
    <cfRule type="cellIs" dxfId="2987" priority="3112" stopIfTrue="1" operator="equal">
      <formula>"1 Modify"</formula>
    </cfRule>
  </conditionalFormatting>
  <conditionalFormatting sqref="C1039">
    <cfRule type="cellIs" dxfId="2986" priority="3113" stopIfTrue="1" operator="equal">
      <formula>"2 Add"</formula>
    </cfRule>
  </conditionalFormatting>
  <conditionalFormatting sqref="C1039">
    <cfRule type="cellIs" dxfId="2985" priority="3114" stopIfTrue="1" operator="equal">
      <formula>"3 Delete"</formula>
    </cfRule>
  </conditionalFormatting>
  <conditionalFormatting sqref="C1040">
    <cfRule type="cellIs" dxfId="2984" priority="3115" stopIfTrue="1" operator="equal">
      <formula>"1 Modify"</formula>
    </cfRule>
  </conditionalFormatting>
  <conditionalFormatting sqref="C1040">
    <cfRule type="cellIs" dxfId="2983" priority="3116" stopIfTrue="1" operator="equal">
      <formula>"2 Add"</formula>
    </cfRule>
  </conditionalFormatting>
  <conditionalFormatting sqref="C1040">
    <cfRule type="cellIs" dxfId="2982" priority="3117" stopIfTrue="1" operator="equal">
      <formula>"3 Delete"</formula>
    </cfRule>
  </conditionalFormatting>
  <conditionalFormatting sqref="C1041">
    <cfRule type="cellIs" dxfId="2981" priority="3118" stopIfTrue="1" operator="equal">
      <formula>"1 Modify"</formula>
    </cfRule>
  </conditionalFormatting>
  <conditionalFormatting sqref="C1041">
    <cfRule type="cellIs" dxfId="2980" priority="3119" stopIfTrue="1" operator="equal">
      <formula>"2 Add"</formula>
    </cfRule>
  </conditionalFormatting>
  <conditionalFormatting sqref="C1041">
    <cfRule type="cellIs" dxfId="2979" priority="3120" stopIfTrue="1" operator="equal">
      <formula>"3 Delete"</formula>
    </cfRule>
  </conditionalFormatting>
  <conditionalFormatting sqref="C1042">
    <cfRule type="cellIs" dxfId="2978" priority="3121" stopIfTrue="1" operator="equal">
      <formula>"1 Modify"</formula>
    </cfRule>
  </conditionalFormatting>
  <conditionalFormatting sqref="C1042">
    <cfRule type="cellIs" dxfId="2977" priority="3122" stopIfTrue="1" operator="equal">
      <formula>"2 Add"</formula>
    </cfRule>
  </conditionalFormatting>
  <conditionalFormatting sqref="C1042">
    <cfRule type="cellIs" dxfId="2976" priority="3123" stopIfTrue="1" operator="equal">
      <formula>"3 Delete"</formula>
    </cfRule>
  </conditionalFormatting>
  <conditionalFormatting sqref="C1043">
    <cfRule type="cellIs" dxfId="2975" priority="3124" stopIfTrue="1" operator="equal">
      <formula>"1 Modify"</formula>
    </cfRule>
  </conditionalFormatting>
  <conditionalFormatting sqref="C1043">
    <cfRule type="cellIs" dxfId="2974" priority="3125" stopIfTrue="1" operator="equal">
      <formula>"2 Add"</formula>
    </cfRule>
  </conditionalFormatting>
  <conditionalFormatting sqref="C1043">
    <cfRule type="cellIs" dxfId="2973" priority="3126" stopIfTrue="1" operator="equal">
      <formula>"3 Delete"</formula>
    </cfRule>
  </conditionalFormatting>
  <conditionalFormatting sqref="C1044">
    <cfRule type="cellIs" dxfId="2972" priority="3127" stopIfTrue="1" operator="equal">
      <formula>"1 Modify"</formula>
    </cfRule>
  </conditionalFormatting>
  <conditionalFormatting sqref="C1044">
    <cfRule type="cellIs" dxfId="2971" priority="3128" stopIfTrue="1" operator="equal">
      <formula>"2 Add"</formula>
    </cfRule>
  </conditionalFormatting>
  <conditionalFormatting sqref="C1044">
    <cfRule type="cellIs" dxfId="2970" priority="3129" stopIfTrue="1" operator="equal">
      <formula>"3 Delete"</formula>
    </cfRule>
  </conditionalFormatting>
  <conditionalFormatting sqref="C1045">
    <cfRule type="cellIs" dxfId="2969" priority="3130" stopIfTrue="1" operator="equal">
      <formula>"1 Modify"</formula>
    </cfRule>
  </conditionalFormatting>
  <conditionalFormatting sqref="C1045">
    <cfRule type="cellIs" dxfId="2968" priority="3131" stopIfTrue="1" operator="equal">
      <formula>"2 Add"</formula>
    </cfRule>
  </conditionalFormatting>
  <conditionalFormatting sqref="C1045">
    <cfRule type="cellIs" dxfId="2967" priority="3132" stopIfTrue="1" operator="equal">
      <formula>"3 Delete"</formula>
    </cfRule>
  </conditionalFormatting>
  <conditionalFormatting sqref="C1046">
    <cfRule type="cellIs" dxfId="2966" priority="3133" stopIfTrue="1" operator="equal">
      <formula>"1 Modify"</formula>
    </cfRule>
  </conditionalFormatting>
  <conditionalFormatting sqref="C1046">
    <cfRule type="cellIs" dxfId="2965" priority="3134" stopIfTrue="1" operator="equal">
      <formula>"2 Add"</formula>
    </cfRule>
  </conditionalFormatting>
  <conditionalFormatting sqref="C1046">
    <cfRule type="cellIs" dxfId="2964" priority="3135" stopIfTrue="1" operator="equal">
      <formula>"3 Delete"</formula>
    </cfRule>
  </conditionalFormatting>
  <conditionalFormatting sqref="C1047">
    <cfRule type="cellIs" dxfId="2963" priority="3136" stopIfTrue="1" operator="equal">
      <formula>"1 Modify"</formula>
    </cfRule>
  </conditionalFormatting>
  <conditionalFormatting sqref="C1047">
    <cfRule type="cellIs" dxfId="2962" priority="3137" stopIfTrue="1" operator="equal">
      <formula>"2 Add"</formula>
    </cfRule>
  </conditionalFormatting>
  <conditionalFormatting sqref="C1047">
    <cfRule type="cellIs" dxfId="2961" priority="3138" stopIfTrue="1" operator="equal">
      <formula>"3 Delete"</formula>
    </cfRule>
  </conditionalFormatting>
  <conditionalFormatting sqref="C1048">
    <cfRule type="cellIs" dxfId="2960" priority="3139" stopIfTrue="1" operator="equal">
      <formula>"1 Modify"</formula>
    </cfRule>
  </conditionalFormatting>
  <conditionalFormatting sqref="C1048">
    <cfRule type="cellIs" dxfId="2959" priority="3140" stopIfTrue="1" operator="equal">
      <formula>"2 Add"</formula>
    </cfRule>
  </conditionalFormatting>
  <conditionalFormatting sqref="C1048">
    <cfRule type="cellIs" dxfId="2958" priority="3141" stopIfTrue="1" operator="equal">
      <formula>"3 Delete"</formula>
    </cfRule>
  </conditionalFormatting>
  <conditionalFormatting sqref="C1049">
    <cfRule type="cellIs" dxfId="2957" priority="3142" stopIfTrue="1" operator="equal">
      <formula>"1 Modify"</formula>
    </cfRule>
  </conditionalFormatting>
  <conditionalFormatting sqref="C1049">
    <cfRule type="cellIs" dxfId="2956" priority="3143" stopIfTrue="1" operator="equal">
      <formula>"2 Add"</formula>
    </cfRule>
  </conditionalFormatting>
  <conditionalFormatting sqref="C1049">
    <cfRule type="cellIs" dxfId="2955" priority="3144" stopIfTrue="1" operator="equal">
      <formula>"3 Delete"</formula>
    </cfRule>
  </conditionalFormatting>
  <conditionalFormatting sqref="C1050">
    <cfRule type="cellIs" dxfId="2954" priority="3145" stopIfTrue="1" operator="equal">
      <formula>"1 Modify"</formula>
    </cfRule>
  </conditionalFormatting>
  <conditionalFormatting sqref="C1050">
    <cfRule type="cellIs" dxfId="2953" priority="3146" stopIfTrue="1" operator="equal">
      <formula>"2 Add"</formula>
    </cfRule>
  </conditionalFormatting>
  <conditionalFormatting sqref="C1050">
    <cfRule type="cellIs" dxfId="2952" priority="3147" stopIfTrue="1" operator="equal">
      <formula>"3 Delete"</formula>
    </cfRule>
  </conditionalFormatting>
  <conditionalFormatting sqref="C1051">
    <cfRule type="cellIs" dxfId="2951" priority="3148" stopIfTrue="1" operator="equal">
      <formula>"1 Modify"</formula>
    </cfRule>
  </conditionalFormatting>
  <conditionalFormatting sqref="C1051">
    <cfRule type="cellIs" dxfId="2950" priority="3149" stopIfTrue="1" operator="equal">
      <formula>"2 Add"</formula>
    </cfRule>
  </conditionalFormatting>
  <conditionalFormatting sqref="C1051">
    <cfRule type="cellIs" dxfId="2949" priority="3150" stopIfTrue="1" operator="equal">
      <formula>"3 Delete"</formula>
    </cfRule>
  </conditionalFormatting>
  <conditionalFormatting sqref="C1052">
    <cfRule type="cellIs" dxfId="2948" priority="3151" stopIfTrue="1" operator="equal">
      <formula>"1 Modify"</formula>
    </cfRule>
  </conditionalFormatting>
  <conditionalFormatting sqref="C1052">
    <cfRule type="cellIs" dxfId="2947" priority="3152" stopIfTrue="1" operator="equal">
      <formula>"2 Add"</formula>
    </cfRule>
  </conditionalFormatting>
  <conditionalFormatting sqref="C1052">
    <cfRule type="cellIs" dxfId="2946" priority="3153" stopIfTrue="1" operator="equal">
      <formula>"3 Delete"</formula>
    </cfRule>
  </conditionalFormatting>
  <conditionalFormatting sqref="C1053">
    <cfRule type="cellIs" dxfId="2945" priority="3154" stopIfTrue="1" operator="equal">
      <formula>"1 Modify"</formula>
    </cfRule>
  </conditionalFormatting>
  <conditionalFormatting sqref="C1053">
    <cfRule type="cellIs" dxfId="2944" priority="3155" stopIfTrue="1" operator="equal">
      <formula>"2 Add"</formula>
    </cfRule>
  </conditionalFormatting>
  <conditionalFormatting sqref="C1053">
    <cfRule type="cellIs" dxfId="2943" priority="3156" stopIfTrue="1" operator="equal">
      <formula>"3 Delete"</formula>
    </cfRule>
  </conditionalFormatting>
  <conditionalFormatting sqref="C1054">
    <cfRule type="cellIs" dxfId="2942" priority="3157" stopIfTrue="1" operator="equal">
      <formula>"1 Modify"</formula>
    </cfRule>
  </conditionalFormatting>
  <conditionalFormatting sqref="C1054">
    <cfRule type="cellIs" dxfId="2941" priority="3158" stopIfTrue="1" operator="equal">
      <formula>"2 Add"</formula>
    </cfRule>
  </conditionalFormatting>
  <conditionalFormatting sqref="C1054">
    <cfRule type="cellIs" dxfId="2940" priority="3159" stopIfTrue="1" operator="equal">
      <formula>"3 Delete"</formula>
    </cfRule>
  </conditionalFormatting>
  <conditionalFormatting sqref="C1055">
    <cfRule type="cellIs" dxfId="2939" priority="3160" stopIfTrue="1" operator="equal">
      <formula>"1 Modify"</formula>
    </cfRule>
  </conditionalFormatting>
  <conditionalFormatting sqref="C1055">
    <cfRule type="cellIs" dxfId="2938" priority="3161" stopIfTrue="1" operator="equal">
      <formula>"2 Add"</formula>
    </cfRule>
  </conditionalFormatting>
  <conditionalFormatting sqref="C1055">
    <cfRule type="cellIs" dxfId="2937" priority="3162" stopIfTrue="1" operator="equal">
      <formula>"3 Delete"</formula>
    </cfRule>
  </conditionalFormatting>
  <conditionalFormatting sqref="C1056">
    <cfRule type="cellIs" dxfId="2936" priority="3163" stopIfTrue="1" operator="equal">
      <formula>"1 Modify"</formula>
    </cfRule>
  </conditionalFormatting>
  <conditionalFormatting sqref="C1056">
    <cfRule type="cellIs" dxfId="2935" priority="3164" stopIfTrue="1" operator="equal">
      <formula>"2 Add"</formula>
    </cfRule>
  </conditionalFormatting>
  <conditionalFormatting sqref="C1056">
    <cfRule type="cellIs" dxfId="2934" priority="3165" stopIfTrue="1" operator="equal">
      <formula>"3 Delete"</formula>
    </cfRule>
  </conditionalFormatting>
  <conditionalFormatting sqref="C1057">
    <cfRule type="cellIs" dxfId="2933" priority="3166" stopIfTrue="1" operator="equal">
      <formula>"1 Modify"</formula>
    </cfRule>
  </conditionalFormatting>
  <conditionalFormatting sqref="C1057">
    <cfRule type="cellIs" dxfId="2932" priority="3167" stopIfTrue="1" operator="equal">
      <formula>"2 Add"</formula>
    </cfRule>
  </conditionalFormatting>
  <conditionalFormatting sqref="C1057">
    <cfRule type="cellIs" dxfId="2931" priority="3168" stopIfTrue="1" operator="equal">
      <formula>"3 Delete"</formula>
    </cfRule>
  </conditionalFormatting>
  <conditionalFormatting sqref="C1058">
    <cfRule type="cellIs" dxfId="2930" priority="3169" stopIfTrue="1" operator="equal">
      <formula>"1 Modify"</formula>
    </cfRule>
  </conditionalFormatting>
  <conditionalFormatting sqref="C1058">
    <cfRule type="cellIs" dxfId="2929" priority="3170" stopIfTrue="1" operator="equal">
      <formula>"2 Add"</formula>
    </cfRule>
  </conditionalFormatting>
  <conditionalFormatting sqref="C1058">
    <cfRule type="cellIs" dxfId="2928" priority="3171" stopIfTrue="1" operator="equal">
      <formula>"3 Delete"</formula>
    </cfRule>
  </conditionalFormatting>
  <conditionalFormatting sqref="C1059">
    <cfRule type="cellIs" dxfId="2927" priority="3172" stopIfTrue="1" operator="equal">
      <formula>"1 Modify"</formula>
    </cfRule>
  </conditionalFormatting>
  <conditionalFormatting sqref="C1059">
    <cfRule type="cellIs" dxfId="2926" priority="3173" stopIfTrue="1" operator="equal">
      <formula>"2 Add"</formula>
    </cfRule>
  </conditionalFormatting>
  <conditionalFormatting sqref="C1059">
    <cfRule type="cellIs" dxfId="2925" priority="3174" stopIfTrue="1" operator="equal">
      <formula>"3 Delete"</formula>
    </cfRule>
  </conditionalFormatting>
  <conditionalFormatting sqref="C1060">
    <cfRule type="cellIs" dxfId="2924" priority="3175" stopIfTrue="1" operator="equal">
      <formula>"1 Modify"</formula>
    </cfRule>
  </conditionalFormatting>
  <conditionalFormatting sqref="C1060">
    <cfRule type="cellIs" dxfId="2923" priority="3176" stopIfTrue="1" operator="equal">
      <formula>"2 Add"</formula>
    </cfRule>
  </conditionalFormatting>
  <conditionalFormatting sqref="C1060">
    <cfRule type="cellIs" dxfId="2922" priority="3177" stopIfTrue="1" operator="equal">
      <formula>"3 Delete"</formula>
    </cfRule>
  </conditionalFormatting>
  <conditionalFormatting sqref="C1061">
    <cfRule type="cellIs" dxfId="2921" priority="3178" stopIfTrue="1" operator="equal">
      <formula>"1 Modify"</formula>
    </cfRule>
  </conditionalFormatting>
  <conditionalFormatting sqref="C1061">
    <cfRule type="cellIs" dxfId="2920" priority="3179" stopIfTrue="1" operator="equal">
      <formula>"2 Add"</formula>
    </cfRule>
  </conditionalFormatting>
  <conditionalFormatting sqref="C1061">
    <cfRule type="cellIs" dxfId="2919" priority="3180" stopIfTrue="1" operator="equal">
      <formula>"3 Delete"</formula>
    </cfRule>
  </conditionalFormatting>
  <conditionalFormatting sqref="C1062">
    <cfRule type="cellIs" dxfId="2918" priority="3181" stopIfTrue="1" operator="equal">
      <formula>"1 Modify"</formula>
    </cfRule>
  </conditionalFormatting>
  <conditionalFormatting sqref="C1062">
    <cfRule type="cellIs" dxfId="2917" priority="3182" stopIfTrue="1" operator="equal">
      <formula>"2 Add"</formula>
    </cfRule>
  </conditionalFormatting>
  <conditionalFormatting sqref="C1062">
    <cfRule type="cellIs" dxfId="2916" priority="3183" stopIfTrue="1" operator="equal">
      <formula>"3 Delete"</formula>
    </cfRule>
  </conditionalFormatting>
  <conditionalFormatting sqref="C1063">
    <cfRule type="cellIs" dxfId="2915" priority="3184" stopIfTrue="1" operator="equal">
      <formula>"1 Modify"</formula>
    </cfRule>
  </conditionalFormatting>
  <conditionalFormatting sqref="C1063">
    <cfRule type="cellIs" dxfId="2914" priority="3185" stopIfTrue="1" operator="equal">
      <formula>"2 Add"</formula>
    </cfRule>
  </conditionalFormatting>
  <conditionalFormatting sqref="C1063">
    <cfRule type="cellIs" dxfId="2913" priority="3186" stopIfTrue="1" operator="equal">
      <formula>"3 Delete"</formula>
    </cfRule>
  </conditionalFormatting>
  <conditionalFormatting sqref="C1064">
    <cfRule type="cellIs" dxfId="2912" priority="3187" stopIfTrue="1" operator="equal">
      <formula>"1 Modify"</formula>
    </cfRule>
  </conditionalFormatting>
  <conditionalFormatting sqref="C1064">
    <cfRule type="cellIs" dxfId="2911" priority="3188" stopIfTrue="1" operator="equal">
      <formula>"2 Add"</formula>
    </cfRule>
  </conditionalFormatting>
  <conditionalFormatting sqref="C1064">
    <cfRule type="cellIs" dxfId="2910" priority="3189" stopIfTrue="1" operator="equal">
      <formula>"3 Delete"</formula>
    </cfRule>
  </conditionalFormatting>
  <conditionalFormatting sqref="C1065">
    <cfRule type="cellIs" dxfId="2909" priority="3190" stopIfTrue="1" operator="equal">
      <formula>"1 Modify"</formula>
    </cfRule>
  </conditionalFormatting>
  <conditionalFormatting sqref="C1065">
    <cfRule type="cellIs" dxfId="2908" priority="3191" stopIfTrue="1" operator="equal">
      <formula>"2 Add"</formula>
    </cfRule>
  </conditionalFormatting>
  <conditionalFormatting sqref="C1065">
    <cfRule type="cellIs" dxfId="2907" priority="3192" stopIfTrue="1" operator="equal">
      <formula>"3 Delete"</formula>
    </cfRule>
  </conditionalFormatting>
  <conditionalFormatting sqref="C1066">
    <cfRule type="cellIs" dxfId="2906" priority="3193" stopIfTrue="1" operator="equal">
      <formula>"1 Modify"</formula>
    </cfRule>
  </conditionalFormatting>
  <conditionalFormatting sqref="C1066">
    <cfRule type="cellIs" dxfId="2905" priority="3194" stopIfTrue="1" operator="equal">
      <formula>"2 Add"</formula>
    </cfRule>
  </conditionalFormatting>
  <conditionalFormatting sqref="C1066">
    <cfRule type="cellIs" dxfId="2904" priority="3195" stopIfTrue="1" operator="equal">
      <formula>"3 Delete"</formula>
    </cfRule>
  </conditionalFormatting>
  <conditionalFormatting sqref="C1067">
    <cfRule type="cellIs" dxfId="2903" priority="3196" stopIfTrue="1" operator="equal">
      <formula>"1 Modify"</formula>
    </cfRule>
  </conditionalFormatting>
  <conditionalFormatting sqref="C1067">
    <cfRule type="cellIs" dxfId="2902" priority="3197" stopIfTrue="1" operator="equal">
      <formula>"2 Add"</formula>
    </cfRule>
  </conditionalFormatting>
  <conditionalFormatting sqref="C1067">
    <cfRule type="cellIs" dxfId="2901" priority="3198" stopIfTrue="1" operator="equal">
      <formula>"3 Delete"</formula>
    </cfRule>
  </conditionalFormatting>
  <conditionalFormatting sqref="C1068">
    <cfRule type="cellIs" dxfId="2900" priority="3199" stopIfTrue="1" operator="equal">
      <formula>"1 Modify"</formula>
    </cfRule>
  </conditionalFormatting>
  <conditionalFormatting sqref="C1068">
    <cfRule type="cellIs" dxfId="2899" priority="3200" stopIfTrue="1" operator="equal">
      <formula>"2 Add"</formula>
    </cfRule>
  </conditionalFormatting>
  <conditionalFormatting sqref="C1068">
    <cfRule type="cellIs" dxfId="2898" priority="3201" stopIfTrue="1" operator="equal">
      <formula>"3 Delete"</formula>
    </cfRule>
  </conditionalFormatting>
  <conditionalFormatting sqref="C1069">
    <cfRule type="cellIs" dxfId="2897" priority="3202" stopIfTrue="1" operator="equal">
      <formula>"1 Modify"</formula>
    </cfRule>
  </conditionalFormatting>
  <conditionalFormatting sqref="C1069">
    <cfRule type="cellIs" dxfId="2896" priority="3203" stopIfTrue="1" operator="equal">
      <formula>"2 Add"</formula>
    </cfRule>
  </conditionalFormatting>
  <conditionalFormatting sqref="C1069">
    <cfRule type="cellIs" dxfId="2895" priority="3204" stopIfTrue="1" operator="equal">
      <formula>"3 Delete"</formula>
    </cfRule>
  </conditionalFormatting>
  <conditionalFormatting sqref="C1070">
    <cfRule type="cellIs" dxfId="2894" priority="3205" stopIfTrue="1" operator="equal">
      <formula>"1 Modify"</formula>
    </cfRule>
  </conditionalFormatting>
  <conditionalFormatting sqref="C1070">
    <cfRule type="cellIs" dxfId="2893" priority="3206" stopIfTrue="1" operator="equal">
      <formula>"2 Add"</formula>
    </cfRule>
  </conditionalFormatting>
  <conditionalFormatting sqref="C1070">
    <cfRule type="cellIs" dxfId="2892" priority="3207" stopIfTrue="1" operator="equal">
      <formula>"3 Delete"</formula>
    </cfRule>
  </conditionalFormatting>
  <conditionalFormatting sqref="C1071">
    <cfRule type="cellIs" dxfId="2891" priority="3208" stopIfTrue="1" operator="equal">
      <formula>"1 Modify"</formula>
    </cfRule>
  </conditionalFormatting>
  <conditionalFormatting sqref="C1071">
    <cfRule type="cellIs" dxfId="2890" priority="3209" stopIfTrue="1" operator="equal">
      <formula>"2 Add"</formula>
    </cfRule>
  </conditionalFormatting>
  <conditionalFormatting sqref="C1071">
    <cfRule type="cellIs" dxfId="2889" priority="3210" stopIfTrue="1" operator="equal">
      <formula>"3 Delete"</formula>
    </cfRule>
  </conditionalFormatting>
  <conditionalFormatting sqref="C1072">
    <cfRule type="cellIs" dxfId="2888" priority="3211" stopIfTrue="1" operator="equal">
      <formula>"1 Modify"</formula>
    </cfRule>
  </conditionalFormatting>
  <conditionalFormatting sqref="C1072">
    <cfRule type="cellIs" dxfId="2887" priority="3212" stopIfTrue="1" operator="equal">
      <formula>"2 Add"</formula>
    </cfRule>
  </conditionalFormatting>
  <conditionalFormatting sqref="C1072">
    <cfRule type="cellIs" dxfId="2886" priority="3213" stopIfTrue="1" operator="equal">
      <formula>"3 Delete"</formula>
    </cfRule>
  </conditionalFormatting>
  <conditionalFormatting sqref="C1073">
    <cfRule type="cellIs" dxfId="2885" priority="3214" stopIfTrue="1" operator="equal">
      <formula>"1 Modify"</formula>
    </cfRule>
  </conditionalFormatting>
  <conditionalFormatting sqref="C1073">
    <cfRule type="cellIs" dxfId="2884" priority="3215" stopIfTrue="1" operator="equal">
      <formula>"2 Add"</formula>
    </cfRule>
  </conditionalFormatting>
  <conditionalFormatting sqref="C1073">
    <cfRule type="cellIs" dxfId="2883" priority="3216" stopIfTrue="1" operator="equal">
      <formula>"3 Delete"</formula>
    </cfRule>
  </conditionalFormatting>
  <conditionalFormatting sqref="C1074">
    <cfRule type="cellIs" dxfId="2882" priority="3217" stopIfTrue="1" operator="equal">
      <formula>"1 Modify"</formula>
    </cfRule>
  </conditionalFormatting>
  <conditionalFormatting sqref="C1074">
    <cfRule type="cellIs" dxfId="2881" priority="3218" stopIfTrue="1" operator="equal">
      <formula>"2 Add"</formula>
    </cfRule>
  </conditionalFormatting>
  <conditionalFormatting sqref="C1074">
    <cfRule type="cellIs" dxfId="2880" priority="3219" stopIfTrue="1" operator="equal">
      <formula>"3 Delete"</formula>
    </cfRule>
  </conditionalFormatting>
  <conditionalFormatting sqref="C1075">
    <cfRule type="cellIs" dxfId="2879" priority="3220" stopIfTrue="1" operator="equal">
      <formula>"1 Modify"</formula>
    </cfRule>
  </conditionalFormatting>
  <conditionalFormatting sqref="C1075">
    <cfRule type="cellIs" dxfId="2878" priority="3221" stopIfTrue="1" operator="equal">
      <formula>"2 Add"</formula>
    </cfRule>
  </conditionalFormatting>
  <conditionalFormatting sqref="C1075">
    <cfRule type="cellIs" dxfId="2877" priority="3222" stopIfTrue="1" operator="equal">
      <formula>"3 Delete"</formula>
    </cfRule>
  </conditionalFormatting>
  <conditionalFormatting sqref="C1076">
    <cfRule type="cellIs" dxfId="2876" priority="3223" stopIfTrue="1" operator="equal">
      <formula>"1 Modify"</formula>
    </cfRule>
  </conditionalFormatting>
  <conditionalFormatting sqref="C1076">
    <cfRule type="cellIs" dxfId="2875" priority="3224" stopIfTrue="1" operator="equal">
      <formula>"2 Add"</formula>
    </cfRule>
  </conditionalFormatting>
  <conditionalFormatting sqref="C1076">
    <cfRule type="cellIs" dxfId="2874" priority="3225" stopIfTrue="1" operator="equal">
      <formula>"3 Delete"</formula>
    </cfRule>
  </conditionalFormatting>
  <conditionalFormatting sqref="C1077">
    <cfRule type="cellIs" dxfId="2873" priority="3226" stopIfTrue="1" operator="equal">
      <formula>"1 Modify"</formula>
    </cfRule>
  </conditionalFormatting>
  <conditionalFormatting sqref="C1077">
    <cfRule type="cellIs" dxfId="2872" priority="3227" stopIfTrue="1" operator="equal">
      <formula>"2 Add"</formula>
    </cfRule>
  </conditionalFormatting>
  <conditionalFormatting sqref="C1077">
    <cfRule type="cellIs" dxfId="2871" priority="3228" stopIfTrue="1" operator="equal">
      <formula>"3 Delete"</formula>
    </cfRule>
  </conditionalFormatting>
  <conditionalFormatting sqref="C1078">
    <cfRule type="cellIs" dxfId="2870" priority="3229" stopIfTrue="1" operator="equal">
      <formula>"1 Modify"</formula>
    </cfRule>
  </conditionalFormatting>
  <conditionalFormatting sqref="C1078">
    <cfRule type="cellIs" dxfId="2869" priority="3230" stopIfTrue="1" operator="equal">
      <formula>"2 Add"</formula>
    </cfRule>
  </conditionalFormatting>
  <conditionalFormatting sqref="C1078">
    <cfRule type="cellIs" dxfId="2868" priority="3231" stopIfTrue="1" operator="equal">
      <formula>"3 Delete"</formula>
    </cfRule>
  </conditionalFormatting>
  <conditionalFormatting sqref="C1079">
    <cfRule type="cellIs" dxfId="2867" priority="3232" stopIfTrue="1" operator="equal">
      <formula>"1 Modify"</formula>
    </cfRule>
  </conditionalFormatting>
  <conditionalFormatting sqref="C1079">
    <cfRule type="cellIs" dxfId="2866" priority="3233" stopIfTrue="1" operator="equal">
      <formula>"2 Add"</formula>
    </cfRule>
  </conditionalFormatting>
  <conditionalFormatting sqref="C1079">
    <cfRule type="cellIs" dxfId="2865" priority="3234" stopIfTrue="1" operator="equal">
      <formula>"3 Delete"</formula>
    </cfRule>
  </conditionalFormatting>
  <conditionalFormatting sqref="C1080">
    <cfRule type="cellIs" dxfId="2864" priority="3235" stopIfTrue="1" operator="equal">
      <formula>"1 Modify"</formula>
    </cfRule>
  </conditionalFormatting>
  <conditionalFormatting sqref="C1080">
    <cfRule type="cellIs" dxfId="2863" priority="3236" stopIfTrue="1" operator="equal">
      <formula>"2 Add"</formula>
    </cfRule>
  </conditionalFormatting>
  <conditionalFormatting sqref="C1080">
    <cfRule type="cellIs" dxfId="2862" priority="3237" stopIfTrue="1" operator="equal">
      <formula>"3 Delete"</formula>
    </cfRule>
  </conditionalFormatting>
  <conditionalFormatting sqref="C1081">
    <cfRule type="cellIs" dxfId="2861" priority="3238" stopIfTrue="1" operator="equal">
      <formula>"1 Modify"</formula>
    </cfRule>
  </conditionalFormatting>
  <conditionalFormatting sqref="C1081">
    <cfRule type="cellIs" dxfId="2860" priority="3239" stopIfTrue="1" operator="equal">
      <formula>"2 Add"</formula>
    </cfRule>
  </conditionalFormatting>
  <conditionalFormatting sqref="C1081">
    <cfRule type="cellIs" dxfId="2859" priority="3240" stopIfTrue="1" operator="equal">
      <formula>"3 Delete"</formula>
    </cfRule>
  </conditionalFormatting>
  <conditionalFormatting sqref="C1082">
    <cfRule type="cellIs" dxfId="2858" priority="3241" stopIfTrue="1" operator="equal">
      <formula>"1 Modify"</formula>
    </cfRule>
  </conditionalFormatting>
  <conditionalFormatting sqref="C1082">
    <cfRule type="cellIs" dxfId="2857" priority="3242" stopIfTrue="1" operator="equal">
      <formula>"2 Add"</formula>
    </cfRule>
  </conditionalFormatting>
  <conditionalFormatting sqref="C1082">
    <cfRule type="cellIs" dxfId="2856" priority="3243" stopIfTrue="1" operator="equal">
      <formula>"3 Delete"</formula>
    </cfRule>
  </conditionalFormatting>
  <conditionalFormatting sqref="C1083">
    <cfRule type="cellIs" dxfId="2855" priority="3244" stopIfTrue="1" operator="equal">
      <formula>"1 Modify"</formula>
    </cfRule>
  </conditionalFormatting>
  <conditionalFormatting sqref="C1083">
    <cfRule type="cellIs" dxfId="2854" priority="3245" stopIfTrue="1" operator="equal">
      <formula>"2 Add"</formula>
    </cfRule>
  </conditionalFormatting>
  <conditionalFormatting sqref="C1083">
    <cfRule type="cellIs" dxfId="2853" priority="3246" stopIfTrue="1" operator="equal">
      <formula>"3 Delete"</formula>
    </cfRule>
  </conditionalFormatting>
  <conditionalFormatting sqref="C1084">
    <cfRule type="cellIs" dxfId="2852" priority="3247" stopIfTrue="1" operator="equal">
      <formula>"1 Modify"</formula>
    </cfRule>
  </conditionalFormatting>
  <conditionalFormatting sqref="C1084">
    <cfRule type="cellIs" dxfId="2851" priority="3248" stopIfTrue="1" operator="equal">
      <formula>"2 Add"</formula>
    </cfRule>
  </conditionalFormatting>
  <conditionalFormatting sqref="C1084">
    <cfRule type="cellIs" dxfId="2850" priority="3249" stopIfTrue="1" operator="equal">
      <formula>"3 Delete"</formula>
    </cfRule>
  </conditionalFormatting>
  <conditionalFormatting sqref="C1085">
    <cfRule type="cellIs" dxfId="2849" priority="3250" stopIfTrue="1" operator="equal">
      <formula>"1 Modify"</formula>
    </cfRule>
  </conditionalFormatting>
  <conditionalFormatting sqref="C1085">
    <cfRule type="cellIs" dxfId="2848" priority="3251" stopIfTrue="1" operator="equal">
      <formula>"2 Add"</formula>
    </cfRule>
  </conditionalFormatting>
  <conditionalFormatting sqref="C1085">
    <cfRule type="cellIs" dxfId="2847" priority="3252" stopIfTrue="1" operator="equal">
      <formula>"3 Delete"</formula>
    </cfRule>
  </conditionalFormatting>
  <conditionalFormatting sqref="C1086">
    <cfRule type="cellIs" dxfId="2846" priority="3253" stopIfTrue="1" operator="equal">
      <formula>"1 Modify"</formula>
    </cfRule>
  </conditionalFormatting>
  <conditionalFormatting sqref="C1086">
    <cfRule type="cellIs" dxfId="2845" priority="3254" stopIfTrue="1" operator="equal">
      <formula>"2 Add"</formula>
    </cfRule>
  </conditionalFormatting>
  <conditionalFormatting sqref="C1086">
    <cfRule type="cellIs" dxfId="2844" priority="3255" stopIfTrue="1" operator="equal">
      <formula>"3 Delete"</formula>
    </cfRule>
  </conditionalFormatting>
  <conditionalFormatting sqref="C1087">
    <cfRule type="cellIs" dxfId="2843" priority="3256" stopIfTrue="1" operator="equal">
      <formula>"1 Modify"</formula>
    </cfRule>
  </conditionalFormatting>
  <conditionalFormatting sqref="C1087">
    <cfRule type="cellIs" dxfId="2842" priority="3257" stopIfTrue="1" operator="equal">
      <formula>"2 Add"</formula>
    </cfRule>
  </conditionalFormatting>
  <conditionalFormatting sqref="C1087">
    <cfRule type="cellIs" dxfId="2841" priority="3258" stopIfTrue="1" operator="equal">
      <formula>"3 Delete"</formula>
    </cfRule>
  </conditionalFormatting>
  <conditionalFormatting sqref="C1088">
    <cfRule type="cellIs" dxfId="2840" priority="3259" stopIfTrue="1" operator="equal">
      <formula>"1 Modify"</formula>
    </cfRule>
  </conditionalFormatting>
  <conditionalFormatting sqref="C1088">
    <cfRule type="cellIs" dxfId="2839" priority="3260" stopIfTrue="1" operator="equal">
      <formula>"2 Add"</formula>
    </cfRule>
  </conditionalFormatting>
  <conditionalFormatting sqref="C1088">
    <cfRule type="cellIs" dxfId="2838" priority="3261" stopIfTrue="1" operator="equal">
      <formula>"3 Delete"</formula>
    </cfRule>
  </conditionalFormatting>
  <conditionalFormatting sqref="C1089">
    <cfRule type="cellIs" dxfId="2837" priority="3262" stopIfTrue="1" operator="equal">
      <formula>"1 Modify"</formula>
    </cfRule>
  </conditionalFormatting>
  <conditionalFormatting sqref="C1089">
    <cfRule type="cellIs" dxfId="2836" priority="3263" stopIfTrue="1" operator="equal">
      <formula>"2 Add"</formula>
    </cfRule>
  </conditionalFormatting>
  <conditionalFormatting sqref="C1089">
    <cfRule type="cellIs" dxfId="2835" priority="3264" stopIfTrue="1" operator="equal">
      <formula>"3 Delete"</formula>
    </cfRule>
  </conditionalFormatting>
  <conditionalFormatting sqref="C1090">
    <cfRule type="cellIs" dxfId="2834" priority="3265" stopIfTrue="1" operator="equal">
      <formula>"1 Modify"</formula>
    </cfRule>
  </conditionalFormatting>
  <conditionalFormatting sqref="C1090">
    <cfRule type="cellIs" dxfId="2833" priority="3266" stopIfTrue="1" operator="equal">
      <formula>"2 Add"</formula>
    </cfRule>
  </conditionalFormatting>
  <conditionalFormatting sqref="C1090">
    <cfRule type="cellIs" dxfId="2832" priority="3267" stopIfTrue="1" operator="equal">
      <formula>"3 Delete"</formula>
    </cfRule>
  </conditionalFormatting>
  <conditionalFormatting sqref="C1091">
    <cfRule type="cellIs" dxfId="2831" priority="3268" stopIfTrue="1" operator="equal">
      <formula>"1 Modify"</formula>
    </cfRule>
  </conditionalFormatting>
  <conditionalFormatting sqref="C1091">
    <cfRule type="cellIs" dxfId="2830" priority="3269" stopIfTrue="1" operator="equal">
      <formula>"2 Add"</formula>
    </cfRule>
  </conditionalFormatting>
  <conditionalFormatting sqref="C1091">
    <cfRule type="cellIs" dxfId="2829" priority="3270" stopIfTrue="1" operator="equal">
      <formula>"3 Delete"</formula>
    </cfRule>
  </conditionalFormatting>
  <conditionalFormatting sqref="C1092">
    <cfRule type="cellIs" dxfId="2828" priority="3271" stopIfTrue="1" operator="equal">
      <formula>"1 Modify"</formula>
    </cfRule>
  </conditionalFormatting>
  <conditionalFormatting sqref="C1092">
    <cfRule type="cellIs" dxfId="2827" priority="3272" stopIfTrue="1" operator="equal">
      <formula>"2 Add"</formula>
    </cfRule>
  </conditionalFormatting>
  <conditionalFormatting sqref="C1092">
    <cfRule type="cellIs" dxfId="2826" priority="3273" stopIfTrue="1" operator="equal">
      <formula>"3 Delete"</formula>
    </cfRule>
  </conditionalFormatting>
  <conditionalFormatting sqref="C1093">
    <cfRule type="cellIs" dxfId="2825" priority="3274" stopIfTrue="1" operator="equal">
      <formula>"1 Modify"</formula>
    </cfRule>
  </conditionalFormatting>
  <conditionalFormatting sqref="C1093">
    <cfRule type="cellIs" dxfId="2824" priority="3275" stopIfTrue="1" operator="equal">
      <formula>"2 Add"</formula>
    </cfRule>
  </conditionalFormatting>
  <conditionalFormatting sqref="C1093">
    <cfRule type="cellIs" dxfId="2823" priority="3276" stopIfTrue="1" operator="equal">
      <formula>"3 Delete"</formula>
    </cfRule>
  </conditionalFormatting>
  <conditionalFormatting sqref="C1094">
    <cfRule type="cellIs" dxfId="2822" priority="3277" stopIfTrue="1" operator="equal">
      <formula>"1 Modify"</formula>
    </cfRule>
  </conditionalFormatting>
  <conditionalFormatting sqref="C1094">
    <cfRule type="cellIs" dxfId="2821" priority="3278" stopIfTrue="1" operator="equal">
      <formula>"2 Add"</formula>
    </cfRule>
  </conditionalFormatting>
  <conditionalFormatting sqref="C1094">
    <cfRule type="cellIs" dxfId="2820" priority="3279" stopIfTrue="1" operator="equal">
      <formula>"3 Delete"</formula>
    </cfRule>
  </conditionalFormatting>
  <conditionalFormatting sqref="C1095">
    <cfRule type="cellIs" dxfId="2819" priority="3280" stopIfTrue="1" operator="equal">
      <formula>"1 Modify"</formula>
    </cfRule>
  </conditionalFormatting>
  <conditionalFormatting sqref="C1095">
    <cfRule type="cellIs" dxfId="2818" priority="3281" stopIfTrue="1" operator="equal">
      <formula>"2 Add"</formula>
    </cfRule>
  </conditionalFormatting>
  <conditionalFormatting sqref="C1095">
    <cfRule type="cellIs" dxfId="2817" priority="3282" stopIfTrue="1" operator="equal">
      <formula>"3 Delete"</formula>
    </cfRule>
  </conditionalFormatting>
  <conditionalFormatting sqref="C1096">
    <cfRule type="cellIs" dxfId="2816" priority="3283" stopIfTrue="1" operator="equal">
      <formula>"1 Modify"</formula>
    </cfRule>
  </conditionalFormatting>
  <conditionalFormatting sqref="C1096">
    <cfRule type="cellIs" dxfId="2815" priority="3284" stopIfTrue="1" operator="equal">
      <formula>"2 Add"</formula>
    </cfRule>
  </conditionalFormatting>
  <conditionalFormatting sqref="C1096">
    <cfRule type="cellIs" dxfId="2814" priority="3285" stopIfTrue="1" operator="equal">
      <formula>"3 Delete"</formula>
    </cfRule>
  </conditionalFormatting>
  <conditionalFormatting sqref="C1097">
    <cfRule type="cellIs" dxfId="2813" priority="3286" stopIfTrue="1" operator="equal">
      <formula>"1 Modify"</formula>
    </cfRule>
  </conditionalFormatting>
  <conditionalFormatting sqref="C1097">
    <cfRule type="cellIs" dxfId="2812" priority="3287" stopIfTrue="1" operator="equal">
      <formula>"2 Add"</formula>
    </cfRule>
  </conditionalFormatting>
  <conditionalFormatting sqref="C1097">
    <cfRule type="cellIs" dxfId="2811" priority="3288" stopIfTrue="1" operator="equal">
      <formula>"3 Delete"</formula>
    </cfRule>
  </conditionalFormatting>
  <conditionalFormatting sqref="C1098">
    <cfRule type="cellIs" dxfId="2810" priority="3289" stopIfTrue="1" operator="equal">
      <formula>"1 Modify"</formula>
    </cfRule>
  </conditionalFormatting>
  <conditionalFormatting sqref="C1098">
    <cfRule type="cellIs" dxfId="2809" priority="3290" stopIfTrue="1" operator="equal">
      <formula>"2 Add"</formula>
    </cfRule>
  </conditionalFormatting>
  <conditionalFormatting sqref="C1098">
    <cfRule type="cellIs" dxfId="2808" priority="3291" stopIfTrue="1" operator="equal">
      <formula>"3 Delete"</formula>
    </cfRule>
  </conditionalFormatting>
  <conditionalFormatting sqref="C1099">
    <cfRule type="cellIs" dxfId="2807" priority="3292" stopIfTrue="1" operator="equal">
      <formula>"1 Modify"</formula>
    </cfRule>
  </conditionalFormatting>
  <conditionalFormatting sqref="C1099">
    <cfRule type="cellIs" dxfId="2806" priority="3293" stopIfTrue="1" operator="equal">
      <formula>"2 Add"</formula>
    </cfRule>
  </conditionalFormatting>
  <conditionalFormatting sqref="C1099">
    <cfRule type="cellIs" dxfId="2805" priority="3294" stopIfTrue="1" operator="equal">
      <formula>"3 Delete"</formula>
    </cfRule>
  </conditionalFormatting>
  <conditionalFormatting sqref="C1100">
    <cfRule type="cellIs" dxfId="2804" priority="3295" stopIfTrue="1" operator="equal">
      <formula>"1 Modify"</formula>
    </cfRule>
  </conditionalFormatting>
  <conditionalFormatting sqref="C1100">
    <cfRule type="cellIs" dxfId="2803" priority="3296" stopIfTrue="1" operator="equal">
      <formula>"2 Add"</formula>
    </cfRule>
  </conditionalFormatting>
  <conditionalFormatting sqref="C1100">
    <cfRule type="cellIs" dxfId="2802" priority="3297" stopIfTrue="1" operator="equal">
      <formula>"3 Delete"</formula>
    </cfRule>
  </conditionalFormatting>
  <conditionalFormatting sqref="C1101">
    <cfRule type="cellIs" dxfId="2801" priority="3298" stopIfTrue="1" operator="equal">
      <formula>"1 Modify"</formula>
    </cfRule>
  </conditionalFormatting>
  <conditionalFormatting sqref="C1101">
    <cfRule type="cellIs" dxfId="2800" priority="3299" stopIfTrue="1" operator="equal">
      <formula>"2 Add"</formula>
    </cfRule>
  </conditionalFormatting>
  <conditionalFormatting sqref="C1101">
    <cfRule type="cellIs" dxfId="2799" priority="3300" stopIfTrue="1" operator="equal">
      <formula>"3 Delete"</formula>
    </cfRule>
  </conditionalFormatting>
  <conditionalFormatting sqref="C1102">
    <cfRule type="cellIs" dxfId="2798" priority="3301" stopIfTrue="1" operator="equal">
      <formula>"1 Modify"</formula>
    </cfRule>
  </conditionalFormatting>
  <conditionalFormatting sqref="C1102">
    <cfRule type="cellIs" dxfId="2797" priority="3302" stopIfTrue="1" operator="equal">
      <formula>"2 Add"</formula>
    </cfRule>
  </conditionalFormatting>
  <conditionalFormatting sqref="C1102">
    <cfRule type="cellIs" dxfId="2796" priority="3303" stopIfTrue="1" operator="equal">
      <formula>"3 Delete"</formula>
    </cfRule>
  </conditionalFormatting>
  <conditionalFormatting sqref="C1103">
    <cfRule type="cellIs" dxfId="2795" priority="3304" stopIfTrue="1" operator="equal">
      <formula>"1 Modify"</formula>
    </cfRule>
  </conditionalFormatting>
  <conditionalFormatting sqref="C1103">
    <cfRule type="cellIs" dxfId="2794" priority="3305" stopIfTrue="1" operator="equal">
      <formula>"2 Add"</formula>
    </cfRule>
  </conditionalFormatting>
  <conditionalFormatting sqref="C1103">
    <cfRule type="cellIs" dxfId="2793" priority="3306" stopIfTrue="1" operator="equal">
      <formula>"3 Delete"</formula>
    </cfRule>
  </conditionalFormatting>
  <conditionalFormatting sqref="C1104">
    <cfRule type="cellIs" dxfId="2792" priority="3307" stopIfTrue="1" operator="equal">
      <formula>"1 Modify"</formula>
    </cfRule>
  </conditionalFormatting>
  <conditionalFormatting sqref="C1104">
    <cfRule type="cellIs" dxfId="2791" priority="3308" stopIfTrue="1" operator="equal">
      <formula>"2 Add"</formula>
    </cfRule>
  </conditionalFormatting>
  <conditionalFormatting sqref="C1104">
    <cfRule type="cellIs" dxfId="2790" priority="3309" stopIfTrue="1" operator="equal">
      <formula>"3 Delete"</formula>
    </cfRule>
  </conditionalFormatting>
  <conditionalFormatting sqref="C1105">
    <cfRule type="cellIs" dxfId="2789" priority="3310" stopIfTrue="1" operator="equal">
      <formula>"1 Modify"</formula>
    </cfRule>
  </conditionalFormatting>
  <conditionalFormatting sqref="C1105">
    <cfRule type="cellIs" dxfId="2788" priority="3311" stopIfTrue="1" operator="equal">
      <formula>"2 Add"</formula>
    </cfRule>
  </conditionalFormatting>
  <conditionalFormatting sqref="C1105">
    <cfRule type="cellIs" dxfId="2787" priority="3312" stopIfTrue="1" operator="equal">
      <formula>"3 Delete"</formula>
    </cfRule>
  </conditionalFormatting>
  <conditionalFormatting sqref="C1106">
    <cfRule type="cellIs" dxfId="2786" priority="3313" stopIfTrue="1" operator="equal">
      <formula>"1 Modify"</formula>
    </cfRule>
  </conditionalFormatting>
  <conditionalFormatting sqref="C1106">
    <cfRule type="cellIs" dxfId="2785" priority="3314" stopIfTrue="1" operator="equal">
      <formula>"2 Add"</formula>
    </cfRule>
  </conditionalFormatting>
  <conditionalFormatting sqref="C1106">
    <cfRule type="cellIs" dxfId="2784" priority="3315" stopIfTrue="1" operator="equal">
      <formula>"3 Delete"</formula>
    </cfRule>
  </conditionalFormatting>
  <conditionalFormatting sqref="C1107">
    <cfRule type="cellIs" dxfId="2783" priority="3316" stopIfTrue="1" operator="equal">
      <formula>"1 Modify"</formula>
    </cfRule>
  </conditionalFormatting>
  <conditionalFormatting sqref="C1107">
    <cfRule type="cellIs" dxfId="2782" priority="3317" stopIfTrue="1" operator="equal">
      <formula>"2 Add"</formula>
    </cfRule>
  </conditionalFormatting>
  <conditionalFormatting sqref="C1107">
    <cfRule type="cellIs" dxfId="2781" priority="3318" stopIfTrue="1" operator="equal">
      <formula>"3 Delete"</formula>
    </cfRule>
  </conditionalFormatting>
  <conditionalFormatting sqref="C1108">
    <cfRule type="cellIs" dxfId="2780" priority="3319" stopIfTrue="1" operator="equal">
      <formula>"1 Modify"</formula>
    </cfRule>
  </conditionalFormatting>
  <conditionalFormatting sqref="C1108">
    <cfRule type="cellIs" dxfId="2779" priority="3320" stopIfTrue="1" operator="equal">
      <formula>"2 Add"</formula>
    </cfRule>
  </conditionalFormatting>
  <conditionalFormatting sqref="C1108">
    <cfRule type="cellIs" dxfId="2778" priority="3321" stopIfTrue="1" operator="equal">
      <formula>"3 Delete"</formula>
    </cfRule>
  </conditionalFormatting>
  <conditionalFormatting sqref="C1109">
    <cfRule type="cellIs" dxfId="2777" priority="3322" stopIfTrue="1" operator="equal">
      <formula>"1 Modify"</formula>
    </cfRule>
  </conditionalFormatting>
  <conditionalFormatting sqref="C1109">
    <cfRule type="cellIs" dxfId="2776" priority="3323" stopIfTrue="1" operator="equal">
      <formula>"2 Add"</formula>
    </cfRule>
  </conditionalFormatting>
  <conditionalFormatting sqref="C1109">
    <cfRule type="cellIs" dxfId="2775" priority="3324" stopIfTrue="1" operator="equal">
      <formula>"3 Delete"</formula>
    </cfRule>
  </conditionalFormatting>
  <conditionalFormatting sqref="C1110">
    <cfRule type="cellIs" dxfId="2774" priority="3325" stopIfTrue="1" operator="equal">
      <formula>"1 Modify"</formula>
    </cfRule>
  </conditionalFormatting>
  <conditionalFormatting sqref="C1110">
    <cfRule type="cellIs" dxfId="2773" priority="3326" stopIfTrue="1" operator="equal">
      <formula>"2 Add"</formula>
    </cfRule>
  </conditionalFormatting>
  <conditionalFormatting sqref="C1110">
    <cfRule type="cellIs" dxfId="2772" priority="3327" stopIfTrue="1" operator="equal">
      <formula>"3 Delete"</formula>
    </cfRule>
  </conditionalFormatting>
  <conditionalFormatting sqref="C1111">
    <cfRule type="cellIs" dxfId="2771" priority="3328" stopIfTrue="1" operator="equal">
      <formula>"1 Modify"</formula>
    </cfRule>
  </conditionalFormatting>
  <conditionalFormatting sqref="C1111">
    <cfRule type="cellIs" dxfId="2770" priority="3329" stopIfTrue="1" operator="equal">
      <formula>"2 Add"</formula>
    </cfRule>
  </conditionalFormatting>
  <conditionalFormatting sqref="C1111">
    <cfRule type="cellIs" dxfId="2769" priority="3330" stopIfTrue="1" operator="equal">
      <formula>"3 Delete"</formula>
    </cfRule>
  </conditionalFormatting>
  <conditionalFormatting sqref="C1112">
    <cfRule type="cellIs" dxfId="2768" priority="3331" stopIfTrue="1" operator="equal">
      <formula>"1 Modify"</formula>
    </cfRule>
  </conditionalFormatting>
  <conditionalFormatting sqref="C1112">
    <cfRule type="cellIs" dxfId="2767" priority="3332" stopIfTrue="1" operator="equal">
      <formula>"2 Add"</formula>
    </cfRule>
  </conditionalFormatting>
  <conditionalFormatting sqref="C1112">
    <cfRule type="cellIs" dxfId="2766" priority="3333" stopIfTrue="1" operator="equal">
      <formula>"3 Delete"</formula>
    </cfRule>
  </conditionalFormatting>
  <conditionalFormatting sqref="C1113">
    <cfRule type="cellIs" dxfId="2765" priority="3334" stopIfTrue="1" operator="equal">
      <formula>"1 Modify"</formula>
    </cfRule>
  </conditionalFormatting>
  <conditionalFormatting sqref="C1113">
    <cfRule type="cellIs" dxfId="2764" priority="3335" stopIfTrue="1" operator="equal">
      <formula>"2 Add"</formula>
    </cfRule>
  </conditionalFormatting>
  <conditionalFormatting sqref="C1113">
    <cfRule type="cellIs" dxfId="2763" priority="3336" stopIfTrue="1" operator="equal">
      <formula>"3 Delete"</formula>
    </cfRule>
  </conditionalFormatting>
  <conditionalFormatting sqref="C1114">
    <cfRule type="cellIs" dxfId="2762" priority="3337" stopIfTrue="1" operator="equal">
      <formula>"1 Modify"</formula>
    </cfRule>
  </conditionalFormatting>
  <conditionalFormatting sqref="C1114">
    <cfRule type="cellIs" dxfId="2761" priority="3338" stopIfTrue="1" operator="equal">
      <formula>"2 Add"</formula>
    </cfRule>
  </conditionalFormatting>
  <conditionalFormatting sqref="C1114">
    <cfRule type="cellIs" dxfId="2760" priority="3339" stopIfTrue="1" operator="equal">
      <formula>"3 Delete"</formula>
    </cfRule>
  </conditionalFormatting>
  <conditionalFormatting sqref="C1115">
    <cfRule type="cellIs" dxfId="2759" priority="3340" stopIfTrue="1" operator="equal">
      <formula>"1 Modify"</formula>
    </cfRule>
  </conditionalFormatting>
  <conditionalFormatting sqref="C1115">
    <cfRule type="cellIs" dxfId="2758" priority="3341" stopIfTrue="1" operator="equal">
      <formula>"2 Add"</formula>
    </cfRule>
  </conditionalFormatting>
  <conditionalFormatting sqref="C1115">
    <cfRule type="cellIs" dxfId="2757" priority="3342" stopIfTrue="1" operator="equal">
      <formula>"3 Delete"</formula>
    </cfRule>
  </conditionalFormatting>
  <conditionalFormatting sqref="C1116">
    <cfRule type="cellIs" dxfId="2756" priority="3343" stopIfTrue="1" operator="equal">
      <formula>"1 Modify"</formula>
    </cfRule>
  </conditionalFormatting>
  <conditionalFormatting sqref="C1116">
    <cfRule type="cellIs" dxfId="2755" priority="3344" stopIfTrue="1" operator="equal">
      <formula>"2 Add"</formula>
    </cfRule>
  </conditionalFormatting>
  <conditionalFormatting sqref="C1116">
    <cfRule type="cellIs" dxfId="2754" priority="3345" stopIfTrue="1" operator="equal">
      <formula>"3 Delete"</formula>
    </cfRule>
  </conditionalFormatting>
  <conditionalFormatting sqref="C1117">
    <cfRule type="cellIs" dxfId="2753" priority="3346" stopIfTrue="1" operator="equal">
      <formula>"1 Modify"</formula>
    </cfRule>
  </conditionalFormatting>
  <conditionalFormatting sqref="C1117">
    <cfRule type="cellIs" dxfId="2752" priority="3347" stopIfTrue="1" operator="equal">
      <formula>"2 Add"</formula>
    </cfRule>
  </conditionalFormatting>
  <conditionalFormatting sqref="C1117">
    <cfRule type="cellIs" dxfId="2751" priority="3348" stopIfTrue="1" operator="equal">
      <formula>"3 Delete"</formula>
    </cfRule>
  </conditionalFormatting>
  <conditionalFormatting sqref="C1118">
    <cfRule type="cellIs" dxfId="2750" priority="3349" stopIfTrue="1" operator="equal">
      <formula>"1 Modify"</formula>
    </cfRule>
  </conditionalFormatting>
  <conditionalFormatting sqref="C1118">
    <cfRule type="cellIs" dxfId="2749" priority="3350" stopIfTrue="1" operator="equal">
      <formula>"2 Add"</formula>
    </cfRule>
  </conditionalFormatting>
  <conditionalFormatting sqref="C1118">
    <cfRule type="cellIs" dxfId="2748" priority="3351" stopIfTrue="1" operator="equal">
      <formula>"3 Delete"</formula>
    </cfRule>
  </conditionalFormatting>
  <conditionalFormatting sqref="C1119">
    <cfRule type="cellIs" dxfId="2747" priority="3352" stopIfTrue="1" operator="equal">
      <formula>"1 Modify"</formula>
    </cfRule>
  </conditionalFormatting>
  <conditionalFormatting sqref="C1119">
    <cfRule type="cellIs" dxfId="2746" priority="3353" stopIfTrue="1" operator="equal">
      <formula>"2 Add"</formula>
    </cfRule>
  </conditionalFormatting>
  <conditionalFormatting sqref="C1119">
    <cfRule type="cellIs" dxfId="2745" priority="3354" stopIfTrue="1" operator="equal">
      <formula>"3 Delete"</formula>
    </cfRule>
  </conditionalFormatting>
  <conditionalFormatting sqref="C1120">
    <cfRule type="cellIs" dxfId="2744" priority="3355" stopIfTrue="1" operator="equal">
      <formula>"1 Modify"</formula>
    </cfRule>
  </conditionalFormatting>
  <conditionalFormatting sqref="C1120">
    <cfRule type="cellIs" dxfId="2743" priority="3356" stopIfTrue="1" operator="equal">
      <formula>"2 Add"</formula>
    </cfRule>
  </conditionalFormatting>
  <conditionalFormatting sqref="C1120">
    <cfRule type="cellIs" dxfId="2742" priority="3357" stopIfTrue="1" operator="equal">
      <formula>"3 Delete"</formula>
    </cfRule>
  </conditionalFormatting>
  <conditionalFormatting sqref="C1121">
    <cfRule type="cellIs" dxfId="2741" priority="3358" stopIfTrue="1" operator="equal">
      <formula>"1 Modify"</formula>
    </cfRule>
  </conditionalFormatting>
  <conditionalFormatting sqref="C1121">
    <cfRule type="cellIs" dxfId="2740" priority="3359" stopIfTrue="1" operator="equal">
      <formula>"2 Add"</formula>
    </cfRule>
  </conditionalFormatting>
  <conditionalFormatting sqref="C1121">
    <cfRule type="cellIs" dxfId="2739" priority="3360" stopIfTrue="1" operator="equal">
      <formula>"3 Delete"</formula>
    </cfRule>
  </conditionalFormatting>
  <conditionalFormatting sqref="C1122">
    <cfRule type="cellIs" dxfId="2738" priority="3361" stopIfTrue="1" operator="equal">
      <formula>"1 Modify"</formula>
    </cfRule>
  </conditionalFormatting>
  <conditionalFormatting sqref="C1122">
    <cfRule type="cellIs" dxfId="2737" priority="3362" stopIfTrue="1" operator="equal">
      <formula>"2 Add"</formula>
    </cfRule>
  </conditionalFormatting>
  <conditionalFormatting sqref="C1122">
    <cfRule type="cellIs" dxfId="2736" priority="3363" stopIfTrue="1" operator="equal">
      <formula>"3 Delete"</formula>
    </cfRule>
  </conditionalFormatting>
  <conditionalFormatting sqref="C1123">
    <cfRule type="cellIs" dxfId="2735" priority="3364" stopIfTrue="1" operator="equal">
      <formula>"1 Modify"</formula>
    </cfRule>
  </conditionalFormatting>
  <conditionalFormatting sqref="C1123">
    <cfRule type="cellIs" dxfId="2734" priority="3365" stopIfTrue="1" operator="equal">
      <formula>"2 Add"</formula>
    </cfRule>
  </conditionalFormatting>
  <conditionalFormatting sqref="C1123">
    <cfRule type="cellIs" dxfId="2733" priority="3366" stopIfTrue="1" operator="equal">
      <formula>"3 Delete"</formula>
    </cfRule>
  </conditionalFormatting>
  <conditionalFormatting sqref="C1124">
    <cfRule type="cellIs" dxfId="2732" priority="3367" stopIfTrue="1" operator="equal">
      <formula>"1 Modify"</formula>
    </cfRule>
  </conditionalFormatting>
  <conditionalFormatting sqref="C1124">
    <cfRule type="cellIs" dxfId="2731" priority="3368" stopIfTrue="1" operator="equal">
      <formula>"2 Add"</formula>
    </cfRule>
  </conditionalFormatting>
  <conditionalFormatting sqref="C1124">
    <cfRule type="cellIs" dxfId="2730" priority="3369" stopIfTrue="1" operator="equal">
      <formula>"3 Delete"</formula>
    </cfRule>
  </conditionalFormatting>
  <conditionalFormatting sqref="C1125">
    <cfRule type="cellIs" dxfId="2729" priority="3370" stopIfTrue="1" operator="equal">
      <formula>"1 Modify"</formula>
    </cfRule>
  </conditionalFormatting>
  <conditionalFormatting sqref="C1125">
    <cfRule type="cellIs" dxfId="2728" priority="3371" stopIfTrue="1" operator="equal">
      <formula>"2 Add"</formula>
    </cfRule>
  </conditionalFormatting>
  <conditionalFormatting sqref="C1125">
    <cfRule type="cellIs" dxfId="2727" priority="3372" stopIfTrue="1" operator="equal">
      <formula>"3 Delete"</formula>
    </cfRule>
  </conditionalFormatting>
  <conditionalFormatting sqref="C1126">
    <cfRule type="cellIs" dxfId="2726" priority="3373" stopIfTrue="1" operator="equal">
      <formula>"1 Modify"</formula>
    </cfRule>
  </conditionalFormatting>
  <conditionalFormatting sqref="C1126">
    <cfRule type="cellIs" dxfId="2725" priority="3374" stopIfTrue="1" operator="equal">
      <formula>"2 Add"</formula>
    </cfRule>
  </conditionalFormatting>
  <conditionalFormatting sqref="C1126">
    <cfRule type="cellIs" dxfId="2724" priority="3375" stopIfTrue="1" operator="equal">
      <formula>"3 Delete"</formula>
    </cfRule>
  </conditionalFormatting>
  <conditionalFormatting sqref="C1127">
    <cfRule type="cellIs" dxfId="2723" priority="3376" stopIfTrue="1" operator="equal">
      <formula>"1 Modify"</formula>
    </cfRule>
  </conditionalFormatting>
  <conditionalFormatting sqref="C1127">
    <cfRule type="cellIs" dxfId="2722" priority="3377" stopIfTrue="1" operator="equal">
      <formula>"2 Add"</formula>
    </cfRule>
  </conditionalFormatting>
  <conditionalFormatting sqref="C1127">
    <cfRule type="cellIs" dxfId="2721" priority="3378" stopIfTrue="1" operator="equal">
      <formula>"3 Delete"</formula>
    </cfRule>
  </conditionalFormatting>
  <conditionalFormatting sqref="C1128">
    <cfRule type="cellIs" dxfId="2720" priority="3379" stopIfTrue="1" operator="equal">
      <formula>"1 Modify"</formula>
    </cfRule>
  </conditionalFormatting>
  <conditionalFormatting sqref="C1128">
    <cfRule type="cellIs" dxfId="2719" priority="3380" stopIfTrue="1" operator="equal">
      <formula>"2 Add"</formula>
    </cfRule>
  </conditionalFormatting>
  <conditionalFormatting sqref="C1128">
    <cfRule type="cellIs" dxfId="2718" priority="3381" stopIfTrue="1" operator="equal">
      <formula>"3 Delete"</formula>
    </cfRule>
  </conditionalFormatting>
  <conditionalFormatting sqref="C1129">
    <cfRule type="cellIs" dxfId="2717" priority="3382" stopIfTrue="1" operator="equal">
      <formula>"1 Modify"</formula>
    </cfRule>
  </conditionalFormatting>
  <conditionalFormatting sqref="C1129">
    <cfRule type="cellIs" dxfId="2716" priority="3383" stopIfTrue="1" operator="equal">
      <formula>"2 Add"</formula>
    </cfRule>
  </conditionalFormatting>
  <conditionalFormatting sqref="C1129">
    <cfRule type="cellIs" dxfId="2715" priority="3384" stopIfTrue="1" operator="equal">
      <formula>"3 Delete"</formula>
    </cfRule>
  </conditionalFormatting>
  <conditionalFormatting sqref="C1130">
    <cfRule type="cellIs" dxfId="2714" priority="3385" stopIfTrue="1" operator="equal">
      <formula>"1 Modify"</formula>
    </cfRule>
  </conditionalFormatting>
  <conditionalFormatting sqref="C1130">
    <cfRule type="cellIs" dxfId="2713" priority="3386" stopIfTrue="1" operator="equal">
      <formula>"2 Add"</formula>
    </cfRule>
  </conditionalFormatting>
  <conditionalFormatting sqref="C1130">
    <cfRule type="cellIs" dxfId="2712" priority="3387" stopIfTrue="1" operator="equal">
      <formula>"3 Delete"</formula>
    </cfRule>
  </conditionalFormatting>
  <conditionalFormatting sqref="C1131">
    <cfRule type="cellIs" dxfId="2711" priority="3388" stopIfTrue="1" operator="equal">
      <formula>"1 Modify"</formula>
    </cfRule>
  </conditionalFormatting>
  <conditionalFormatting sqref="C1131">
    <cfRule type="cellIs" dxfId="2710" priority="3389" stopIfTrue="1" operator="equal">
      <formula>"2 Add"</formula>
    </cfRule>
  </conditionalFormatting>
  <conditionalFormatting sqref="C1131">
    <cfRule type="cellIs" dxfId="2709" priority="3390" stopIfTrue="1" operator="equal">
      <formula>"3 Delete"</formula>
    </cfRule>
  </conditionalFormatting>
  <conditionalFormatting sqref="C1132">
    <cfRule type="cellIs" dxfId="2708" priority="3391" stopIfTrue="1" operator="equal">
      <formula>"1 Modify"</formula>
    </cfRule>
  </conditionalFormatting>
  <conditionalFormatting sqref="C1132">
    <cfRule type="cellIs" dxfId="2707" priority="3392" stopIfTrue="1" operator="equal">
      <formula>"2 Add"</formula>
    </cfRule>
  </conditionalFormatting>
  <conditionalFormatting sqref="C1132">
    <cfRule type="cellIs" dxfId="2706" priority="3393" stopIfTrue="1" operator="equal">
      <formula>"3 Delete"</formula>
    </cfRule>
  </conditionalFormatting>
  <conditionalFormatting sqref="C1133">
    <cfRule type="cellIs" dxfId="2705" priority="3394" stopIfTrue="1" operator="equal">
      <formula>"1 Modify"</formula>
    </cfRule>
  </conditionalFormatting>
  <conditionalFormatting sqref="C1133">
    <cfRule type="cellIs" dxfId="2704" priority="3395" stopIfTrue="1" operator="equal">
      <formula>"2 Add"</formula>
    </cfRule>
  </conditionalFormatting>
  <conditionalFormatting sqref="C1133">
    <cfRule type="cellIs" dxfId="2703" priority="3396" stopIfTrue="1" operator="equal">
      <formula>"3 Delete"</formula>
    </cfRule>
  </conditionalFormatting>
  <conditionalFormatting sqref="C1134">
    <cfRule type="cellIs" dxfId="2702" priority="3397" stopIfTrue="1" operator="equal">
      <formula>"1 Modify"</formula>
    </cfRule>
  </conditionalFormatting>
  <conditionalFormatting sqref="C1134">
    <cfRule type="cellIs" dxfId="2701" priority="3398" stopIfTrue="1" operator="equal">
      <formula>"2 Add"</formula>
    </cfRule>
  </conditionalFormatting>
  <conditionalFormatting sqref="C1134">
    <cfRule type="cellIs" dxfId="2700" priority="3399" stopIfTrue="1" operator="equal">
      <formula>"3 Delete"</formula>
    </cfRule>
  </conditionalFormatting>
  <conditionalFormatting sqref="C1135">
    <cfRule type="cellIs" dxfId="2699" priority="3400" stopIfTrue="1" operator="equal">
      <formula>"1 Modify"</formula>
    </cfRule>
  </conditionalFormatting>
  <conditionalFormatting sqref="C1135">
    <cfRule type="cellIs" dxfId="2698" priority="3401" stopIfTrue="1" operator="equal">
      <formula>"2 Add"</formula>
    </cfRule>
  </conditionalFormatting>
  <conditionalFormatting sqref="C1135">
    <cfRule type="cellIs" dxfId="2697" priority="3402" stopIfTrue="1" operator="equal">
      <formula>"3 Delete"</formula>
    </cfRule>
  </conditionalFormatting>
  <conditionalFormatting sqref="C1136">
    <cfRule type="cellIs" dxfId="2696" priority="3403" stopIfTrue="1" operator="equal">
      <formula>"1 Modify"</formula>
    </cfRule>
  </conditionalFormatting>
  <conditionalFormatting sqref="C1136">
    <cfRule type="cellIs" dxfId="2695" priority="3404" stopIfTrue="1" operator="equal">
      <formula>"2 Add"</formula>
    </cfRule>
  </conditionalFormatting>
  <conditionalFormatting sqref="C1136">
    <cfRule type="cellIs" dxfId="2694" priority="3405" stopIfTrue="1" operator="equal">
      <formula>"3 Delete"</formula>
    </cfRule>
  </conditionalFormatting>
  <conditionalFormatting sqref="C1137">
    <cfRule type="cellIs" dxfId="2693" priority="3406" stopIfTrue="1" operator="equal">
      <formula>"1 Modify"</formula>
    </cfRule>
  </conditionalFormatting>
  <conditionalFormatting sqref="C1137">
    <cfRule type="cellIs" dxfId="2692" priority="3407" stopIfTrue="1" operator="equal">
      <formula>"2 Add"</formula>
    </cfRule>
  </conditionalFormatting>
  <conditionalFormatting sqref="C1137">
    <cfRule type="cellIs" dxfId="2691" priority="3408" stopIfTrue="1" operator="equal">
      <formula>"3 Delete"</formula>
    </cfRule>
  </conditionalFormatting>
  <conditionalFormatting sqref="C1138">
    <cfRule type="cellIs" dxfId="2690" priority="3409" stopIfTrue="1" operator="equal">
      <formula>"1 Modify"</formula>
    </cfRule>
  </conditionalFormatting>
  <conditionalFormatting sqref="C1138">
    <cfRule type="cellIs" dxfId="2689" priority="3410" stopIfTrue="1" operator="equal">
      <formula>"2 Add"</formula>
    </cfRule>
  </conditionalFormatting>
  <conditionalFormatting sqref="C1138">
    <cfRule type="cellIs" dxfId="2688" priority="3411" stopIfTrue="1" operator="equal">
      <formula>"3 Delete"</formula>
    </cfRule>
  </conditionalFormatting>
  <conditionalFormatting sqref="C1139">
    <cfRule type="cellIs" dxfId="2687" priority="3412" stopIfTrue="1" operator="equal">
      <formula>"1 Modify"</formula>
    </cfRule>
  </conditionalFormatting>
  <conditionalFormatting sqref="C1139">
    <cfRule type="cellIs" dxfId="2686" priority="3413" stopIfTrue="1" operator="equal">
      <formula>"2 Add"</formula>
    </cfRule>
  </conditionalFormatting>
  <conditionalFormatting sqref="C1139">
    <cfRule type="cellIs" dxfId="2685" priority="3414" stopIfTrue="1" operator="equal">
      <formula>"3 Delete"</formula>
    </cfRule>
  </conditionalFormatting>
  <conditionalFormatting sqref="C1140">
    <cfRule type="cellIs" dxfId="2684" priority="3415" stopIfTrue="1" operator="equal">
      <formula>"1 Modify"</formula>
    </cfRule>
  </conditionalFormatting>
  <conditionalFormatting sqref="C1140">
    <cfRule type="cellIs" dxfId="2683" priority="3416" stopIfTrue="1" operator="equal">
      <formula>"2 Add"</formula>
    </cfRule>
  </conditionalFormatting>
  <conditionalFormatting sqref="C1140">
    <cfRule type="cellIs" dxfId="2682" priority="3417" stopIfTrue="1" operator="equal">
      <formula>"3 Delete"</formula>
    </cfRule>
  </conditionalFormatting>
  <conditionalFormatting sqref="C1141">
    <cfRule type="cellIs" dxfId="2681" priority="3418" stopIfTrue="1" operator="equal">
      <formula>"1 Modify"</formula>
    </cfRule>
  </conditionalFormatting>
  <conditionalFormatting sqref="C1141">
    <cfRule type="cellIs" dxfId="2680" priority="3419" stopIfTrue="1" operator="equal">
      <formula>"2 Add"</formula>
    </cfRule>
  </conditionalFormatting>
  <conditionalFormatting sqref="C1141">
    <cfRule type="cellIs" dxfId="2679" priority="3420" stopIfTrue="1" operator="equal">
      <formula>"3 Delete"</formula>
    </cfRule>
  </conditionalFormatting>
  <conditionalFormatting sqref="C1142">
    <cfRule type="cellIs" dxfId="2678" priority="3421" stopIfTrue="1" operator="equal">
      <formula>"1 Modify"</formula>
    </cfRule>
  </conditionalFormatting>
  <conditionalFormatting sqref="C1142">
    <cfRule type="cellIs" dxfId="2677" priority="3422" stopIfTrue="1" operator="equal">
      <formula>"2 Add"</formula>
    </cfRule>
  </conditionalFormatting>
  <conditionalFormatting sqref="C1142">
    <cfRule type="cellIs" dxfId="2676" priority="3423" stopIfTrue="1" operator="equal">
      <formula>"3 Delete"</formula>
    </cfRule>
  </conditionalFormatting>
  <conditionalFormatting sqref="C1143">
    <cfRule type="cellIs" dxfId="2675" priority="3424" stopIfTrue="1" operator="equal">
      <formula>"1 Modify"</formula>
    </cfRule>
  </conditionalFormatting>
  <conditionalFormatting sqref="C1143">
    <cfRule type="cellIs" dxfId="2674" priority="3425" stopIfTrue="1" operator="equal">
      <formula>"2 Add"</formula>
    </cfRule>
  </conditionalFormatting>
  <conditionalFormatting sqref="C1143">
    <cfRule type="cellIs" dxfId="2673" priority="3426" stopIfTrue="1" operator="equal">
      <formula>"3 Delete"</formula>
    </cfRule>
  </conditionalFormatting>
  <conditionalFormatting sqref="C1144">
    <cfRule type="cellIs" dxfId="2672" priority="3427" stopIfTrue="1" operator="equal">
      <formula>"1 Modify"</formula>
    </cfRule>
  </conditionalFormatting>
  <conditionalFormatting sqref="C1144">
    <cfRule type="cellIs" dxfId="2671" priority="3428" stopIfTrue="1" operator="equal">
      <formula>"2 Add"</formula>
    </cfRule>
  </conditionalFormatting>
  <conditionalFormatting sqref="C1144">
    <cfRule type="cellIs" dxfId="2670" priority="3429" stopIfTrue="1" operator="equal">
      <formula>"3 Delete"</formula>
    </cfRule>
  </conditionalFormatting>
  <conditionalFormatting sqref="C1145">
    <cfRule type="cellIs" dxfId="2669" priority="3430" stopIfTrue="1" operator="equal">
      <formula>"1 Modify"</formula>
    </cfRule>
  </conditionalFormatting>
  <conditionalFormatting sqref="C1145">
    <cfRule type="cellIs" dxfId="2668" priority="3431" stopIfTrue="1" operator="equal">
      <formula>"2 Add"</formula>
    </cfRule>
  </conditionalFormatting>
  <conditionalFormatting sqref="C1145">
    <cfRule type="cellIs" dxfId="2667" priority="3432" stopIfTrue="1" operator="equal">
      <formula>"3 Delete"</formula>
    </cfRule>
  </conditionalFormatting>
  <conditionalFormatting sqref="C1146">
    <cfRule type="cellIs" dxfId="2666" priority="3433" stopIfTrue="1" operator="equal">
      <formula>"1 Modify"</formula>
    </cfRule>
  </conditionalFormatting>
  <conditionalFormatting sqref="C1146">
    <cfRule type="cellIs" dxfId="2665" priority="3434" stopIfTrue="1" operator="equal">
      <formula>"2 Add"</formula>
    </cfRule>
  </conditionalFormatting>
  <conditionalFormatting sqref="C1146">
    <cfRule type="cellIs" dxfId="2664" priority="3435" stopIfTrue="1" operator="equal">
      <formula>"3 Delete"</formula>
    </cfRule>
  </conditionalFormatting>
  <conditionalFormatting sqref="C1147">
    <cfRule type="cellIs" dxfId="2663" priority="3436" stopIfTrue="1" operator="equal">
      <formula>"1 Modify"</formula>
    </cfRule>
  </conditionalFormatting>
  <conditionalFormatting sqref="C1147">
    <cfRule type="cellIs" dxfId="2662" priority="3437" stopIfTrue="1" operator="equal">
      <formula>"2 Add"</formula>
    </cfRule>
  </conditionalFormatting>
  <conditionalFormatting sqref="C1147">
    <cfRule type="cellIs" dxfId="2661" priority="3438" stopIfTrue="1" operator="equal">
      <formula>"3 Delete"</formula>
    </cfRule>
  </conditionalFormatting>
  <conditionalFormatting sqref="C1148">
    <cfRule type="cellIs" dxfId="2660" priority="3439" stopIfTrue="1" operator="equal">
      <formula>"1 Modify"</formula>
    </cfRule>
  </conditionalFormatting>
  <conditionalFormatting sqref="C1148">
    <cfRule type="cellIs" dxfId="2659" priority="3440" stopIfTrue="1" operator="equal">
      <formula>"2 Add"</formula>
    </cfRule>
  </conditionalFormatting>
  <conditionalFormatting sqref="C1148">
    <cfRule type="cellIs" dxfId="2658" priority="3441" stopIfTrue="1" operator="equal">
      <formula>"3 Delete"</formula>
    </cfRule>
  </conditionalFormatting>
  <conditionalFormatting sqref="C1149">
    <cfRule type="cellIs" dxfId="2657" priority="3442" stopIfTrue="1" operator="equal">
      <formula>"1 Modify"</formula>
    </cfRule>
  </conditionalFormatting>
  <conditionalFormatting sqref="C1149">
    <cfRule type="cellIs" dxfId="2656" priority="3443" stopIfTrue="1" operator="equal">
      <formula>"2 Add"</formula>
    </cfRule>
  </conditionalFormatting>
  <conditionalFormatting sqref="C1149">
    <cfRule type="cellIs" dxfId="2655" priority="3444" stopIfTrue="1" operator="equal">
      <formula>"3 Delete"</formula>
    </cfRule>
  </conditionalFormatting>
  <conditionalFormatting sqref="C1150">
    <cfRule type="cellIs" dxfId="2654" priority="3445" stopIfTrue="1" operator="equal">
      <formula>"1 Modify"</formula>
    </cfRule>
  </conditionalFormatting>
  <conditionalFormatting sqref="C1150">
    <cfRule type="cellIs" dxfId="2653" priority="3446" stopIfTrue="1" operator="equal">
      <formula>"2 Add"</formula>
    </cfRule>
  </conditionalFormatting>
  <conditionalFormatting sqref="C1150">
    <cfRule type="cellIs" dxfId="2652" priority="3447" stopIfTrue="1" operator="equal">
      <formula>"3 Delete"</formula>
    </cfRule>
  </conditionalFormatting>
  <conditionalFormatting sqref="C1151">
    <cfRule type="cellIs" dxfId="2651" priority="3448" stopIfTrue="1" operator="equal">
      <formula>"1 Modify"</formula>
    </cfRule>
  </conditionalFormatting>
  <conditionalFormatting sqref="C1151">
    <cfRule type="cellIs" dxfId="2650" priority="3449" stopIfTrue="1" operator="equal">
      <formula>"2 Add"</formula>
    </cfRule>
  </conditionalFormatting>
  <conditionalFormatting sqref="C1151">
    <cfRule type="cellIs" dxfId="2649" priority="3450" stopIfTrue="1" operator="equal">
      <formula>"3 Delete"</formula>
    </cfRule>
  </conditionalFormatting>
  <conditionalFormatting sqref="C1152">
    <cfRule type="cellIs" dxfId="2648" priority="3451" stopIfTrue="1" operator="equal">
      <formula>"1 Modify"</formula>
    </cfRule>
  </conditionalFormatting>
  <conditionalFormatting sqref="C1152">
    <cfRule type="cellIs" dxfId="2647" priority="3452" stopIfTrue="1" operator="equal">
      <formula>"2 Add"</formula>
    </cfRule>
  </conditionalFormatting>
  <conditionalFormatting sqref="C1152">
    <cfRule type="cellIs" dxfId="2646" priority="3453" stopIfTrue="1" operator="equal">
      <formula>"3 Delete"</formula>
    </cfRule>
  </conditionalFormatting>
  <conditionalFormatting sqref="C1153">
    <cfRule type="cellIs" dxfId="2645" priority="3454" stopIfTrue="1" operator="equal">
      <formula>"1 Modify"</formula>
    </cfRule>
  </conditionalFormatting>
  <conditionalFormatting sqref="C1153">
    <cfRule type="cellIs" dxfId="2644" priority="3455" stopIfTrue="1" operator="equal">
      <formula>"2 Add"</formula>
    </cfRule>
  </conditionalFormatting>
  <conditionalFormatting sqref="C1153">
    <cfRule type="cellIs" dxfId="2643" priority="3456" stopIfTrue="1" operator="equal">
      <formula>"3 Delete"</formula>
    </cfRule>
  </conditionalFormatting>
  <conditionalFormatting sqref="C1154">
    <cfRule type="cellIs" dxfId="2642" priority="3457" stopIfTrue="1" operator="equal">
      <formula>"1 Modify"</formula>
    </cfRule>
  </conditionalFormatting>
  <conditionalFormatting sqref="C1154">
    <cfRule type="cellIs" dxfId="2641" priority="3458" stopIfTrue="1" operator="equal">
      <formula>"2 Add"</formula>
    </cfRule>
  </conditionalFormatting>
  <conditionalFormatting sqref="C1154">
    <cfRule type="cellIs" dxfId="2640" priority="3459" stopIfTrue="1" operator="equal">
      <formula>"3 Delete"</formula>
    </cfRule>
  </conditionalFormatting>
  <conditionalFormatting sqref="C1155">
    <cfRule type="cellIs" dxfId="2639" priority="3460" stopIfTrue="1" operator="equal">
      <formula>"1 Modify"</formula>
    </cfRule>
  </conditionalFormatting>
  <conditionalFormatting sqref="C1155">
    <cfRule type="cellIs" dxfId="2638" priority="3461" stopIfTrue="1" operator="equal">
      <formula>"2 Add"</formula>
    </cfRule>
  </conditionalFormatting>
  <conditionalFormatting sqref="C1155">
    <cfRule type="cellIs" dxfId="2637" priority="3462" stopIfTrue="1" operator="equal">
      <formula>"3 Delete"</formula>
    </cfRule>
  </conditionalFormatting>
  <conditionalFormatting sqref="C1156">
    <cfRule type="cellIs" dxfId="2636" priority="3463" stopIfTrue="1" operator="equal">
      <formula>"1 Modify"</formula>
    </cfRule>
  </conditionalFormatting>
  <conditionalFormatting sqref="C1156">
    <cfRule type="cellIs" dxfId="2635" priority="3464" stopIfTrue="1" operator="equal">
      <formula>"2 Add"</formula>
    </cfRule>
  </conditionalFormatting>
  <conditionalFormatting sqref="C1156">
    <cfRule type="cellIs" dxfId="2634" priority="3465" stopIfTrue="1" operator="equal">
      <formula>"3 Delete"</formula>
    </cfRule>
  </conditionalFormatting>
  <conditionalFormatting sqref="C1157">
    <cfRule type="cellIs" dxfId="2633" priority="3466" stopIfTrue="1" operator="equal">
      <formula>"1 Modify"</formula>
    </cfRule>
  </conditionalFormatting>
  <conditionalFormatting sqref="C1157">
    <cfRule type="cellIs" dxfId="2632" priority="3467" stopIfTrue="1" operator="equal">
      <formula>"2 Add"</formula>
    </cfRule>
  </conditionalFormatting>
  <conditionalFormatting sqref="C1157">
    <cfRule type="cellIs" dxfId="2631" priority="3468" stopIfTrue="1" operator="equal">
      <formula>"3 Delete"</formula>
    </cfRule>
  </conditionalFormatting>
  <conditionalFormatting sqref="C1158">
    <cfRule type="cellIs" dxfId="2630" priority="3469" stopIfTrue="1" operator="equal">
      <formula>"1 Modify"</formula>
    </cfRule>
  </conditionalFormatting>
  <conditionalFormatting sqref="C1158">
    <cfRule type="cellIs" dxfId="2629" priority="3470" stopIfTrue="1" operator="equal">
      <formula>"2 Add"</formula>
    </cfRule>
  </conditionalFormatting>
  <conditionalFormatting sqref="C1158">
    <cfRule type="cellIs" dxfId="2628" priority="3471" stopIfTrue="1" operator="equal">
      <formula>"3 Delete"</formula>
    </cfRule>
  </conditionalFormatting>
  <conditionalFormatting sqref="C1159">
    <cfRule type="cellIs" dxfId="2627" priority="3472" stopIfTrue="1" operator="equal">
      <formula>"1 Modify"</formula>
    </cfRule>
  </conditionalFormatting>
  <conditionalFormatting sqref="C1159">
    <cfRule type="cellIs" dxfId="2626" priority="3473" stopIfTrue="1" operator="equal">
      <formula>"2 Add"</formula>
    </cfRule>
  </conditionalFormatting>
  <conditionalFormatting sqref="C1159">
    <cfRule type="cellIs" dxfId="2625" priority="3474" stopIfTrue="1" operator="equal">
      <formula>"3 Delete"</formula>
    </cfRule>
  </conditionalFormatting>
  <conditionalFormatting sqref="C1160">
    <cfRule type="cellIs" dxfId="2624" priority="3475" stopIfTrue="1" operator="equal">
      <formula>"1 Modify"</formula>
    </cfRule>
  </conditionalFormatting>
  <conditionalFormatting sqref="C1160">
    <cfRule type="cellIs" dxfId="2623" priority="3476" stopIfTrue="1" operator="equal">
      <formula>"2 Add"</formula>
    </cfRule>
  </conditionalFormatting>
  <conditionalFormatting sqref="C1160">
    <cfRule type="cellIs" dxfId="2622" priority="3477" stopIfTrue="1" operator="equal">
      <formula>"3 Delete"</formula>
    </cfRule>
  </conditionalFormatting>
  <conditionalFormatting sqref="C1161">
    <cfRule type="cellIs" dxfId="2621" priority="3478" stopIfTrue="1" operator="equal">
      <formula>"1 Modify"</formula>
    </cfRule>
  </conditionalFormatting>
  <conditionalFormatting sqref="C1161">
    <cfRule type="cellIs" dxfId="2620" priority="3479" stopIfTrue="1" operator="equal">
      <formula>"2 Add"</formula>
    </cfRule>
  </conditionalFormatting>
  <conditionalFormatting sqref="C1161">
    <cfRule type="cellIs" dxfId="2619" priority="3480" stopIfTrue="1" operator="equal">
      <formula>"3 Delete"</formula>
    </cfRule>
  </conditionalFormatting>
  <conditionalFormatting sqref="C1162">
    <cfRule type="cellIs" dxfId="2618" priority="3481" stopIfTrue="1" operator="equal">
      <formula>"1 Modify"</formula>
    </cfRule>
  </conditionalFormatting>
  <conditionalFormatting sqref="C1162">
    <cfRule type="cellIs" dxfId="2617" priority="3482" stopIfTrue="1" operator="equal">
      <formula>"2 Add"</formula>
    </cfRule>
  </conditionalFormatting>
  <conditionalFormatting sqref="C1162">
    <cfRule type="cellIs" dxfId="2616" priority="3483" stopIfTrue="1" operator="equal">
      <formula>"3 Delete"</formula>
    </cfRule>
  </conditionalFormatting>
  <conditionalFormatting sqref="C1163">
    <cfRule type="cellIs" dxfId="2615" priority="3484" stopIfTrue="1" operator="equal">
      <formula>"1 Modify"</formula>
    </cfRule>
  </conditionalFormatting>
  <conditionalFormatting sqref="C1163">
    <cfRule type="cellIs" dxfId="2614" priority="3485" stopIfTrue="1" operator="equal">
      <formula>"2 Add"</formula>
    </cfRule>
  </conditionalFormatting>
  <conditionalFormatting sqref="C1163">
    <cfRule type="cellIs" dxfId="2613" priority="3486" stopIfTrue="1" operator="equal">
      <formula>"3 Delete"</formula>
    </cfRule>
  </conditionalFormatting>
  <conditionalFormatting sqref="C1164">
    <cfRule type="cellIs" dxfId="2612" priority="3487" stopIfTrue="1" operator="equal">
      <formula>"1 Modify"</formula>
    </cfRule>
  </conditionalFormatting>
  <conditionalFormatting sqref="C1164">
    <cfRule type="cellIs" dxfId="2611" priority="3488" stopIfTrue="1" operator="equal">
      <formula>"2 Add"</formula>
    </cfRule>
  </conditionalFormatting>
  <conditionalFormatting sqref="C1164">
    <cfRule type="cellIs" dxfId="2610" priority="3489" stopIfTrue="1" operator="equal">
      <formula>"3 Delete"</formula>
    </cfRule>
  </conditionalFormatting>
  <conditionalFormatting sqref="C1165">
    <cfRule type="cellIs" dxfId="2609" priority="3490" stopIfTrue="1" operator="equal">
      <formula>"1 Modify"</formula>
    </cfRule>
  </conditionalFormatting>
  <conditionalFormatting sqref="C1165">
    <cfRule type="cellIs" dxfId="2608" priority="3491" stopIfTrue="1" operator="equal">
      <formula>"2 Add"</formula>
    </cfRule>
  </conditionalFormatting>
  <conditionalFormatting sqref="C1165">
    <cfRule type="cellIs" dxfId="2607" priority="3492" stopIfTrue="1" operator="equal">
      <formula>"3 Delete"</formula>
    </cfRule>
  </conditionalFormatting>
  <conditionalFormatting sqref="C1166">
    <cfRule type="cellIs" dxfId="2606" priority="3493" stopIfTrue="1" operator="equal">
      <formula>"1 Modify"</formula>
    </cfRule>
  </conditionalFormatting>
  <conditionalFormatting sqref="C1166">
    <cfRule type="cellIs" dxfId="2605" priority="3494" stopIfTrue="1" operator="equal">
      <formula>"2 Add"</formula>
    </cfRule>
  </conditionalFormatting>
  <conditionalFormatting sqref="C1166">
    <cfRule type="cellIs" dxfId="2604" priority="3495" stopIfTrue="1" operator="equal">
      <formula>"3 Delete"</formula>
    </cfRule>
  </conditionalFormatting>
  <conditionalFormatting sqref="C1167">
    <cfRule type="cellIs" dxfId="2603" priority="3496" stopIfTrue="1" operator="equal">
      <formula>"1 Modify"</formula>
    </cfRule>
  </conditionalFormatting>
  <conditionalFormatting sqref="C1167">
    <cfRule type="cellIs" dxfId="2602" priority="3497" stopIfTrue="1" operator="equal">
      <formula>"2 Add"</formula>
    </cfRule>
  </conditionalFormatting>
  <conditionalFormatting sqref="C1167">
    <cfRule type="cellIs" dxfId="2601" priority="3498" stopIfTrue="1" operator="equal">
      <formula>"3 Delete"</formula>
    </cfRule>
  </conditionalFormatting>
  <conditionalFormatting sqref="C1168">
    <cfRule type="cellIs" dxfId="2600" priority="3499" stopIfTrue="1" operator="equal">
      <formula>"1 Modify"</formula>
    </cfRule>
  </conditionalFormatting>
  <conditionalFormatting sqref="C1168">
    <cfRule type="cellIs" dxfId="2599" priority="3500" stopIfTrue="1" operator="equal">
      <formula>"2 Add"</formula>
    </cfRule>
  </conditionalFormatting>
  <conditionalFormatting sqref="C1168">
    <cfRule type="cellIs" dxfId="2598" priority="3501" stopIfTrue="1" operator="equal">
      <formula>"3 Delete"</formula>
    </cfRule>
  </conditionalFormatting>
  <conditionalFormatting sqref="C1169">
    <cfRule type="cellIs" dxfId="2597" priority="3502" stopIfTrue="1" operator="equal">
      <formula>"1 Modify"</formula>
    </cfRule>
  </conditionalFormatting>
  <conditionalFormatting sqref="C1169">
    <cfRule type="cellIs" dxfId="2596" priority="3503" stopIfTrue="1" operator="equal">
      <formula>"2 Add"</formula>
    </cfRule>
  </conditionalFormatting>
  <conditionalFormatting sqref="C1169">
    <cfRule type="cellIs" dxfId="2595" priority="3504" stopIfTrue="1" operator="equal">
      <formula>"3 Delete"</formula>
    </cfRule>
  </conditionalFormatting>
  <conditionalFormatting sqref="C1170">
    <cfRule type="cellIs" dxfId="2594" priority="3505" stopIfTrue="1" operator="equal">
      <formula>"1 Modify"</formula>
    </cfRule>
  </conditionalFormatting>
  <conditionalFormatting sqref="C1170">
    <cfRule type="cellIs" dxfId="2593" priority="3506" stopIfTrue="1" operator="equal">
      <formula>"2 Add"</formula>
    </cfRule>
  </conditionalFormatting>
  <conditionalFormatting sqref="C1170">
    <cfRule type="cellIs" dxfId="2592" priority="3507" stopIfTrue="1" operator="equal">
      <formula>"3 Delete"</formula>
    </cfRule>
  </conditionalFormatting>
  <conditionalFormatting sqref="C1171">
    <cfRule type="cellIs" dxfId="2591" priority="3508" stopIfTrue="1" operator="equal">
      <formula>"1 Modify"</formula>
    </cfRule>
  </conditionalFormatting>
  <conditionalFormatting sqref="C1171">
    <cfRule type="cellIs" dxfId="2590" priority="3509" stopIfTrue="1" operator="equal">
      <formula>"2 Add"</formula>
    </cfRule>
  </conditionalFormatting>
  <conditionalFormatting sqref="C1171">
    <cfRule type="cellIs" dxfId="2589" priority="3510" stopIfTrue="1" operator="equal">
      <formula>"3 Delete"</formula>
    </cfRule>
  </conditionalFormatting>
  <conditionalFormatting sqref="C1172">
    <cfRule type="cellIs" dxfId="2588" priority="3511" stopIfTrue="1" operator="equal">
      <formula>"1 Modify"</formula>
    </cfRule>
  </conditionalFormatting>
  <conditionalFormatting sqref="C1172">
    <cfRule type="cellIs" dxfId="2587" priority="3512" stopIfTrue="1" operator="equal">
      <formula>"2 Add"</formula>
    </cfRule>
  </conditionalFormatting>
  <conditionalFormatting sqref="C1172">
    <cfRule type="cellIs" dxfId="2586" priority="3513" stopIfTrue="1" operator="equal">
      <formula>"3 Delete"</formula>
    </cfRule>
  </conditionalFormatting>
  <conditionalFormatting sqref="C1173">
    <cfRule type="cellIs" dxfId="2585" priority="3514" stopIfTrue="1" operator="equal">
      <formula>"1 Modify"</formula>
    </cfRule>
  </conditionalFormatting>
  <conditionalFormatting sqref="C1173">
    <cfRule type="cellIs" dxfId="2584" priority="3515" stopIfTrue="1" operator="equal">
      <formula>"2 Add"</formula>
    </cfRule>
  </conditionalFormatting>
  <conditionalFormatting sqref="C1173">
    <cfRule type="cellIs" dxfId="2583" priority="3516" stopIfTrue="1" operator="equal">
      <formula>"3 Delete"</formula>
    </cfRule>
  </conditionalFormatting>
  <conditionalFormatting sqref="C1174">
    <cfRule type="cellIs" dxfId="2582" priority="3517" stopIfTrue="1" operator="equal">
      <formula>"1 Modify"</formula>
    </cfRule>
  </conditionalFormatting>
  <conditionalFormatting sqref="C1174">
    <cfRule type="cellIs" dxfId="2581" priority="3518" stopIfTrue="1" operator="equal">
      <formula>"2 Add"</formula>
    </cfRule>
  </conditionalFormatting>
  <conditionalFormatting sqref="C1174">
    <cfRule type="cellIs" dxfId="2580" priority="3519" stopIfTrue="1" operator="equal">
      <formula>"3 Delete"</formula>
    </cfRule>
  </conditionalFormatting>
  <conditionalFormatting sqref="C1175">
    <cfRule type="cellIs" dxfId="2579" priority="3520" stopIfTrue="1" operator="equal">
      <formula>"1 Modify"</formula>
    </cfRule>
  </conditionalFormatting>
  <conditionalFormatting sqref="C1175">
    <cfRule type="cellIs" dxfId="2578" priority="3521" stopIfTrue="1" operator="equal">
      <formula>"2 Add"</formula>
    </cfRule>
  </conditionalFormatting>
  <conditionalFormatting sqref="C1175">
    <cfRule type="cellIs" dxfId="2577" priority="3522" stopIfTrue="1" operator="equal">
      <formula>"3 Delete"</formula>
    </cfRule>
  </conditionalFormatting>
  <conditionalFormatting sqref="C1176">
    <cfRule type="cellIs" dxfId="2576" priority="3523" stopIfTrue="1" operator="equal">
      <formula>"1 Modify"</formula>
    </cfRule>
  </conditionalFormatting>
  <conditionalFormatting sqref="C1176">
    <cfRule type="cellIs" dxfId="2575" priority="3524" stopIfTrue="1" operator="equal">
      <formula>"2 Add"</formula>
    </cfRule>
  </conditionalFormatting>
  <conditionalFormatting sqref="C1176">
    <cfRule type="cellIs" dxfId="2574" priority="3525" stopIfTrue="1" operator="equal">
      <formula>"3 Delete"</formula>
    </cfRule>
  </conditionalFormatting>
  <conditionalFormatting sqref="C1177">
    <cfRule type="cellIs" dxfId="2573" priority="3526" stopIfTrue="1" operator="equal">
      <formula>"1 Modify"</formula>
    </cfRule>
  </conditionalFormatting>
  <conditionalFormatting sqref="C1177">
    <cfRule type="cellIs" dxfId="2572" priority="3527" stopIfTrue="1" operator="equal">
      <formula>"2 Add"</formula>
    </cfRule>
  </conditionalFormatting>
  <conditionalFormatting sqref="C1177">
    <cfRule type="cellIs" dxfId="2571" priority="3528" stopIfTrue="1" operator="equal">
      <formula>"3 Delete"</formula>
    </cfRule>
  </conditionalFormatting>
  <conditionalFormatting sqref="C1178">
    <cfRule type="cellIs" dxfId="2570" priority="3529" stopIfTrue="1" operator="equal">
      <formula>"1 Modify"</formula>
    </cfRule>
  </conditionalFormatting>
  <conditionalFormatting sqref="C1178">
    <cfRule type="cellIs" dxfId="2569" priority="3530" stopIfTrue="1" operator="equal">
      <formula>"2 Add"</formula>
    </cfRule>
  </conditionalFormatting>
  <conditionalFormatting sqref="C1178">
    <cfRule type="cellIs" dxfId="2568" priority="3531" stopIfTrue="1" operator="equal">
      <formula>"3 Delete"</formula>
    </cfRule>
  </conditionalFormatting>
  <conditionalFormatting sqref="C1179">
    <cfRule type="cellIs" dxfId="2567" priority="3532" stopIfTrue="1" operator="equal">
      <formula>"1 Modify"</formula>
    </cfRule>
  </conditionalFormatting>
  <conditionalFormatting sqref="C1179">
    <cfRule type="cellIs" dxfId="2566" priority="3533" stopIfTrue="1" operator="equal">
      <formula>"2 Add"</formula>
    </cfRule>
  </conditionalFormatting>
  <conditionalFormatting sqref="C1179">
    <cfRule type="cellIs" dxfId="2565" priority="3534" stopIfTrue="1" operator="equal">
      <formula>"3 Delete"</formula>
    </cfRule>
  </conditionalFormatting>
  <conditionalFormatting sqref="C1180">
    <cfRule type="cellIs" dxfId="2564" priority="3535" stopIfTrue="1" operator="equal">
      <formula>"1 Modify"</formula>
    </cfRule>
  </conditionalFormatting>
  <conditionalFormatting sqref="C1180">
    <cfRule type="cellIs" dxfId="2563" priority="3536" stopIfTrue="1" operator="equal">
      <formula>"2 Add"</formula>
    </cfRule>
  </conditionalFormatting>
  <conditionalFormatting sqref="C1180">
    <cfRule type="cellIs" dxfId="2562" priority="3537" stopIfTrue="1" operator="equal">
      <formula>"3 Delete"</formula>
    </cfRule>
  </conditionalFormatting>
  <conditionalFormatting sqref="C1181">
    <cfRule type="cellIs" dxfId="2561" priority="3538" stopIfTrue="1" operator="equal">
      <formula>"1 Modify"</formula>
    </cfRule>
  </conditionalFormatting>
  <conditionalFormatting sqref="C1181">
    <cfRule type="cellIs" dxfId="2560" priority="3539" stopIfTrue="1" operator="equal">
      <formula>"2 Add"</formula>
    </cfRule>
  </conditionalFormatting>
  <conditionalFormatting sqref="C1181">
    <cfRule type="cellIs" dxfId="2559" priority="3540" stopIfTrue="1" operator="equal">
      <formula>"3 Delete"</formula>
    </cfRule>
  </conditionalFormatting>
  <conditionalFormatting sqref="C1182">
    <cfRule type="cellIs" dxfId="2558" priority="3541" stopIfTrue="1" operator="equal">
      <formula>"1 Modify"</formula>
    </cfRule>
  </conditionalFormatting>
  <conditionalFormatting sqref="C1182">
    <cfRule type="cellIs" dxfId="2557" priority="3542" stopIfTrue="1" operator="equal">
      <formula>"2 Add"</formula>
    </cfRule>
  </conditionalFormatting>
  <conditionalFormatting sqref="C1182">
    <cfRule type="cellIs" dxfId="2556" priority="3543" stopIfTrue="1" operator="equal">
      <formula>"3 Delete"</formula>
    </cfRule>
  </conditionalFormatting>
  <conditionalFormatting sqref="C1183">
    <cfRule type="cellIs" dxfId="2555" priority="3544" stopIfTrue="1" operator="equal">
      <formula>"1 Modify"</formula>
    </cfRule>
  </conditionalFormatting>
  <conditionalFormatting sqref="C1183">
    <cfRule type="cellIs" dxfId="2554" priority="3545" stopIfTrue="1" operator="equal">
      <formula>"2 Add"</formula>
    </cfRule>
  </conditionalFormatting>
  <conditionalFormatting sqref="C1183">
    <cfRule type="cellIs" dxfId="2553" priority="3546" stopIfTrue="1" operator="equal">
      <formula>"3 Delete"</formula>
    </cfRule>
  </conditionalFormatting>
  <conditionalFormatting sqref="C1184">
    <cfRule type="cellIs" dxfId="2552" priority="3547" stopIfTrue="1" operator="equal">
      <formula>"1 Modify"</formula>
    </cfRule>
  </conditionalFormatting>
  <conditionalFormatting sqref="C1184">
    <cfRule type="cellIs" dxfId="2551" priority="3548" stopIfTrue="1" operator="equal">
      <formula>"2 Add"</formula>
    </cfRule>
  </conditionalFormatting>
  <conditionalFormatting sqref="C1184">
    <cfRule type="cellIs" dxfId="2550" priority="3549" stopIfTrue="1" operator="equal">
      <formula>"3 Delete"</formula>
    </cfRule>
  </conditionalFormatting>
  <conditionalFormatting sqref="C1185">
    <cfRule type="cellIs" dxfId="2549" priority="3550" stopIfTrue="1" operator="equal">
      <formula>"1 Modify"</formula>
    </cfRule>
  </conditionalFormatting>
  <conditionalFormatting sqref="C1185">
    <cfRule type="cellIs" dxfId="2548" priority="3551" stopIfTrue="1" operator="equal">
      <formula>"2 Add"</formula>
    </cfRule>
  </conditionalFormatting>
  <conditionalFormatting sqref="C1185">
    <cfRule type="cellIs" dxfId="2547" priority="3552" stopIfTrue="1" operator="equal">
      <formula>"3 Delete"</formula>
    </cfRule>
  </conditionalFormatting>
  <conditionalFormatting sqref="C1186">
    <cfRule type="cellIs" dxfId="2546" priority="3553" stopIfTrue="1" operator="equal">
      <formula>"1 Modify"</formula>
    </cfRule>
  </conditionalFormatting>
  <conditionalFormatting sqref="C1186">
    <cfRule type="cellIs" dxfId="2545" priority="3554" stopIfTrue="1" operator="equal">
      <formula>"2 Add"</formula>
    </cfRule>
  </conditionalFormatting>
  <conditionalFormatting sqref="C1186">
    <cfRule type="cellIs" dxfId="2544" priority="3555" stopIfTrue="1" operator="equal">
      <formula>"3 Delete"</formula>
    </cfRule>
  </conditionalFormatting>
  <conditionalFormatting sqref="C1187">
    <cfRule type="cellIs" dxfId="2543" priority="3556" stopIfTrue="1" operator="equal">
      <formula>"1 Modify"</formula>
    </cfRule>
  </conditionalFormatting>
  <conditionalFormatting sqref="C1187">
    <cfRule type="cellIs" dxfId="2542" priority="3557" stopIfTrue="1" operator="equal">
      <formula>"2 Add"</formula>
    </cfRule>
  </conditionalFormatting>
  <conditionalFormatting sqref="C1187">
    <cfRule type="cellIs" dxfId="2541" priority="3558" stopIfTrue="1" operator="equal">
      <formula>"3 Delete"</formula>
    </cfRule>
  </conditionalFormatting>
  <conditionalFormatting sqref="C1188">
    <cfRule type="cellIs" dxfId="2540" priority="3559" stopIfTrue="1" operator="equal">
      <formula>"1 Modify"</formula>
    </cfRule>
  </conditionalFormatting>
  <conditionalFormatting sqref="C1188">
    <cfRule type="cellIs" dxfId="2539" priority="3560" stopIfTrue="1" operator="equal">
      <formula>"2 Add"</formula>
    </cfRule>
  </conditionalFormatting>
  <conditionalFormatting sqref="C1188">
    <cfRule type="cellIs" dxfId="2538" priority="3561" stopIfTrue="1" operator="equal">
      <formula>"3 Delete"</formula>
    </cfRule>
  </conditionalFormatting>
  <conditionalFormatting sqref="C1189">
    <cfRule type="cellIs" dxfId="2537" priority="3562" stopIfTrue="1" operator="equal">
      <formula>"1 Modify"</formula>
    </cfRule>
  </conditionalFormatting>
  <conditionalFormatting sqref="C1189">
    <cfRule type="cellIs" dxfId="2536" priority="3563" stopIfTrue="1" operator="equal">
      <formula>"2 Add"</formula>
    </cfRule>
  </conditionalFormatting>
  <conditionalFormatting sqref="C1189">
    <cfRule type="cellIs" dxfId="2535" priority="3564" stopIfTrue="1" operator="equal">
      <formula>"3 Delete"</formula>
    </cfRule>
  </conditionalFormatting>
  <conditionalFormatting sqref="C1190">
    <cfRule type="cellIs" dxfId="2534" priority="3565" stopIfTrue="1" operator="equal">
      <formula>"1 Modify"</formula>
    </cfRule>
  </conditionalFormatting>
  <conditionalFormatting sqref="C1190">
    <cfRule type="cellIs" dxfId="2533" priority="3566" stopIfTrue="1" operator="equal">
      <formula>"2 Add"</formula>
    </cfRule>
  </conditionalFormatting>
  <conditionalFormatting sqref="C1190">
    <cfRule type="cellIs" dxfId="2532" priority="3567" stopIfTrue="1" operator="equal">
      <formula>"3 Delete"</formula>
    </cfRule>
  </conditionalFormatting>
  <conditionalFormatting sqref="C1191">
    <cfRule type="cellIs" dxfId="2531" priority="3568" stopIfTrue="1" operator="equal">
      <formula>"1 Modify"</formula>
    </cfRule>
  </conditionalFormatting>
  <conditionalFormatting sqref="C1191">
    <cfRule type="cellIs" dxfId="2530" priority="3569" stopIfTrue="1" operator="equal">
      <formula>"2 Add"</formula>
    </cfRule>
  </conditionalFormatting>
  <conditionalFormatting sqref="C1191">
    <cfRule type="cellIs" dxfId="2529" priority="3570" stopIfTrue="1" operator="equal">
      <formula>"3 Delete"</formula>
    </cfRule>
  </conditionalFormatting>
  <conditionalFormatting sqref="C1192">
    <cfRule type="cellIs" dxfId="2528" priority="3571" stopIfTrue="1" operator="equal">
      <formula>"1 Modify"</formula>
    </cfRule>
  </conditionalFormatting>
  <conditionalFormatting sqref="C1192">
    <cfRule type="cellIs" dxfId="2527" priority="3572" stopIfTrue="1" operator="equal">
      <formula>"2 Add"</formula>
    </cfRule>
  </conditionalFormatting>
  <conditionalFormatting sqref="C1192">
    <cfRule type="cellIs" dxfId="2526" priority="3573" stopIfTrue="1" operator="equal">
      <formula>"3 Delete"</formula>
    </cfRule>
  </conditionalFormatting>
  <conditionalFormatting sqref="C1193">
    <cfRule type="cellIs" dxfId="2525" priority="3574" stopIfTrue="1" operator="equal">
      <formula>"1 Modify"</formula>
    </cfRule>
  </conditionalFormatting>
  <conditionalFormatting sqref="C1193">
    <cfRule type="cellIs" dxfId="2524" priority="3575" stopIfTrue="1" operator="equal">
      <formula>"2 Add"</formula>
    </cfRule>
  </conditionalFormatting>
  <conditionalFormatting sqref="C1193">
    <cfRule type="cellIs" dxfId="2523" priority="3576" stopIfTrue="1" operator="equal">
      <formula>"3 Delete"</formula>
    </cfRule>
  </conditionalFormatting>
  <conditionalFormatting sqref="C1194">
    <cfRule type="cellIs" dxfId="2522" priority="3577" stopIfTrue="1" operator="equal">
      <formula>"1 Modify"</formula>
    </cfRule>
  </conditionalFormatting>
  <conditionalFormatting sqref="C1194">
    <cfRule type="cellIs" dxfId="2521" priority="3578" stopIfTrue="1" operator="equal">
      <formula>"2 Add"</formula>
    </cfRule>
  </conditionalFormatting>
  <conditionalFormatting sqref="C1194">
    <cfRule type="cellIs" dxfId="2520" priority="3579" stopIfTrue="1" operator="equal">
      <formula>"3 Delete"</formula>
    </cfRule>
  </conditionalFormatting>
  <conditionalFormatting sqref="C1195">
    <cfRule type="cellIs" dxfId="2519" priority="3580" stopIfTrue="1" operator="equal">
      <formula>"1 Modify"</formula>
    </cfRule>
  </conditionalFormatting>
  <conditionalFormatting sqref="C1195">
    <cfRule type="cellIs" dxfId="2518" priority="3581" stopIfTrue="1" operator="equal">
      <formula>"2 Add"</formula>
    </cfRule>
  </conditionalFormatting>
  <conditionalFormatting sqref="C1195">
    <cfRule type="cellIs" dxfId="2517" priority="3582" stopIfTrue="1" operator="equal">
      <formula>"3 Delete"</formula>
    </cfRule>
  </conditionalFormatting>
  <conditionalFormatting sqref="C1196">
    <cfRule type="cellIs" dxfId="2516" priority="3583" stopIfTrue="1" operator="equal">
      <formula>"1 Modify"</formula>
    </cfRule>
  </conditionalFormatting>
  <conditionalFormatting sqref="C1196">
    <cfRule type="cellIs" dxfId="2515" priority="3584" stopIfTrue="1" operator="equal">
      <formula>"2 Add"</formula>
    </cfRule>
  </conditionalFormatting>
  <conditionalFormatting sqref="C1196">
    <cfRule type="cellIs" dxfId="2514" priority="3585" stopIfTrue="1" operator="equal">
      <formula>"3 Delete"</formula>
    </cfRule>
  </conditionalFormatting>
  <conditionalFormatting sqref="C1197">
    <cfRule type="cellIs" dxfId="2513" priority="3586" stopIfTrue="1" operator="equal">
      <formula>"1 Modify"</formula>
    </cfRule>
  </conditionalFormatting>
  <conditionalFormatting sqref="C1197">
    <cfRule type="cellIs" dxfId="2512" priority="3587" stopIfTrue="1" operator="equal">
      <formula>"2 Add"</formula>
    </cfRule>
  </conditionalFormatting>
  <conditionalFormatting sqref="C1197">
    <cfRule type="cellIs" dxfId="2511" priority="3588" stopIfTrue="1" operator="equal">
      <formula>"3 Delete"</formula>
    </cfRule>
  </conditionalFormatting>
  <conditionalFormatting sqref="C1198">
    <cfRule type="cellIs" dxfId="2510" priority="3589" stopIfTrue="1" operator="equal">
      <formula>"1 Modify"</formula>
    </cfRule>
  </conditionalFormatting>
  <conditionalFormatting sqref="C1198">
    <cfRule type="cellIs" dxfId="2509" priority="3590" stopIfTrue="1" operator="equal">
      <formula>"2 Add"</formula>
    </cfRule>
  </conditionalFormatting>
  <conditionalFormatting sqref="C1198">
    <cfRule type="cellIs" dxfId="2508" priority="3591" stopIfTrue="1" operator="equal">
      <formula>"3 Delete"</formula>
    </cfRule>
  </conditionalFormatting>
  <conditionalFormatting sqref="C1199">
    <cfRule type="cellIs" dxfId="2507" priority="3592" stopIfTrue="1" operator="equal">
      <formula>"1 Modify"</formula>
    </cfRule>
  </conditionalFormatting>
  <conditionalFormatting sqref="C1199">
    <cfRule type="cellIs" dxfId="2506" priority="3593" stopIfTrue="1" operator="equal">
      <formula>"2 Add"</formula>
    </cfRule>
  </conditionalFormatting>
  <conditionalFormatting sqref="C1199">
    <cfRule type="cellIs" dxfId="2505" priority="3594" stopIfTrue="1" operator="equal">
      <formula>"3 Delete"</formula>
    </cfRule>
  </conditionalFormatting>
  <conditionalFormatting sqref="C1200">
    <cfRule type="cellIs" dxfId="2504" priority="3595" stopIfTrue="1" operator="equal">
      <formula>"1 Modify"</formula>
    </cfRule>
  </conditionalFormatting>
  <conditionalFormatting sqref="C1200">
    <cfRule type="cellIs" dxfId="2503" priority="3596" stopIfTrue="1" operator="equal">
      <formula>"2 Add"</formula>
    </cfRule>
  </conditionalFormatting>
  <conditionalFormatting sqref="C1200">
    <cfRule type="cellIs" dxfId="2502" priority="3597" stopIfTrue="1" operator="equal">
      <formula>"3 Delete"</formula>
    </cfRule>
  </conditionalFormatting>
  <conditionalFormatting sqref="C1201">
    <cfRule type="cellIs" dxfId="2501" priority="3598" stopIfTrue="1" operator="equal">
      <formula>"1 Modify"</formula>
    </cfRule>
  </conditionalFormatting>
  <conditionalFormatting sqref="C1201">
    <cfRule type="cellIs" dxfId="2500" priority="3599" stopIfTrue="1" operator="equal">
      <formula>"2 Add"</formula>
    </cfRule>
  </conditionalFormatting>
  <conditionalFormatting sqref="C1201">
    <cfRule type="cellIs" dxfId="2499" priority="3600" stopIfTrue="1" operator="equal">
      <formula>"3 Delete"</formula>
    </cfRule>
  </conditionalFormatting>
  <conditionalFormatting sqref="C1202">
    <cfRule type="cellIs" dxfId="2498" priority="3601" stopIfTrue="1" operator="equal">
      <formula>"1 Modify"</formula>
    </cfRule>
  </conditionalFormatting>
  <conditionalFormatting sqref="C1202">
    <cfRule type="cellIs" dxfId="2497" priority="3602" stopIfTrue="1" operator="equal">
      <formula>"2 Add"</formula>
    </cfRule>
  </conditionalFormatting>
  <conditionalFormatting sqref="C1202">
    <cfRule type="cellIs" dxfId="2496" priority="3603" stopIfTrue="1" operator="equal">
      <formula>"3 Delete"</formula>
    </cfRule>
  </conditionalFormatting>
  <conditionalFormatting sqref="C1203">
    <cfRule type="cellIs" dxfId="2495" priority="3604" stopIfTrue="1" operator="equal">
      <formula>"1 Modify"</formula>
    </cfRule>
  </conditionalFormatting>
  <conditionalFormatting sqref="C1203">
    <cfRule type="cellIs" dxfId="2494" priority="3605" stopIfTrue="1" operator="equal">
      <formula>"2 Add"</formula>
    </cfRule>
  </conditionalFormatting>
  <conditionalFormatting sqref="C1203">
    <cfRule type="cellIs" dxfId="2493" priority="3606" stopIfTrue="1" operator="equal">
      <formula>"3 Delete"</formula>
    </cfRule>
  </conditionalFormatting>
  <conditionalFormatting sqref="C1204">
    <cfRule type="cellIs" dxfId="2492" priority="3607" stopIfTrue="1" operator="equal">
      <formula>"1 Modify"</formula>
    </cfRule>
  </conditionalFormatting>
  <conditionalFormatting sqref="C1204">
    <cfRule type="cellIs" dxfId="2491" priority="3608" stopIfTrue="1" operator="equal">
      <formula>"2 Add"</formula>
    </cfRule>
  </conditionalFormatting>
  <conditionalFormatting sqref="C1204">
    <cfRule type="cellIs" dxfId="2490" priority="3609" stopIfTrue="1" operator="equal">
      <formula>"3 Delete"</formula>
    </cfRule>
  </conditionalFormatting>
  <conditionalFormatting sqref="C1205">
    <cfRule type="cellIs" dxfId="2489" priority="3610" stopIfTrue="1" operator="equal">
      <formula>"1 Modify"</formula>
    </cfRule>
  </conditionalFormatting>
  <conditionalFormatting sqref="C1205">
    <cfRule type="cellIs" dxfId="2488" priority="3611" stopIfTrue="1" operator="equal">
      <formula>"2 Add"</formula>
    </cfRule>
  </conditionalFormatting>
  <conditionalFormatting sqref="C1205">
    <cfRule type="cellIs" dxfId="2487" priority="3612" stopIfTrue="1" operator="equal">
      <formula>"3 Delete"</formula>
    </cfRule>
  </conditionalFormatting>
  <conditionalFormatting sqref="C1206">
    <cfRule type="cellIs" dxfId="2486" priority="3613" stopIfTrue="1" operator="equal">
      <formula>"1 Modify"</formula>
    </cfRule>
  </conditionalFormatting>
  <conditionalFormatting sqref="C1206">
    <cfRule type="cellIs" dxfId="2485" priority="3614" stopIfTrue="1" operator="equal">
      <formula>"2 Add"</formula>
    </cfRule>
  </conditionalFormatting>
  <conditionalFormatting sqref="C1206">
    <cfRule type="cellIs" dxfId="2484" priority="3615" stopIfTrue="1" operator="equal">
      <formula>"3 Delete"</formula>
    </cfRule>
  </conditionalFormatting>
  <conditionalFormatting sqref="C1207">
    <cfRule type="cellIs" dxfId="2483" priority="3616" stopIfTrue="1" operator="equal">
      <formula>"1 Modify"</formula>
    </cfRule>
  </conditionalFormatting>
  <conditionalFormatting sqref="C1207">
    <cfRule type="cellIs" dxfId="2482" priority="3617" stopIfTrue="1" operator="equal">
      <formula>"2 Add"</formula>
    </cfRule>
  </conditionalFormatting>
  <conditionalFormatting sqref="C1207">
    <cfRule type="cellIs" dxfId="2481" priority="3618" stopIfTrue="1" operator="equal">
      <formula>"3 Delete"</formula>
    </cfRule>
  </conditionalFormatting>
  <conditionalFormatting sqref="C1208">
    <cfRule type="cellIs" dxfId="2480" priority="3619" stopIfTrue="1" operator="equal">
      <formula>"1 Modify"</formula>
    </cfRule>
  </conditionalFormatting>
  <conditionalFormatting sqref="C1208">
    <cfRule type="cellIs" dxfId="2479" priority="3620" stopIfTrue="1" operator="equal">
      <formula>"2 Add"</formula>
    </cfRule>
  </conditionalFormatting>
  <conditionalFormatting sqref="C1208">
    <cfRule type="cellIs" dxfId="2478" priority="3621" stopIfTrue="1" operator="equal">
      <formula>"3 Delete"</formula>
    </cfRule>
  </conditionalFormatting>
  <conditionalFormatting sqref="C1209">
    <cfRule type="cellIs" dxfId="2477" priority="3622" stopIfTrue="1" operator="equal">
      <formula>"1 Modify"</formula>
    </cfRule>
  </conditionalFormatting>
  <conditionalFormatting sqref="C1209">
    <cfRule type="cellIs" dxfId="2476" priority="3623" stopIfTrue="1" operator="equal">
      <formula>"2 Add"</formula>
    </cfRule>
  </conditionalFormatting>
  <conditionalFormatting sqref="C1209">
    <cfRule type="cellIs" dxfId="2475" priority="3624" stopIfTrue="1" operator="equal">
      <formula>"3 Delete"</formula>
    </cfRule>
  </conditionalFormatting>
  <conditionalFormatting sqref="C1210">
    <cfRule type="cellIs" dxfId="2474" priority="3625" stopIfTrue="1" operator="equal">
      <formula>"1 Modify"</formula>
    </cfRule>
  </conditionalFormatting>
  <conditionalFormatting sqref="C1210">
    <cfRule type="cellIs" dxfId="2473" priority="3626" stopIfTrue="1" operator="equal">
      <formula>"2 Add"</formula>
    </cfRule>
  </conditionalFormatting>
  <conditionalFormatting sqref="C1210">
    <cfRule type="cellIs" dxfId="2472" priority="3627" stopIfTrue="1" operator="equal">
      <formula>"3 Delete"</formula>
    </cfRule>
  </conditionalFormatting>
  <conditionalFormatting sqref="C1211">
    <cfRule type="cellIs" dxfId="2471" priority="3628" stopIfTrue="1" operator="equal">
      <formula>"1 Modify"</formula>
    </cfRule>
  </conditionalFormatting>
  <conditionalFormatting sqref="C1211">
    <cfRule type="cellIs" dxfId="2470" priority="3629" stopIfTrue="1" operator="equal">
      <formula>"2 Add"</formula>
    </cfRule>
  </conditionalFormatting>
  <conditionalFormatting sqref="C1211">
    <cfRule type="cellIs" dxfId="2469" priority="3630" stopIfTrue="1" operator="equal">
      <formula>"3 Delete"</formula>
    </cfRule>
  </conditionalFormatting>
  <conditionalFormatting sqref="C1212">
    <cfRule type="cellIs" dxfId="2468" priority="3631" stopIfTrue="1" operator="equal">
      <formula>"1 Modify"</formula>
    </cfRule>
  </conditionalFormatting>
  <conditionalFormatting sqref="C1212">
    <cfRule type="cellIs" dxfId="2467" priority="3632" stopIfTrue="1" operator="equal">
      <formula>"2 Add"</formula>
    </cfRule>
  </conditionalFormatting>
  <conditionalFormatting sqref="C1212">
    <cfRule type="cellIs" dxfId="2466" priority="3633" stopIfTrue="1" operator="equal">
      <formula>"3 Delete"</formula>
    </cfRule>
  </conditionalFormatting>
  <conditionalFormatting sqref="C1213">
    <cfRule type="cellIs" dxfId="2465" priority="3634" stopIfTrue="1" operator="equal">
      <formula>"1 Modify"</formula>
    </cfRule>
  </conditionalFormatting>
  <conditionalFormatting sqref="C1213">
    <cfRule type="cellIs" dxfId="2464" priority="3635" stopIfTrue="1" operator="equal">
      <formula>"2 Add"</formula>
    </cfRule>
  </conditionalFormatting>
  <conditionalFormatting sqref="C1213">
    <cfRule type="cellIs" dxfId="2463" priority="3636" stopIfTrue="1" operator="equal">
      <formula>"3 Delete"</formula>
    </cfRule>
  </conditionalFormatting>
  <conditionalFormatting sqref="C1214">
    <cfRule type="cellIs" dxfId="2462" priority="3637" stopIfTrue="1" operator="equal">
      <formula>"1 Modify"</formula>
    </cfRule>
  </conditionalFormatting>
  <conditionalFormatting sqref="C1214">
    <cfRule type="cellIs" dxfId="2461" priority="3638" stopIfTrue="1" operator="equal">
      <formula>"2 Add"</formula>
    </cfRule>
  </conditionalFormatting>
  <conditionalFormatting sqref="C1214">
    <cfRule type="cellIs" dxfId="2460" priority="3639" stopIfTrue="1" operator="equal">
      <formula>"3 Delete"</formula>
    </cfRule>
  </conditionalFormatting>
  <conditionalFormatting sqref="C1215">
    <cfRule type="cellIs" dxfId="2459" priority="3640" stopIfTrue="1" operator="equal">
      <formula>"1 Modify"</formula>
    </cfRule>
  </conditionalFormatting>
  <conditionalFormatting sqref="C1215">
    <cfRule type="cellIs" dxfId="2458" priority="3641" stopIfTrue="1" operator="equal">
      <formula>"2 Add"</formula>
    </cfRule>
  </conditionalFormatting>
  <conditionalFormatting sqref="C1215">
    <cfRule type="cellIs" dxfId="2457" priority="3642" stopIfTrue="1" operator="equal">
      <formula>"3 Delete"</formula>
    </cfRule>
  </conditionalFormatting>
  <conditionalFormatting sqref="C1216">
    <cfRule type="cellIs" dxfId="2456" priority="3643" stopIfTrue="1" operator="equal">
      <formula>"1 Modify"</formula>
    </cfRule>
  </conditionalFormatting>
  <conditionalFormatting sqref="C1216">
    <cfRule type="cellIs" dxfId="2455" priority="3644" stopIfTrue="1" operator="equal">
      <formula>"2 Add"</formula>
    </cfRule>
  </conditionalFormatting>
  <conditionalFormatting sqref="C1216">
    <cfRule type="cellIs" dxfId="2454" priority="3645" stopIfTrue="1" operator="equal">
      <formula>"3 Delete"</formula>
    </cfRule>
  </conditionalFormatting>
  <conditionalFormatting sqref="C1217">
    <cfRule type="cellIs" dxfId="2453" priority="3646" stopIfTrue="1" operator="equal">
      <formula>"1 Modify"</formula>
    </cfRule>
  </conditionalFormatting>
  <conditionalFormatting sqref="C1217">
    <cfRule type="cellIs" dxfId="2452" priority="3647" stopIfTrue="1" operator="equal">
      <formula>"2 Add"</formula>
    </cfRule>
  </conditionalFormatting>
  <conditionalFormatting sqref="C1217">
    <cfRule type="cellIs" dxfId="2451" priority="3648" stopIfTrue="1" operator="equal">
      <formula>"3 Delete"</formula>
    </cfRule>
  </conditionalFormatting>
  <conditionalFormatting sqref="C1218">
    <cfRule type="cellIs" dxfId="2450" priority="3649" stopIfTrue="1" operator="equal">
      <formula>"1 Modify"</formula>
    </cfRule>
  </conditionalFormatting>
  <conditionalFormatting sqref="C1218">
    <cfRule type="cellIs" dxfId="2449" priority="3650" stopIfTrue="1" operator="equal">
      <formula>"2 Add"</formula>
    </cfRule>
  </conditionalFormatting>
  <conditionalFormatting sqref="C1218">
    <cfRule type="cellIs" dxfId="2448" priority="3651" stopIfTrue="1" operator="equal">
      <formula>"3 Delete"</formula>
    </cfRule>
  </conditionalFormatting>
  <conditionalFormatting sqref="C1219">
    <cfRule type="cellIs" dxfId="2447" priority="3652" stopIfTrue="1" operator="equal">
      <formula>"1 Modify"</formula>
    </cfRule>
  </conditionalFormatting>
  <conditionalFormatting sqref="C1219">
    <cfRule type="cellIs" dxfId="2446" priority="3653" stopIfTrue="1" operator="equal">
      <formula>"2 Add"</formula>
    </cfRule>
  </conditionalFormatting>
  <conditionalFormatting sqref="C1219">
    <cfRule type="cellIs" dxfId="2445" priority="3654" stopIfTrue="1" operator="equal">
      <formula>"3 Delete"</formula>
    </cfRule>
  </conditionalFormatting>
  <conditionalFormatting sqref="C1220">
    <cfRule type="cellIs" dxfId="2444" priority="3655" stopIfTrue="1" operator="equal">
      <formula>"1 Modify"</formula>
    </cfRule>
  </conditionalFormatting>
  <conditionalFormatting sqref="C1220">
    <cfRule type="cellIs" dxfId="2443" priority="3656" stopIfTrue="1" operator="equal">
      <formula>"2 Add"</formula>
    </cfRule>
  </conditionalFormatting>
  <conditionalFormatting sqref="C1220">
    <cfRule type="cellIs" dxfId="2442" priority="3657" stopIfTrue="1" operator="equal">
      <formula>"3 Delete"</formula>
    </cfRule>
  </conditionalFormatting>
  <conditionalFormatting sqref="C1221">
    <cfRule type="cellIs" dxfId="2441" priority="3658" stopIfTrue="1" operator="equal">
      <formula>"1 Modify"</formula>
    </cfRule>
  </conditionalFormatting>
  <conditionalFormatting sqref="C1221">
    <cfRule type="cellIs" dxfId="2440" priority="3659" stopIfTrue="1" operator="equal">
      <formula>"2 Add"</formula>
    </cfRule>
  </conditionalFormatting>
  <conditionalFormatting sqref="C1221">
    <cfRule type="cellIs" dxfId="2439" priority="3660" stopIfTrue="1" operator="equal">
      <formula>"3 Delete"</formula>
    </cfRule>
  </conditionalFormatting>
  <conditionalFormatting sqref="C1222">
    <cfRule type="cellIs" dxfId="2438" priority="3661" stopIfTrue="1" operator="equal">
      <formula>"1 Modify"</formula>
    </cfRule>
  </conditionalFormatting>
  <conditionalFormatting sqref="C1222">
    <cfRule type="cellIs" dxfId="2437" priority="3662" stopIfTrue="1" operator="equal">
      <formula>"2 Add"</formula>
    </cfRule>
  </conditionalFormatting>
  <conditionalFormatting sqref="C1222">
    <cfRule type="cellIs" dxfId="2436" priority="3663" stopIfTrue="1" operator="equal">
      <formula>"3 Delete"</formula>
    </cfRule>
  </conditionalFormatting>
  <conditionalFormatting sqref="C1223">
    <cfRule type="cellIs" dxfId="2435" priority="3664" stopIfTrue="1" operator="equal">
      <formula>"1 Modify"</formula>
    </cfRule>
  </conditionalFormatting>
  <conditionalFormatting sqref="C1223">
    <cfRule type="cellIs" dxfId="2434" priority="3665" stopIfTrue="1" operator="equal">
      <formula>"2 Add"</formula>
    </cfRule>
  </conditionalFormatting>
  <conditionalFormatting sqref="C1223">
    <cfRule type="cellIs" dxfId="2433" priority="3666" stopIfTrue="1" operator="equal">
      <formula>"3 Delete"</formula>
    </cfRule>
  </conditionalFormatting>
  <conditionalFormatting sqref="C1224">
    <cfRule type="cellIs" dxfId="2432" priority="3667" stopIfTrue="1" operator="equal">
      <formula>"1 Modify"</formula>
    </cfRule>
  </conditionalFormatting>
  <conditionalFormatting sqref="C1224">
    <cfRule type="cellIs" dxfId="2431" priority="3668" stopIfTrue="1" operator="equal">
      <formula>"2 Add"</formula>
    </cfRule>
  </conditionalFormatting>
  <conditionalFormatting sqref="C1224">
    <cfRule type="cellIs" dxfId="2430" priority="3669" stopIfTrue="1" operator="equal">
      <formula>"3 Delete"</formula>
    </cfRule>
  </conditionalFormatting>
  <conditionalFormatting sqref="C1225">
    <cfRule type="cellIs" dxfId="2429" priority="3670" stopIfTrue="1" operator="equal">
      <formula>"1 Modify"</formula>
    </cfRule>
  </conditionalFormatting>
  <conditionalFormatting sqref="C1225">
    <cfRule type="cellIs" dxfId="2428" priority="3671" stopIfTrue="1" operator="equal">
      <formula>"2 Add"</formula>
    </cfRule>
  </conditionalFormatting>
  <conditionalFormatting sqref="C1225">
    <cfRule type="cellIs" dxfId="2427" priority="3672" stopIfTrue="1" operator="equal">
      <formula>"3 Delete"</formula>
    </cfRule>
  </conditionalFormatting>
  <conditionalFormatting sqref="C1226">
    <cfRule type="cellIs" dxfId="2426" priority="3673" stopIfTrue="1" operator="equal">
      <formula>"1 Modify"</formula>
    </cfRule>
  </conditionalFormatting>
  <conditionalFormatting sqref="C1226">
    <cfRule type="cellIs" dxfId="2425" priority="3674" stopIfTrue="1" operator="equal">
      <formula>"2 Add"</formula>
    </cfRule>
  </conditionalFormatting>
  <conditionalFormatting sqref="C1226">
    <cfRule type="cellIs" dxfId="2424" priority="3675" stopIfTrue="1" operator="equal">
      <formula>"3 Delete"</formula>
    </cfRule>
  </conditionalFormatting>
  <conditionalFormatting sqref="C1227">
    <cfRule type="cellIs" dxfId="2423" priority="3676" stopIfTrue="1" operator="equal">
      <formula>"1 Modify"</formula>
    </cfRule>
  </conditionalFormatting>
  <conditionalFormatting sqref="C1227">
    <cfRule type="cellIs" dxfId="2422" priority="3677" stopIfTrue="1" operator="equal">
      <formula>"2 Add"</formula>
    </cfRule>
  </conditionalFormatting>
  <conditionalFormatting sqref="C1227">
    <cfRule type="cellIs" dxfId="2421" priority="3678" stopIfTrue="1" operator="equal">
      <formula>"3 Delete"</formula>
    </cfRule>
  </conditionalFormatting>
  <conditionalFormatting sqref="C1228">
    <cfRule type="cellIs" dxfId="2420" priority="3679" stopIfTrue="1" operator="equal">
      <formula>"1 Modify"</formula>
    </cfRule>
  </conditionalFormatting>
  <conditionalFormatting sqref="C1228">
    <cfRule type="cellIs" dxfId="2419" priority="3680" stopIfTrue="1" operator="equal">
      <formula>"2 Add"</formula>
    </cfRule>
  </conditionalFormatting>
  <conditionalFormatting sqref="C1228">
    <cfRule type="cellIs" dxfId="2418" priority="3681" stopIfTrue="1" operator="equal">
      <formula>"3 Delete"</formula>
    </cfRule>
  </conditionalFormatting>
  <conditionalFormatting sqref="C1229">
    <cfRule type="cellIs" dxfId="2417" priority="3682" stopIfTrue="1" operator="equal">
      <formula>"1 Modify"</formula>
    </cfRule>
  </conditionalFormatting>
  <conditionalFormatting sqref="C1229">
    <cfRule type="cellIs" dxfId="2416" priority="3683" stopIfTrue="1" operator="equal">
      <formula>"2 Add"</formula>
    </cfRule>
  </conditionalFormatting>
  <conditionalFormatting sqref="C1229">
    <cfRule type="cellIs" dxfId="2415" priority="3684" stopIfTrue="1" operator="equal">
      <formula>"3 Delete"</formula>
    </cfRule>
  </conditionalFormatting>
  <conditionalFormatting sqref="C1230">
    <cfRule type="cellIs" dxfId="2414" priority="3685" stopIfTrue="1" operator="equal">
      <formula>"1 Modify"</formula>
    </cfRule>
  </conditionalFormatting>
  <conditionalFormatting sqref="C1230">
    <cfRule type="cellIs" dxfId="2413" priority="3686" stopIfTrue="1" operator="equal">
      <formula>"2 Add"</formula>
    </cfRule>
  </conditionalFormatting>
  <conditionalFormatting sqref="C1230">
    <cfRule type="cellIs" dxfId="2412" priority="3687" stopIfTrue="1" operator="equal">
      <formula>"3 Delete"</formula>
    </cfRule>
  </conditionalFormatting>
  <conditionalFormatting sqref="C1231">
    <cfRule type="cellIs" dxfId="2411" priority="3688" stopIfTrue="1" operator="equal">
      <formula>"1 Modify"</formula>
    </cfRule>
  </conditionalFormatting>
  <conditionalFormatting sqref="C1231">
    <cfRule type="cellIs" dxfId="2410" priority="3689" stopIfTrue="1" operator="equal">
      <formula>"2 Add"</formula>
    </cfRule>
  </conditionalFormatting>
  <conditionalFormatting sqref="C1231">
    <cfRule type="cellIs" dxfId="2409" priority="3690" stopIfTrue="1" operator="equal">
      <formula>"3 Delete"</formula>
    </cfRule>
  </conditionalFormatting>
  <conditionalFormatting sqref="C1232">
    <cfRule type="cellIs" dxfId="2408" priority="3691" stopIfTrue="1" operator="equal">
      <formula>"1 Modify"</formula>
    </cfRule>
  </conditionalFormatting>
  <conditionalFormatting sqref="C1232">
    <cfRule type="cellIs" dxfId="2407" priority="3692" stopIfTrue="1" operator="equal">
      <formula>"2 Add"</formula>
    </cfRule>
  </conditionalFormatting>
  <conditionalFormatting sqref="C1232">
    <cfRule type="cellIs" dxfId="2406" priority="3693" stopIfTrue="1" operator="equal">
      <formula>"3 Delete"</formula>
    </cfRule>
  </conditionalFormatting>
  <conditionalFormatting sqref="C1233">
    <cfRule type="cellIs" dxfId="2405" priority="3694" stopIfTrue="1" operator="equal">
      <formula>"1 Modify"</formula>
    </cfRule>
  </conditionalFormatting>
  <conditionalFormatting sqref="C1233">
    <cfRule type="cellIs" dxfId="2404" priority="3695" stopIfTrue="1" operator="equal">
      <formula>"2 Add"</formula>
    </cfRule>
  </conditionalFormatting>
  <conditionalFormatting sqref="C1233">
    <cfRule type="cellIs" dxfId="2403" priority="3696" stopIfTrue="1" operator="equal">
      <formula>"3 Delete"</formula>
    </cfRule>
  </conditionalFormatting>
  <conditionalFormatting sqref="C1234">
    <cfRule type="cellIs" dxfId="2402" priority="3697" stopIfTrue="1" operator="equal">
      <formula>"1 Modify"</formula>
    </cfRule>
  </conditionalFormatting>
  <conditionalFormatting sqref="C1234">
    <cfRule type="cellIs" dxfId="2401" priority="3698" stopIfTrue="1" operator="equal">
      <formula>"2 Add"</formula>
    </cfRule>
  </conditionalFormatting>
  <conditionalFormatting sqref="C1234">
    <cfRule type="cellIs" dxfId="2400" priority="3699" stopIfTrue="1" operator="equal">
      <formula>"3 Delete"</formula>
    </cfRule>
  </conditionalFormatting>
  <conditionalFormatting sqref="C1235">
    <cfRule type="cellIs" dxfId="2399" priority="3700" stopIfTrue="1" operator="equal">
      <formula>"1 Modify"</formula>
    </cfRule>
  </conditionalFormatting>
  <conditionalFormatting sqref="C1235">
    <cfRule type="cellIs" dxfId="2398" priority="3701" stopIfTrue="1" operator="equal">
      <formula>"2 Add"</formula>
    </cfRule>
  </conditionalFormatting>
  <conditionalFormatting sqref="C1235">
    <cfRule type="cellIs" dxfId="2397" priority="3702" stopIfTrue="1" operator="equal">
      <formula>"3 Delete"</formula>
    </cfRule>
  </conditionalFormatting>
  <conditionalFormatting sqref="C1236">
    <cfRule type="cellIs" dxfId="2396" priority="3703" stopIfTrue="1" operator="equal">
      <formula>"1 Modify"</formula>
    </cfRule>
  </conditionalFormatting>
  <conditionalFormatting sqref="C1236">
    <cfRule type="cellIs" dxfId="2395" priority="3704" stopIfTrue="1" operator="equal">
      <formula>"2 Add"</formula>
    </cfRule>
  </conditionalFormatting>
  <conditionalFormatting sqref="C1236">
    <cfRule type="cellIs" dxfId="2394" priority="3705" stopIfTrue="1" operator="equal">
      <formula>"3 Delete"</formula>
    </cfRule>
  </conditionalFormatting>
  <conditionalFormatting sqref="C1237">
    <cfRule type="cellIs" dxfId="2393" priority="3706" stopIfTrue="1" operator="equal">
      <formula>"1 Modify"</formula>
    </cfRule>
  </conditionalFormatting>
  <conditionalFormatting sqref="C1237">
    <cfRule type="cellIs" dxfId="2392" priority="3707" stopIfTrue="1" operator="equal">
      <formula>"2 Add"</formula>
    </cfRule>
  </conditionalFormatting>
  <conditionalFormatting sqref="C1237">
    <cfRule type="cellIs" dxfId="2391" priority="3708" stopIfTrue="1" operator="equal">
      <formula>"3 Delete"</formula>
    </cfRule>
  </conditionalFormatting>
  <conditionalFormatting sqref="C1238">
    <cfRule type="cellIs" dxfId="2390" priority="3709" stopIfTrue="1" operator="equal">
      <formula>"1 Modify"</formula>
    </cfRule>
  </conditionalFormatting>
  <conditionalFormatting sqref="C1238">
    <cfRule type="cellIs" dxfId="2389" priority="3710" stopIfTrue="1" operator="equal">
      <formula>"2 Add"</formula>
    </cfRule>
  </conditionalFormatting>
  <conditionalFormatting sqref="C1238">
    <cfRule type="cellIs" dxfId="2388" priority="3711" stopIfTrue="1" operator="equal">
      <formula>"3 Delete"</formula>
    </cfRule>
  </conditionalFormatting>
  <conditionalFormatting sqref="C1239">
    <cfRule type="cellIs" dxfId="2387" priority="3712" stopIfTrue="1" operator="equal">
      <formula>"1 Modify"</formula>
    </cfRule>
  </conditionalFormatting>
  <conditionalFormatting sqref="C1239">
    <cfRule type="cellIs" dxfId="2386" priority="3713" stopIfTrue="1" operator="equal">
      <formula>"2 Add"</formula>
    </cfRule>
  </conditionalFormatting>
  <conditionalFormatting sqref="C1239">
    <cfRule type="cellIs" dxfId="2385" priority="3714" stopIfTrue="1" operator="equal">
      <formula>"3 Delete"</formula>
    </cfRule>
  </conditionalFormatting>
  <conditionalFormatting sqref="C1240">
    <cfRule type="cellIs" dxfId="2384" priority="3715" stopIfTrue="1" operator="equal">
      <formula>"1 Modify"</formula>
    </cfRule>
  </conditionalFormatting>
  <conditionalFormatting sqref="C1240">
    <cfRule type="cellIs" dxfId="2383" priority="3716" stopIfTrue="1" operator="equal">
      <formula>"2 Add"</formula>
    </cfRule>
  </conditionalFormatting>
  <conditionalFormatting sqref="C1240">
    <cfRule type="cellIs" dxfId="2382" priority="3717" stopIfTrue="1" operator="equal">
      <formula>"3 Delete"</formula>
    </cfRule>
  </conditionalFormatting>
  <conditionalFormatting sqref="C1241">
    <cfRule type="cellIs" dxfId="2381" priority="3718" stopIfTrue="1" operator="equal">
      <formula>"1 Modify"</formula>
    </cfRule>
  </conditionalFormatting>
  <conditionalFormatting sqref="C1241">
    <cfRule type="cellIs" dxfId="2380" priority="3719" stopIfTrue="1" operator="equal">
      <formula>"2 Add"</formula>
    </cfRule>
  </conditionalFormatting>
  <conditionalFormatting sqref="C1241">
    <cfRule type="cellIs" dxfId="2379" priority="3720" stopIfTrue="1" operator="equal">
      <formula>"3 Delete"</formula>
    </cfRule>
  </conditionalFormatting>
  <conditionalFormatting sqref="C1242">
    <cfRule type="cellIs" dxfId="2378" priority="3721" stopIfTrue="1" operator="equal">
      <formula>"1 Modify"</formula>
    </cfRule>
  </conditionalFormatting>
  <conditionalFormatting sqref="C1242">
    <cfRule type="cellIs" dxfId="2377" priority="3722" stopIfTrue="1" operator="equal">
      <formula>"2 Add"</formula>
    </cfRule>
  </conditionalFormatting>
  <conditionalFormatting sqref="C1242">
    <cfRule type="cellIs" dxfId="2376" priority="3723" stopIfTrue="1" operator="equal">
      <formula>"3 Delete"</formula>
    </cfRule>
  </conditionalFormatting>
  <conditionalFormatting sqref="C1243">
    <cfRule type="cellIs" dxfId="2375" priority="3724" stopIfTrue="1" operator="equal">
      <formula>"1 Modify"</formula>
    </cfRule>
  </conditionalFormatting>
  <conditionalFormatting sqref="C1243">
    <cfRule type="cellIs" dxfId="2374" priority="3725" stopIfTrue="1" operator="equal">
      <formula>"2 Add"</formula>
    </cfRule>
  </conditionalFormatting>
  <conditionalFormatting sqref="C1243">
    <cfRule type="cellIs" dxfId="2373" priority="3726" stopIfTrue="1" operator="equal">
      <formula>"3 Delete"</formula>
    </cfRule>
  </conditionalFormatting>
  <conditionalFormatting sqref="C1244">
    <cfRule type="cellIs" dxfId="2372" priority="3727" stopIfTrue="1" operator="equal">
      <formula>"1 Modify"</formula>
    </cfRule>
  </conditionalFormatting>
  <conditionalFormatting sqref="C1244">
    <cfRule type="cellIs" dxfId="2371" priority="3728" stopIfTrue="1" operator="equal">
      <formula>"2 Add"</formula>
    </cfRule>
  </conditionalFormatting>
  <conditionalFormatting sqref="C1244">
    <cfRule type="cellIs" dxfId="2370" priority="3729" stopIfTrue="1" operator="equal">
      <formula>"3 Delete"</formula>
    </cfRule>
  </conditionalFormatting>
  <conditionalFormatting sqref="C1245">
    <cfRule type="cellIs" dxfId="2369" priority="3730" stopIfTrue="1" operator="equal">
      <formula>"1 Modify"</formula>
    </cfRule>
  </conditionalFormatting>
  <conditionalFormatting sqref="C1245">
    <cfRule type="cellIs" dxfId="2368" priority="3731" stopIfTrue="1" operator="equal">
      <formula>"2 Add"</formula>
    </cfRule>
  </conditionalFormatting>
  <conditionalFormatting sqref="C1245">
    <cfRule type="cellIs" dxfId="2367" priority="3732" stopIfTrue="1" operator="equal">
      <formula>"3 Delete"</formula>
    </cfRule>
  </conditionalFormatting>
  <conditionalFormatting sqref="C1246">
    <cfRule type="cellIs" dxfId="2366" priority="3733" stopIfTrue="1" operator="equal">
      <formula>"1 Modify"</formula>
    </cfRule>
  </conditionalFormatting>
  <conditionalFormatting sqref="C1246">
    <cfRule type="cellIs" dxfId="2365" priority="3734" stopIfTrue="1" operator="equal">
      <formula>"2 Add"</formula>
    </cfRule>
  </conditionalFormatting>
  <conditionalFormatting sqref="C1246">
    <cfRule type="cellIs" dxfId="2364" priority="3735" stopIfTrue="1" operator="equal">
      <formula>"3 Delete"</formula>
    </cfRule>
  </conditionalFormatting>
  <conditionalFormatting sqref="C1247">
    <cfRule type="cellIs" dxfId="2363" priority="3736" stopIfTrue="1" operator="equal">
      <formula>"1 Modify"</formula>
    </cfRule>
  </conditionalFormatting>
  <conditionalFormatting sqref="C1247">
    <cfRule type="cellIs" dxfId="2362" priority="3737" stopIfTrue="1" operator="equal">
      <formula>"2 Add"</formula>
    </cfRule>
  </conditionalFormatting>
  <conditionalFormatting sqref="C1247">
    <cfRule type="cellIs" dxfId="2361" priority="3738" stopIfTrue="1" operator="equal">
      <formula>"3 Delete"</formula>
    </cfRule>
  </conditionalFormatting>
  <conditionalFormatting sqref="C1248">
    <cfRule type="cellIs" dxfId="2360" priority="3739" stopIfTrue="1" operator="equal">
      <formula>"1 Modify"</formula>
    </cfRule>
  </conditionalFormatting>
  <conditionalFormatting sqref="C1248">
    <cfRule type="cellIs" dxfId="2359" priority="3740" stopIfTrue="1" operator="equal">
      <formula>"2 Add"</formula>
    </cfRule>
  </conditionalFormatting>
  <conditionalFormatting sqref="C1248">
    <cfRule type="cellIs" dxfId="2358" priority="3741" stopIfTrue="1" operator="equal">
      <formula>"3 Delete"</formula>
    </cfRule>
  </conditionalFormatting>
  <conditionalFormatting sqref="C1249">
    <cfRule type="cellIs" dxfId="2357" priority="3742" stopIfTrue="1" operator="equal">
      <formula>"1 Modify"</formula>
    </cfRule>
  </conditionalFormatting>
  <conditionalFormatting sqref="C1249">
    <cfRule type="cellIs" dxfId="2356" priority="3743" stopIfTrue="1" operator="equal">
      <formula>"2 Add"</formula>
    </cfRule>
  </conditionalFormatting>
  <conditionalFormatting sqref="C1249">
    <cfRule type="cellIs" dxfId="2355" priority="3744" stopIfTrue="1" operator="equal">
      <formula>"3 Delete"</formula>
    </cfRule>
  </conditionalFormatting>
  <conditionalFormatting sqref="C1250">
    <cfRule type="cellIs" dxfId="2354" priority="3745" stopIfTrue="1" operator="equal">
      <formula>"1 Modify"</formula>
    </cfRule>
  </conditionalFormatting>
  <conditionalFormatting sqref="C1250">
    <cfRule type="cellIs" dxfId="2353" priority="3746" stopIfTrue="1" operator="equal">
      <formula>"2 Add"</formula>
    </cfRule>
  </conditionalFormatting>
  <conditionalFormatting sqref="C1250">
    <cfRule type="cellIs" dxfId="2352" priority="3747" stopIfTrue="1" operator="equal">
      <formula>"3 Delete"</formula>
    </cfRule>
  </conditionalFormatting>
  <conditionalFormatting sqref="C1251">
    <cfRule type="cellIs" dxfId="2351" priority="3748" stopIfTrue="1" operator="equal">
      <formula>"1 Modify"</formula>
    </cfRule>
  </conditionalFormatting>
  <conditionalFormatting sqref="C1251">
    <cfRule type="cellIs" dxfId="2350" priority="3749" stopIfTrue="1" operator="equal">
      <formula>"2 Add"</formula>
    </cfRule>
  </conditionalFormatting>
  <conditionalFormatting sqref="C1251">
    <cfRule type="cellIs" dxfId="2349" priority="3750" stopIfTrue="1" operator="equal">
      <formula>"3 Delete"</formula>
    </cfRule>
  </conditionalFormatting>
  <conditionalFormatting sqref="C1252">
    <cfRule type="cellIs" dxfId="2348" priority="3751" stopIfTrue="1" operator="equal">
      <formula>"1 Modify"</formula>
    </cfRule>
  </conditionalFormatting>
  <conditionalFormatting sqref="C1252">
    <cfRule type="cellIs" dxfId="2347" priority="3752" stopIfTrue="1" operator="equal">
      <formula>"2 Add"</formula>
    </cfRule>
  </conditionalFormatting>
  <conditionalFormatting sqref="C1252">
    <cfRule type="cellIs" dxfId="2346" priority="3753" stopIfTrue="1" operator="equal">
      <formula>"3 Delete"</formula>
    </cfRule>
  </conditionalFormatting>
  <conditionalFormatting sqref="C1253">
    <cfRule type="cellIs" dxfId="2345" priority="3754" stopIfTrue="1" operator="equal">
      <formula>"1 Modify"</formula>
    </cfRule>
  </conditionalFormatting>
  <conditionalFormatting sqref="C1253">
    <cfRule type="cellIs" dxfId="2344" priority="3755" stopIfTrue="1" operator="equal">
      <formula>"2 Add"</formula>
    </cfRule>
  </conditionalFormatting>
  <conditionalFormatting sqref="C1253">
    <cfRule type="cellIs" dxfId="2343" priority="3756" stopIfTrue="1" operator="equal">
      <formula>"3 Delete"</formula>
    </cfRule>
  </conditionalFormatting>
  <conditionalFormatting sqref="C1254">
    <cfRule type="cellIs" dxfId="2342" priority="3757" stopIfTrue="1" operator="equal">
      <formula>"1 Modify"</formula>
    </cfRule>
  </conditionalFormatting>
  <conditionalFormatting sqref="C1254">
    <cfRule type="cellIs" dxfId="2341" priority="3758" stopIfTrue="1" operator="equal">
      <formula>"2 Add"</formula>
    </cfRule>
  </conditionalFormatting>
  <conditionalFormatting sqref="C1254">
    <cfRule type="cellIs" dxfId="2340" priority="3759" stopIfTrue="1" operator="equal">
      <formula>"3 Delete"</formula>
    </cfRule>
  </conditionalFormatting>
  <conditionalFormatting sqref="C1255">
    <cfRule type="cellIs" dxfId="2339" priority="3760" stopIfTrue="1" operator="equal">
      <formula>"1 Modify"</formula>
    </cfRule>
  </conditionalFormatting>
  <conditionalFormatting sqref="C1255">
    <cfRule type="cellIs" dxfId="2338" priority="3761" stopIfTrue="1" operator="equal">
      <formula>"2 Add"</formula>
    </cfRule>
  </conditionalFormatting>
  <conditionalFormatting sqref="C1255">
    <cfRule type="cellIs" dxfId="2337" priority="3762" stopIfTrue="1" operator="equal">
      <formula>"3 Delete"</formula>
    </cfRule>
  </conditionalFormatting>
  <conditionalFormatting sqref="C1256">
    <cfRule type="cellIs" dxfId="2336" priority="3763" stopIfTrue="1" operator="equal">
      <formula>"1 Modify"</formula>
    </cfRule>
  </conditionalFormatting>
  <conditionalFormatting sqref="C1256">
    <cfRule type="cellIs" dxfId="2335" priority="3764" stopIfTrue="1" operator="equal">
      <formula>"2 Add"</formula>
    </cfRule>
  </conditionalFormatting>
  <conditionalFormatting sqref="C1256">
    <cfRule type="cellIs" dxfId="2334" priority="3765" stopIfTrue="1" operator="equal">
      <formula>"3 Delete"</formula>
    </cfRule>
  </conditionalFormatting>
  <conditionalFormatting sqref="C1257">
    <cfRule type="cellIs" dxfId="2333" priority="3766" stopIfTrue="1" operator="equal">
      <formula>"1 Modify"</formula>
    </cfRule>
  </conditionalFormatting>
  <conditionalFormatting sqref="C1257">
    <cfRule type="cellIs" dxfId="2332" priority="3767" stopIfTrue="1" operator="equal">
      <formula>"2 Add"</formula>
    </cfRule>
  </conditionalFormatting>
  <conditionalFormatting sqref="C1257">
    <cfRule type="cellIs" dxfId="2331" priority="3768" stopIfTrue="1" operator="equal">
      <formula>"3 Delete"</formula>
    </cfRule>
  </conditionalFormatting>
  <conditionalFormatting sqref="C1258">
    <cfRule type="cellIs" dxfId="2330" priority="3769" stopIfTrue="1" operator="equal">
      <formula>"1 Modify"</formula>
    </cfRule>
  </conditionalFormatting>
  <conditionalFormatting sqref="C1258">
    <cfRule type="cellIs" dxfId="2329" priority="3770" stopIfTrue="1" operator="equal">
      <formula>"2 Add"</formula>
    </cfRule>
  </conditionalFormatting>
  <conditionalFormatting sqref="C1258">
    <cfRule type="cellIs" dxfId="2328" priority="3771" stopIfTrue="1" operator="equal">
      <formula>"3 Delete"</formula>
    </cfRule>
  </conditionalFormatting>
  <conditionalFormatting sqref="C1259">
    <cfRule type="cellIs" dxfId="2327" priority="3772" stopIfTrue="1" operator="equal">
      <formula>"1 Modify"</formula>
    </cfRule>
  </conditionalFormatting>
  <conditionalFormatting sqref="C1259">
    <cfRule type="cellIs" dxfId="2326" priority="3773" stopIfTrue="1" operator="equal">
      <formula>"2 Add"</formula>
    </cfRule>
  </conditionalFormatting>
  <conditionalFormatting sqref="C1259">
    <cfRule type="cellIs" dxfId="2325" priority="3774" stopIfTrue="1" operator="equal">
      <formula>"3 Delete"</formula>
    </cfRule>
  </conditionalFormatting>
  <conditionalFormatting sqref="C1260">
    <cfRule type="cellIs" dxfId="2324" priority="3775" stopIfTrue="1" operator="equal">
      <formula>"1 Modify"</formula>
    </cfRule>
  </conditionalFormatting>
  <conditionalFormatting sqref="C1260">
    <cfRule type="cellIs" dxfId="2323" priority="3776" stopIfTrue="1" operator="equal">
      <formula>"2 Add"</formula>
    </cfRule>
  </conditionalFormatting>
  <conditionalFormatting sqref="C1260">
    <cfRule type="cellIs" dxfId="2322" priority="3777" stopIfTrue="1" operator="equal">
      <formula>"3 Delete"</formula>
    </cfRule>
  </conditionalFormatting>
  <conditionalFormatting sqref="C1261">
    <cfRule type="cellIs" dxfId="2321" priority="3778" stopIfTrue="1" operator="equal">
      <formula>"1 Modify"</formula>
    </cfRule>
  </conditionalFormatting>
  <conditionalFormatting sqref="C1261">
    <cfRule type="cellIs" dxfId="2320" priority="3779" stopIfTrue="1" operator="equal">
      <formula>"2 Add"</formula>
    </cfRule>
  </conditionalFormatting>
  <conditionalFormatting sqref="C1261">
    <cfRule type="cellIs" dxfId="2319" priority="3780" stopIfTrue="1" operator="equal">
      <formula>"3 Delete"</formula>
    </cfRule>
  </conditionalFormatting>
  <conditionalFormatting sqref="C1262">
    <cfRule type="cellIs" dxfId="2318" priority="3781" stopIfTrue="1" operator="equal">
      <formula>"1 Modify"</formula>
    </cfRule>
  </conditionalFormatting>
  <conditionalFormatting sqref="C1262">
    <cfRule type="cellIs" dxfId="2317" priority="3782" stopIfTrue="1" operator="equal">
      <formula>"2 Add"</formula>
    </cfRule>
  </conditionalFormatting>
  <conditionalFormatting sqref="C1262">
    <cfRule type="cellIs" dxfId="2316" priority="3783" stopIfTrue="1" operator="equal">
      <formula>"3 Delete"</formula>
    </cfRule>
  </conditionalFormatting>
  <conditionalFormatting sqref="C1263">
    <cfRule type="cellIs" dxfId="2315" priority="3784" stopIfTrue="1" operator="equal">
      <formula>"1 Modify"</formula>
    </cfRule>
  </conditionalFormatting>
  <conditionalFormatting sqref="C1263">
    <cfRule type="cellIs" dxfId="2314" priority="3785" stopIfTrue="1" operator="equal">
      <formula>"2 Add"</formula>
    </cfRule>
  </conditionalFormatting>
  <conditionalFormatting sqref="C1263">
    <cfRule type="cellIs" dxfId="2313" priority="3786" stopIfTrue="1" operator="equal">
      <formula>"3 Delete"</formula>
    </cfRule>
  </conditionalFormatting>
  <conditionalFormatting sqref="C1264">
    <cfRule type="cellIs" dxfId="2312" priority="3787" stopIfTrue="1" operator="equal">
      <formula>"1 Modify"</formula>
    </cfRule>
  </conditionalFormatting>
  <conditionalFormatting sqref="C1264">
    <cfRule type="cellIs" dxfId="2311" priority="3788" stopIfTrue="1" operator="equal">
      <formula>"2 Add"</formula>
    </cfRule>
  </conditionalFormatting>
  <conditionalFormatting sqref="C1264">
    <cfRule type="cellIs" dxfId="2310" priority="3789" stopIfTrue="1" operator="equal">
      <formula>"3 Delete"</formula>
    </cfRule>
  </conditionalFormatting>
  <conditionalFormatting sqref="C1265">
    <cfRule type="cellIs" dxfId="2309" priority="3790" stopIfTrue="1" operator="equal">
      <formula>"1 Modify"</formula>
    </cfRule>
  </conditionalFormatting>
  <conditionalFormatting sqref="C1265">
    <cfRule type="cellIs" dxfId="2308" priority="3791" stopIfTrue="1" operator="equal">
      <formula>"2 Add"</formula>
    </cfRule>
  </conditionalFormatting>
  <conditionalFormatting sqref="C1265">
    <cfRule type="cellIs" dxfId="2307" priority="3792" stopIfTrue="1" operator="equal">
      <formula>"3 Delete"</formula>
    </cfRule>
  </conditionalFormatting>
  <conditionalFormatting sqref="C1266">
    <cfRule type="cellIs" dxfId="2306" priority="3793" stopIfTrue="1" operator="equal">
      <formula>"1 Modify"</formula>
    </cfRule>
  </conditionalFormatting>
  <conditionalFormatting sqref="C1266">
    <cfRule type="cellIs" dxfId="2305" priority="3794" stopIfTrue="1" operator="equal">
      <formula>"2 Add"</formula>
    </cfRule>
  </conditionalFormatting>
  <conditionalFormatting sqref="C1266">
    <cfRule type="cellIs" dxfId="2304" priority="3795" stopIfTrue="1" operator="equal">
      <formula>"3 Delete"</formula>
    </cfRule>
  </conditionalFormatting>
  <conditionalFormatting sqref="C1267">
    <cfRule type="cellIs" dxfId="2303" priority="3796" stopIfTrue="1" operator="equal">
      <formula>"1 Modify"</formula>
    </cfRule>
  </conditionalFormatting>
  <conditionalFormatting sqref="C1267">
    <cfRule type="cellIs" dxfId="2302" priority="3797" stopIfTrue="1" operator="equal">
      <formula>"2 Add"</formula>
    </cfRule>
  </conditionalFormatting>
  <conditionalFormatting sqref="C1267">
    <cfRule type="cellIs" dxfId="2301" priority="3798" stopIfTrue="1" operator="equal">
      <formula>"3 Delete"</formula>
    </cfRule>
  </conditionalFormatting>
  <conditionalFormatting sqref="C1268">
    <cfRule type="cellIs" dxfId="2300" priority="3799" stopIfTrue="1" operator="equal">
      <formula>"1 Modify"</formula>
    </cfRule>
  </conditionalFormatting>
  <conditionalFormatting sqref="C1268">
    <cfRule type="cellIs" dxfId="2299" priority="3800" stopIfTrue="1" operator="equal">
      <formula>"2 Add"</formula>
    </cfRule>
  </conditionalFormatting>
  <conditionalFormatting sqref="C1268">
    <cfRule type="cellIs" dxfId="2298" priority="3801" stopIfTrue="1" operator="equal">
      <formula>"3 Delete"</formula>
    </cfRule>
  </conditionalFormatting>
  <conditionalFormatting sqref="C1269">
    <cfRule type="cellIs" dxfId="2297" priority="3802" stopIfTrue="1" operator="equal">
      <formula>"1 Modify"</formula>
    </cfRule>
  </conditionalFormatting>
  <conditionalFormatting sqref="C1269">
    <cfRule type="cellIs" dxfId="2296" priority="3803" stopIfTrue="1" operator="equal">
      <formula>"2 Add"</formula>
    </cfRule>
  </conditionalFormatting>
  <conditionalFormatting sqref="C1269">
    <cfRule type="cellIs" dxfId="2295" priority="3804" stopIfTrue="1" operator="equal">
      <formula>"3 Delete"</formula>
    </cfRule>
  </conditionalFormatting>
  <conditionalFormatting sqref="C1270">
    <cfRule type="cellIs" dxfId="2294" priority="3805" stopIfTrue="1" operator="equal">
      <formula>"1 Modify"</formula>
    </cfRule>
  </conditionalFormatting>
  <conditionalFormatting sqref="C1270">
    <cfRule type="cellIs" dxfId="2293" priority="3806" stopIfTrue="1" operator="equal">
      <formula>"2 Add"</formula>
    </cfRule>
  </conditionalFormatting>
  <conditionalFormatting sqref="C1270">
    <cfRule type="cellIs" dxfId="2292" priority="3807" stopIfTrue="1" operator="equal">
      <formula>"3 Delete"</formula>
    </cfRule>
  </conditionalFormatting>
  <conditionalFormatting sqref="C1271">
    <cfRule type="cellIs" dxfId="2291" priority="3808" stopIfTrue="1" operator="equal">
      <formula>"1 Modify"</formula>
    </cfRule>
  </conditionalFormatting>
  <conditionalFormatting sqref="C1271">
    <cfRule type="cellIs" dxfId="2290" priority="3809" stopIfTrue="1" operator="equal">
      <formula>"2 Add"</formula>
    </cfRule>
  </conditionalFormatting>
  <conditionalFormatting sqref="C1271">
    <cfRule type="cellIs" dxfId="2289" priority="3810" stopIfTrue="1" operator="equal">
      <formula>"3 Delete"</formula>
    </cfRule>
  </conditionalFormatting>
  <conditionalFormatting sqref="C1272">
    <cfRule type="cellIs" dxfId="2288" priority="3811" stopIfTrue="1" operator="equal">
      <formula>"1 Modify"</formula>
    </cfRule>
  </conditionalFormatting>
  <conditionalFormatting sqref="C1272">
    <cfRule type="cellIs" dxfId="2287" priority="3812" stopIfTrue="1" operator="equal">
      <formula>"2 Add"</formula>
    </cfRule>
  </conditionalFormatting>
  <conditionalFormatting sqref="C1272">
    <cfRule type="cellIs" dxfId="2286" priority="3813" stopIfTrue="1" operator="equal">
      <formula>"3 Delete"</formula>
    </cfRule>
  </conditionalFormatting>
  <conditionalFormatting sqref="C1273">
    <cfRule type="cellIs" dxfId="2285" priority="3814" stopIfTrue="1" operator="equal">
      <formula>"1 Modify"</formula>
    </cfRule>
  </conditionalFormatting>
  <conditionalFormatting sqref="C1273">
    <cfRule type="cellIs" dxfId="2284" priority="3815" stopIfTrue="1" operator="equal">
      <formula>"2 Add"</formula>
    </cfRule>
  </conditionalFormatting>
  <conditionalFormatting sqref="C1273">
    <cfRule type="cellIs" dxfId="2283" priority="3816" stopIfTrue="1" operator="equal">
      <formula>"3 Delete"</formula>
    </cfRule>
  </conditionalFormatting>
  <conditionalFormatting sqref="C1274">
    <cfRule type="cellIs" dxfId="2282" priority="3817" stopIfTrue="1" operator="equal">
      <formula>"1 Modify"</formula>
    </cfRule>
  </conditionalFormatting>
  <conditionalFormatting sqref="C1274">
    <cfRule type="cellIs" dxfId="2281" priority="3818" stopIfTrue="1" operator="equal">
      <formula>"2 Add"</formula>
    </cfRule>
  </conditionalFormatting>
  <conditionalFormatting sqref="C1274">
    <cfRule type="cellIs" dxfId="2280" priority="3819" stopIfTrue="1" operator="equal">
      <formula>"3 Delete"</formula>
    </cfRule>
  </conditionalFormatting>
  <conditionalFormatting sqref="C1275">
    <cfRule type="cellIs" dxfId="2279" priority="3820" stopIfTrue="1" operator="equal">
      <formula>"1 Modify"</formula>
    </cfRule>
  </conditionalFormatting>
  <conditionalFormatting sqref="C1275">
    <cfRule type="cellIs" dxfId="2278" priority="3821" stopIfTrue="1" operator="equal">
      <formula>"2 Add"</formula>
    </cfRule>
  </conditionalFormatting>
  <conditionalFormatting sqref="C1275">
    <cfRule type="cellIs" dxfId="2277" priority="3822" stopIfTrue="1" operator="equal">
      <formula>"3 Delete"</formula>
    </cfRule>
  </conditionalFormatting>
  <conditionalFormatting sqref="C1276">
    <cfRule type="cellIs" dxfId="2276" priority="3823" stopIfTrue="1" operator="equal">
      <formula>"1 Modify"</formula>
    </cfRule>
  </conditionalFormatting>
  <conditionalFormatting sqref="C1276">
    <cfRule type="cellIs" dxfId="2275" priority="3824" stopIfTrue="1" operator="equal">
      <formula>"2 Add"</formula>
    </cfRule>
  </conditionalFormatting>
  <conditionalFormatting sqref="C1276">
    <cfRule type="cellIs" dxfId="2274" priority="3825" stopIfTrue="1" operator="equal">
      <formula>"3 Delete"</formula>
    </cfRule>
  </conditionalFormatting>
  <conditionalFormatting sqref="C1277">
    <cfRule type="cellIs" dxfId="2273" priority="3826" stopIfTrue="1" operator="equal">
      <formula>"1 Modify"</formula>
    </cfRule>
  </conditionalFormatting>
  <conditionalFormatting sqref="C1277">
    <cfRule type="cellIs" dxfId="2272" priority="3827" stopIfTrue="1" operator="equal">
      <formula>"2 Add"</formula>
    </cfRule>
  </conditionalFormatting>
  <conditionalFormatting sqref="C1277">
    <cfRule type="cellIs" dxfId="2271" priority="3828" stopIfTrue="1" operator="equal">
      <formula>"3 Delete"</formula>
    </cfRule>
  </conditionalFormatting>
  <conditionalFormatting sqref="C1278">
    <cfRule type="cellIs" dxfId="2270" priority="3829" stopIfTrue="1" operator="equal">
      <formula>"1 Modify"</formula>
    </cfRule>
  </conditionalFormatting>
  <conditionalFormatting sqref="C1278">
    <cfRule type="cellIs" dxfId="2269" priority="3830" stopIfTrue="1" operator="equal">
      <formula>"2 Add"</formula>
    </cfRule>
  </conditionalFormatting>
  <conditionalFormatting sqref="C1278">
    <cfRule type="cellIs" dxfId="2268" priority="3831" stopIfTrue="1" operator="equal">
      <formula>"3 Delete"</formula>
    </cfRule>
  </conditionalFormatting>
  <conditionalFormatting sqref="C1279">
    <cfRule type="cellIs" dxfId="2267" priority="3832" stopIfTrue="1" operator="equal">
      <formula>"1 Modify"</formula>
    </cfRule>
  </conditionalFormatting>
  <conditionalFormatting sqref="C1279">
    <cfRule type="cellIs" dxfId="2266" priority="3833" stopIfTrue="1" operator="equal">
      <formula>"2 Add"</formula>
    </cfRule>
  </conditionalFormatting>
  <conditionalFormatting sqref="C1279">
    <cfRule type="cellIs" dxfId="2265" priority="3834" stopIfTrue="1" operator="equal">
      <formula>"3 Delete"</formula>
    </cfRule>
  </conditionalFormatting>
  <conditionalFormatting sqref="C1280">
    <cfRule type="cellIs" dxfId="2264" priority="3835" stopIfTrue="1" operator="equal">
      <formula>"1 Modify"</formula>
    </cfRule>
  </conditionalFormatting>
  <conditionalFormatting sqref="C1280">
    <cfRule type="cellIs" dxfId="2263" priority="3836" stopIfTrue="1" operator="equal">
      <formula>"2 Add"</formula>
    </cfRule>
  </conditionalFormatting>
  <conditionalFormatting sqref="C1280">
    <cfRule type="cellIs" dxfId="2262" priority="3837" stopIfTrue="1" operator="equal">
      <formula>"3 Delete"</formula>
    </cfRule>
  </conditionalFormatting>
  <conditionalFormatting sqref="C1281">
    <cfRule type="cellIs" dxfId="2261" priority="3838" stopIfTrue="1" operator="equal">
      <formula>"1 Modify"</formula>
    </cfRule>
  </conditionalFormatting>
  <conditionalFormatting sqref="C1281">
    <cfRule type="cellIs" dxfId="2260" priority="3839" stopIfTrue="1" operator="equal">
      <formula>"2 Add"</formula>
    </cfRule>
  </conditionalFormatting>
  <conditionalFormatting sqref="C1281">
    <cfRule type="cellIs" dxfId="2259" priority="3840" stopIfTrue="1" operator="equal">
      <formula>"3 Delete"</formula>
    </cfRule>
  </conditionalFormatting>
  <conditionalFormatting sqref="C1282">
    <cfRule type="cellIs" dxfId="2258" priority="3841" stopIfTrue="1" operator="equal">
      <formula>"1 Modify"</formula>
    </cfRule>
  </conditionalFormatting>
  <conditionalFormatting sqref="C1282">
    <cfRule type="cellIs" dxfId="2257" priority="3842" stopIfTrue="1" operator="equal">
      <formula>"2 Add"</formula>
    </cfRule>
  </conditionalFormatting>
  <conditionalFormatting sqref="C1282">
    <cfRule type="cellIs" dxfId="2256" priority="3843" stopIfTrue="1" operator="equal">
      <formula>"3 Delete"</formula>
    </cfRule>
  </conditionalFormatting>
  <conditionalFormatting sqref="C1283">
    <cfRule type="cellIs" dxfId="2255" priority="3844" stopIfTrue="1" operator="equal">
      <formula>"1 Modify"</formula>
    </cfRule>
  </conditionalFormatting>
  <conditionalFormatting sqref="C1283">
    <cfRule type="cellIs" dxfId="2254" priority="3845" stopIfTrue="1" operator="equal">
      <formula>"2 Add"</formula>
    </cfRule>
  </conditionalFormatting>
  <conditionalFormatting sqref="C1283">
    <cfRule type="cellIs" dxfId="2253" priority="3846" stopIfTrue="1" operator="equal">
      <formula>"3 Delete"</formula>
    </cfRule>
  </conditionalFormatting>
  <conditionalFormatting sqref="C1284">
    <cfRule type="cellIs" dxfId="2252" priority="3847" stopIfTrue="1" operator="equal">
      <formula>"1 Modify"</formula>
    </cfRule>
  </conditionalFormatting>
  <conditionalFormatting sqref="C1284">
    <cfRule type="cellIs" dxfId="2251" priority="3848" stopIfTrue="1" operator="equal">
      <formula>"2 Add"</formula>
    </cfRule>
  </conditionalFormatting>
  <conditionalFormatting sqref="C1284">
    <cfRule type="cellIs" dxfId="2250" priority="3849" stopIfTrue="1" operator="equal">
      <formula>"3 Delete"</formula>
    </cfRule>
  </conditionalFormatting>
  <conditionalFormatting sqref="C1285">
    <cfRule type="cellIs" dxfId="2249" priority="3850" stopIfTrue="1" operator="equal">
      <formula>"1 Modify"</formula>
    </cfRule>
  </conditionalFormatting>
  <conditionalFormatting sqref="C1285">
    <cfRule type="cellIs" dxfId="2248" priority="3851" stopIfTrue="1" operator="equal">
      <formula>"2 Add"</formula>
    </cfRule>
  </conditionalFormatting>
  <conditionalFormatting sqref="C1285">
    <cfRule type="cellIs" dxfId="2247" priority="3852" stopIfTrue="1" operator="equal">
      <formula>"3 Delete"</formula>
    </cfRule>
  </conditionalFormatting>
  <conditionalFormatting sqref="C1286">
    <cfRule type="cellIs" dxfId="2246" priority="3853" stopIfTrue="1" operator="equal">
      <formula>"1 Modify"</formula>
    </cfRule>
  </conditionalFormatting>
  <conditionalFormatting sqref="C1286">
    <cfRule type="cellIs" dxfId="2245" priority="3854" stopIfTrue="1" operator="equal">
      <formula>"2 Add"</formula>
    </cfRule>
  </conditionalFormatting>
  <conditionalFormatting sqref="C1286">
    <cfRule type="cellIs" dxfId="2244" priority="3855" stopIfTrue="1" operator="equal">
      <formula>"3 Delete"</formula>
    </cfRule>
  </conditionalFormatting>
  <conditionalFormatting sqref="C1287">
    <cfRule type="cellIs" dxfId="2243" priority="3856" stopIfTrue="1" operator="equal">
      <formula>"1 Modify"</formula>
    </cfRule>
  </conditionalFormatting>
  <conditionalFormatting sqref="C1287">
    <cfRule type="cellIs" dxfId="2242" priority="3857" stopIfTrue="1" operator="equal">
      <formula>"2 Add"</formula>
    </cfRule>
  </conditionalFormatting>
  <conditionalFormatting sqref="C1287">
    <cfRule type="cellIs" dxfId="2241" priority="3858" stopIfTrue="1" operator="equal">
      <formula>"3 Delete"</formula>
    </cfRule>
  </conditionalFormatting>
  <conditionalFormatting sqref="C1288">
    <cfRule type="cellIs" dxfId="2240" priority="3859" stopIfTrue="1" operator="equal">
      <formula>"1 Modify"</formula>
    </cfRule>
  </conditionalFormatting>
  <conditionalFormatting sqref="C1288">
    <cfRule type="cellIs" dxfId="2239" priority="3860" stopIfTrue="1" operator="equal">
      <formula>"2 Add"</formula>
    </cfRule>
  </conditionalFormatting>
  <conditionalFormatting sqref="C1288">
    <cfRule type="cellIs" dxfId="2238" priority="3861" stopIfTrue="1" operator="equal">
      <formula>"3 Delete"</formula>
    </cfRule>
  </conditionalFormatting>
  <conditionalFormatting sqref="C1289">
    <cfRule type="cellIs" dxfId="2237" priority="3862" stopIfTrue="1" operator="equal">
      <formula>"1 Modify"</formula>
    </cfRule>
  </conditionalFormatting>
  <conditionalFormatting sqref="C1289">
    <cfRule type="cellIs" dxfId="2236" priority="3863" stopIfTrue="1" operator="equal">
      <formula>"2 Add"</formula>
    </cfRule>
  </conditionalFormatting>
  <conditionalFormatting sqref="C1289">
    <cfRule type="cellIs" dxfId="2235" priority="3864" stopIfTrue="1" operator="equal">
      <formula>"3 Delete"</formula>
    </cfRule>
  </conditionalFormatting>
  <conditionalFormatting sqref="C1290">
    <cfRule type="cellIs" dxfId="2234" priority="3865" stopIfTrue="1" operator="equal">
      <formula>"1 Modify"</formula>
    </cfRule>
  </conditionalFormatting>
  <conditionalFormatting sqref="C1290">
    <cfRule type="cellIs" dxfId="2233" priority="3866" stopIfTrue="1" operator="equal">
      <formula>"2 Add"</formula>
    </cfRule>
  </conditionalFormatting>
  <conditionalFormatting sqref="C1290">
    <cfRule type="cellIs" dxfId="2232" priority="3867" stopIfTrue="1" operator="equal">
      <formula>"3 Delete"</formula>
    </cfRule>
  </conditionalFormatting>
  <conditionalFormatting sqref="C1291">
    <cfRule type="cellIs" dxfId="2231" priority="3868" stopIfTrue="1" operator="equal">
      <formula>"1 Modify"</formula>
    </cfRule>
  </conditionalFormatting>
  <conditionalFormatting sqref="C1291">
    <cfRule type="cellIs" dxfId="2230" priority="3869" stopIfTrue="1" operator="equal">
      <formula>"2 Add"</formula>
    </cfRule>
  </conditionalFormatting>
  <conditionalFormatting sqref="C1291">
    <cfRule type="cellIs" dxfId="2229" priority="3870" stopIfTrue="1" operator="equal">
      <formula>"3 Delete"</formula>
    </cfRule>
  </conditionalFormatting>
  <conditionalFormatting sqref="C1292">
    <cfRule type="cellIs" dxfId="2228" priority="3871" stopIfTrue="1" operator="equal">
      <formula>"1 Modify"</formula>
    </cfRule>
  </conditionalFormatting>
  <conditionalFormatting sqref="C1292">
    <cfRule type="cellIs" dxfId="2227" priority="3872" stopIfTrue="1" operator="equal">
      <formula>"2 Add"</formula>
    </cfRule>
  </conditionalFormatting>
  <conditionalFormatting sqref="C1292">
    <cfRule type="cellIs" dxfId="2226" priority="3873" stopIfTrue="1" operator="equal">
      <formula>"3 Delete"</formula>
    </cfRule>
  </conditionalFormatting>
  <conditionalFormatting sqref="C1293">
    <cfRule type="cellIs" dxfId="2225" priority="3874" stopIfTrue="1" operator="equal">
      <formula>"1 Modify"</formula>
    </cfRule>
  </conditionalFormatting>
  <conditionalFormatting sqref="C1293">
    <cfRule type="cellIs" dxfId="2224" priority="3875" stopIfTrue="1" operator="equal">
      <formula>"2 Add"</formula>
    </cfRule>
  </conditionalFormatting>
  <conditionalFormatting sqref="C1293">
    <cfRule type="cellIs" dxfId="2223" priority="3876" stopIfTrue="1" operator="equal">
      <formula>"3 Delete"</formula>
    </cfRule>
  </conditionalFormatting>
  <conditionalFormatting sqref="C1294">
    <cfRule type="cellIs" dxfId="2222" priority="3877" stopIfTrue="1" operator="equal">
      <formula>"1 Modify"</formula>
    </cfRule>
  </conditionalFormatting>
  <conditionalFormatting sqref="C1294">
    <cfRule type="cellIs" dxfId="2221" priority="3878" stopIfTrue="1" operator="equal">
      <formula>"2 Add"</formula>
    </cfRule>
  </conditionalFormatting>
  <conditionalFormatting sqref="C1294">
    <cfRule type="cellIs" dxfId="2220" priority="3879" stopIfTrue="1" operator="equal">
      <formula>"3 Delete"</formula>
    </cfRule>
  </conditionalFormatting>
  <conditionalFormatting sqref="C1295">
    <cfRule type="cellIs" dxfId="2219" priority="3880" stopIfTrue="1" operator="equal">
      <formula>"1 Modify"</formula>
    </cfRule>
  </conditionalFormatting>
  <conditionalFormatting sqref="C1295">
    <cfRule type="cellIs" dxfId="2218" priority="3881" stopIfTrue="1" operator="equal">
      <formula>"2 Add"</formula>
    </cfRule>
  </conditionalFormatting>
  <conditionalFormatting sqref="C1295">
    <cfRule type="cellIs" dxfId="2217" priority="3882" stopIfTrue="1" operator="equal">
      <formula>"3 Delete"</formula>
    </cfRule>
  </conditionalFormatting>
  <conditionalFormatting sqref="C1296">
    <cfRule type="cellIs" dxfId="2216" priority="3883" stopIfTrue="1" operator="equal">
      <formula>"1 Modify"</formula>
    </cfRule>
  </conditionalFormatting>
  <conditionalFormatting sqref="C1296">
    <cfRule type="cellIs" dxfId="2215" priority="3884" stopIfTrue="1" operator="equal">
      <formula>"2 Add"</formula>
    </cfRule>
  </conditionalFormatting>
  <conditionalFormatting sqref="C1296">
    <cfRule type="cellIs" dxfId="2214" priority="3885" stopIfTrue="1" operator="equal">
      <formula>"3 Delete"</formula>
    </cfRule>
  </conditionalFormatting>
  <conditionalFormatting sqref="C1297">
    <cfRule type="cellIs" dxfId="2213" priority="3886" stopIfTrue="1" operator="equal">
      <formula>"1 Modify"</formula>
    </cfRule>
  </conditionalFormatting>
  <conditionalFormatting sqref="C1297">
    <cfRule type="cellIs" dxfId="2212" priority="3887" stopIfTrue="1" operator="equal">
      <formula>"2 Add"</formula>
    </cfRule>
  </conditionalFormatting>
  <conditionalFormatting sqref="C1297">
    <cfRule type="cellIs" dxfId="2211" priority="3888" stopIfTrue="1" operator="equal">
      <formula>"3 Delete"</formula>
    </cfRule>
  </conditionalFormatting>
  <conditionalFormatting sqref="C1298">
    <cfRule type="cellIs" dxfId="2210" priority="3889" stopIfTrue="1" operator="equal">
      <formula>"1 Modify"</formula>
    </cfRule>
  </conditionalFormatting>
  <conditionalFormatting sqref="C1298">
    <cfRule type="cellIs" dxfId="2209" priority="3890" stopIfTrue="1" operator="equal">
      <formula>"2 Add"</formula>
    </cfRule>
  </conditionalFormatting>
  <conditionalFormatting sqref="C1298">
    <cfRule type="cellIs" dxfId="2208" priority="3891" stopIfTrue="1" operator="equal">
      <formula>"3 Delete"</formula>
    </cfRule>
  </conditionalFormatting>
  <conditionalFormatting sqref="C1299">
    <cfRule type="cellIs" dxfId="2207" priority="3892" stopIfTrue="1" operator="equal">
      <formula>"1 Modify"</formula>
    </cfRule>
  </conditionalFormatting>
  <conditionalFormatting sqref="C1299">
    <cfRule type="cellIs" dxfId="2206" priority="3893" stopIfTrue="1" operator="equal">
      <formula>"2 Add"</formula>
    </cfRule>
  </conditionalFormatting>
  <conditionalFormatting sqref="C1299">
    <cfRule type="cellIs" dxfId="2205" priority="3894" stopIfTrue="1" operator="equal">
      <formula>"3 Delete"</formula>
    </cfRule>
  </conditionalFormatting>
  <conditionalFormatting sqref="C1300">
    <cfRule type="cellIs" dxfId="2204" priority="3895" stopIfTrue="1" operator="equal">
      <formula>"1 Modify"</formula>
    </cfRule>
  </conditionalFormatting>
  <conditionalFormatting sqref="C1300">
    <cfRule type="cellIs" dxfId="2203" priority="3896" stopIfTrue="1" operator="equal">
      <formula>"2 Add"</formula>
    </cfRule>
  </conditionalFormatting>
  <conditionalFormatting sqref="C1300">
    <cfRule type="cellIs" dxfId="2202" priority="3897" stopIfTrue="1" operator="equal">
      <formula>"3 Delete"</formula>
    </cfRule>
  </conditionalFormatting>
  <conditionalFormatting sqref="C1301">
    <cfRule type="cellIs" dxfId="2201" priority="3898" stopIfTrue="1" operator="equal">
      <formula>"1 Modify"</formula>
    </cfRule>
  </conditionalFormatting>
  <conditionalFormatting sqref="C1301">
    <cfRule type="cellIs" dxfId="2200" priority="3899" stopIfTrue="1" operator="equal">
      <formula>"2 Add"</formula>
    </cfRule>
  </conditionalFormatting>
  <conditionalFormatting sqref="C1301">
    <cfRule type="cellIs" dxfId="2199" priority="3900" stopIfTrue="1" operator="equal">
      <formula>"3 Delete"</formula>
    </cfRule>
  </conditionalFormatting>
  <conditionalFormatting sqref="C1302">
    <cfRule type="cellIs" dxfId="2198" priority="3901" stopIfTrue="1" operator="equal">
      <formula>"1 Modify"</formula>
    </cfRule>
  </conditionalFormatting>
  <conditionalFormatting sqref="C1302">
    <cfRule type="cellIs" dxfId="2197" priority="3902" stopIfTrue="1" operator="equal">
      <formula>"2 Add"</formula>
    </cfRule>
  </conditionalFormatting>
  <conditionalFormatting sqref="C1302">
    <cfRule type="cellIs" dxfId="2196" priority="3903" stopIfTrue="1" operator="equal">
      <formula>"3 Delete"</formula>
    </cfRule>
  </conditionalFormatting>
  <conditionalFormatting sqref="C1303">
    <cfRule type="cellIs" dxfId="2195" priority="3904" stopIfTrue="1" operator="equal">
      <formula>"1 Modify"</formula>
    </cfRule>
  </conditionalFormatting>
  <conditionalFormatting sqref="C1303">
    <cfRule type="cellIs" dxfId="2194" priority="3905" stopIfTrue="1" operator="equal">
      <formula>"2 Add"</formula>
    </cfRule>
  </conditionalFormatting>
  <conditionalFormatting sqref="C1303">
    <cfRule type="cellIs" dxfId="2193" priority="3906" stopIfTrue="1" operator="equal">
      <formula>"3 Delete"</formula>
    </cfRule>
  </conditionalFormatting>
  <conditionalFormatting sqref="C1304">
    <cfRule type="cellIs" dxfId="2192" priority="3907" stopIfTrue="1" operator="equal">
      <formula>"1 Modify"</formula>
    </cfRule>
  </conditionalFormatting>
  <conditionalFormatting sqref="C1304">
    <cfRule type="cellIs" dxfId="2191" priority="3908" stopIfTrue="1" operator="equal">
      <formula>"2 Add"</formula>
    </cfRule>
  </conditionalFormatting>
  <conditionalFormatting sqref="C1304">
    <cfRule type="cellIs" dxfId="2190" priority="3909" stopIfTrue="1" operator="equal">
      <formula>"3 Delete"</formula>
    </cfRule>
  </conditionalFormatting>
  <conditionalFormatting sqref="C1305">
    <cfRule type="cellIs" dxfId="2189" priority="3910" stopIfTrue="1" operator="equal">
      <formula>"1 Modify"</formula>
    </cfRule>
  </conditionalFormatting>
  <conditionalFormatting sqref="C1305">
    <cfRule type="cellIs" dxfId="2188" priority="3911" stopIfTrue="1" operator="equal">
      <formula>"2 Add"</formula>
    </cfRule>
  </conditionalFormatting>
  <conditionalFormatting sqref="C1305">
    <cfRule type="cellIs" dxfId="2187" priority="3912" stopIfTrue="1" operator="equal">
      <formula>"3 Delete"</formula>
    </cfRule>
  </conditionalFormatting>
  <conditionalFormatting sqref="C1306">
    <cfRule type="cellIs" dxfId="2186" priority="3913" stopIfTrue="1" operator="equal">
      <formula>"1 Modify"</formula>
    </cfRule>
  </conditionalFormatting>
  <conditionalFormatting sqref="C1306">
    <cfRule type="cellIs" dxfId="2185" priority="3914" stopIfTrue="1" operator="equal">
      <formula>"2 Add"</formula>
    </cfRule>
  </conditionalFormatting>
  <conditionalFormatting sqref="C1306">
    <cfRule type="cellIs" dxfId="2184" priority="3915" stopIfTrue="1" operator="equal">
      <formula>"3 Delete"</formula>
    </cfRule>
  </conditionalFormatting>
  <conditionalFormatting sqref="C1307">
    <cfRule type="cellIs" dxfId="2183" priority="3916" stopIfTrue="1" operator="equal">
      <formula>"1 Modify"</formula>
    </cfRule>
  </conditionalFormatting>
  <conditionalFormatting sqref="C1307">
    <cfRule type="cellIs" dxfId="2182" priority="3917" stopIfTrue="1" operator="equal">
      <formula>"2 Add"</formula>
    </cfRule>
  </conditionalFormatting>
  <conditionalFormatting sqref="C1307">
    <cfRule type="cellIs" dxfId="2181" priority="3918" stopIfTrue="1" operator="equal">
      <formula>"3 Delete"</formula>
    </cfRule>
  </conditionalFormatting>
  <conditionalFormatting sqref="C1308">
    <cfRule type="cellIs" dxfId="2180" priority="3919" stopIfTrue="1" operator="equal">
      <formula>"1 Modify"</formula>
    </cfRule>
  </conditionalFormatting>
  <conditionalFormatting sqref="C1308">
    <cfRule type="cellIs" dxfId="2179" priority="3920" stopIfTrue="1" operator="equal">
      <formula>"2 Add"</formula>
    </cfRule>
  </conditionalFormatting>
  <conditionalFormatting sqref="C1308">
    <cfRule type="cellIs" dxfId="2178" priority="3921" stopIfTrue="1" operator="equal">
      <formula>"3 Delete"</formula>
    </cfRule>
  </conditionalFormatting>
  <conditionalFormatting sqref="C1309">
    <cfRule type="cellIs" dxfId="2177" priority="3922" stopIfTrue="1" operator="equal">
      <formula>"1 Modify"</formula>
    </cfRule>
  </conditionalFormatting>
  <conditionalFormatting sqref="C1309">
    <cfRule type="cellIs" dxfId="2176" priority="3923" stopIfTrue="1" operator="equal">
      <formula>"2 Add"</formula>
    </cfRule>
  </conditionalFormatting>
  <conditionalFormatting sqref="C1309">
    <cfRule type="cellIs" dxfId="2175" priority="3924" stopIfTrue="1" operator="equal">
      <formula>"3 Delete"</formula>
    </cfRule>
  </conditionalFormatting>
  <conditionalFormatting sqref="C1310">
    <cfRule type="cellIs" dxfId="2174" priority="3925" stopIfTrue="1" operator="equal">
      <formula>"1 Modify"</formula>
    </cfRule>
  </conditionalFormatting>
  <conditionalFormatting sqref="C1310">
    <cfRule type="cellIs" dxfId="2173" priority="3926" stopIfTrue="1" operator="equal">
      <formula>"2 Add"</formula>
    </cfRule>
  </conditionalFormatting>
  <conditionalFormatting sqref="C1310">
    <cfRule type="cellIs" dxfId="2172" priority="3927" stopIfTrue="1" operator="equal">
      <formula>"3 Delete"</formula>
    </cfRule>
  </conditionalFormatting>
  <conditionalFormatting sqref="C1311">
    <cfRule type="cellIs" dxfId="2171" priority="3928" stopIfTrue="1" operator="equal">
      <formula>"1 Modify"</formula>
    </cfRule>
  </conditionalFormatting>
  <conditionalFormatting sqref="C1311">
    <cfRule type="cellIs" dxfId="2170" priority="3929" stopIfTrue="1" operator="equal">
      <formula>"2 Add"</formula>
    </cfRule>
  </conditionalFormatting>
  <conditionalFormatting sqref="C1311">
    <cfRule type="cellIs" dxfId="2169" priority="3930" stopIfTrue="1" operator="equal">
      <formula>"3 Delete"</formula>
    </cfRule>
  </conditionalFormatting>
  <conditionalFormatting sqref="C1312">
    <cfRule type="cellIs" dxfId="2168" priority="3931" stopIfTrue="1" operator="equal">
      <formula>"1 Modify"</formula>
    </cfRule>
  </conditionalFormatting>
  <conditionalFormatting sqref="C1312">
    <cfRule type="cellIs" dxfId="2167" priority="3932" stopIfTrue="1" operator="equal">
      <formula>"2 Add"</formula>
    </cfRule>
  </conditionalFormatting>
  <conditionalFormatting sqref="C1312">
    <cfRule type="cellIs" dxfId="2166" priority="3933" stopIfTrue="1" operator="equal">
      <formula>"3 Delete"</formula>
    </cfRule>
  </conditionalFormatting>
  <conditionalFormatting sqref="C1313">
    <cfRule type="cellIs" dxfId="2165" priority="3934" stopIfTrue="1" operator="equal">
      <formula>"1 Modify"</formula>
    </cfRule>
  </conditionalFormatting>
  <conditionalFormatting sqref="C1313">
    <cfRule type="cellIs" dxfId="2164" priority="3935" stopIfTrue="1" operator="equal">
      <formula>"2 Add"</formula>
    </cfRule>
  </conditionalFormatting>
  <conditionalFormatting sqref="C1313">
    <cfRule type="cellIs" dxfId="2163" priority="3936" stopIfTrue="1" operator="equal">
      <formula>"3 Delete"</formula>
    </cfRule>
  </conditionalFormatting>
  <conditionalFormatting sqref="C1314">
    <cfRule type="cellIs" dxfId="2162" priority="3937" stopIfTrue="1" operator="equal">
      <formula>"1 Modify"</formula>
    </cfRule>
  </conditionalFormatting>
  <conditionalFormatting sqref="C1314">
    <cfRule type="cellIs" dxfId="2161" priority="3938" stopIfTrue="1" operator="equal">
      <formula>"2 Add"</formula>
    </cfRule>
  </conditionalFormatting>
  <conditionalFormatting sqref="C1314">
    <cfRule type="cellIs" dxfId="2160" priority="3939" stopIfTrue="1" operator="equal">
      <formula>"3 Delete"</formula>
    </cfRule>
  </conditionalFormatting>
  <conditionalFormatting sqref="C1315">
    <cfRule type="cellIs" dxfId="2159" priority="3940" stopIfTrue="1" operator="equal">
      <formula>"1 Modify"</formula>
    </cfRule>
  </conditionalFormatting>
  <conditionalFormatting sqref="C1315">
    <cfRule type="cellIs" dxfId="2158" priority="3941" stopIfTrue="1" operator="equal">
      <formula>"2 Add"</formula>
    </cfRule>
  </conditionalFormatting>
  <conditionalFormatting sqref="C1315">
    <cfRule type="cellIs" dxfId="2157" priority="3942" stopIfTrue="1" operator="equal">
      <formula>"3 Delete"</formula>
    </cfRule>
  </conditionalFormatting>
  <conditionalFormatting sqref="C1316">
    <cfRule type="cellIs" dxfId="2156" priority="3943" stopIfTrue="1" operator="equal">
      <formula>"1 Modify"</formula>
    </cfRule>
  </conditionalFormatting>
  <conditionalFormatting sqref="C1316">
    <cfRule type="cellIs" dxfId="2155" priority="3944" stopIfTrue="1" operator="equal">
      <formula>"2 Add"</formula>
    </cfRule>
  </conditionalFormatting>
  <conditionalFormatting sqref="C1316">
    <cfRule type="cellIs" dxfId="2154" priority="3945" stopIfTrue="1" operator="equal">
      <formula>"3 Delete"</formula>
    </cfRule>
  </conditionalFormatting>
  <conditionalFormatting sqref="C1317">
    <cfRule type="cellIs" dxfId="2153" priority="3946" stopIfTrue="1" operator="equal">
      <formula>"1 Modify"</formula>
    </cfRule>
  </conditionalFormatting>
  <conditionalFormatting sqref="C1317">
    <cfRule type="cellIs" dxfId="2152" priority="3947" stopIfTrue="1" operator="equal">
      <formula>"2 Add"</formula>
    </cfRule>
  </conditionalFormatting>
  <conditionalFormatting sqref="C1317">
    <cfRule type="cellIs" dxfId="2151" priority="3948" stopIfTrue="1" operator="equal">
      <formula>"3 Delete"</formula>
    </cfRule>
  </conditionalFormatting>
  <conditionalFormatting sqref="C1318">
    <cfRule type="cellIs" dxfId="2150" priority="3949" stopIfTrue="1" operator="equal">
      <formula>"1 Modify"</formula>
    </cfRule>
  </conditionalFormatting>
  <conditionalFormatting sqref="C1318">
    <cfRule type="cellIs" dxfId="2149" priority="3950" stopIfTrue="1" operator="equal">
      <formula>"2 Add"</formula>
    </cfRule>
  </conditionalFormatting>
  <conditionalFormatting sqref="C1318">
    <cfRule type="cellIs" dxfId="2148" priority="3951" stopIfTrue="1" operator="equal">
      <formula>"3 Delete"</formula>
    </cfRule>
  </conditionalFormatting>
  <conditionalFormatting sqref="C1319">
    <cfRule type="cellIs" dxfId="2147" priority="3952" stopIfTrue="1" operator="equal">
      <formula>"1 Modify"</formula>
    </cfRule>
  </conditionalFormatting>
  <conditionalFormatting sqref="C1319">
    <cfRule type="cellIs" dxfId="2146" priority="3953" stopIfTrue="1" operator="equal">
      <formula>"2 Add"</formula>
    </cfRule>
  </conditionalFormatting>
  <conditionalFormatting sqref="C1319">
    <cfRule type="cellIs" dxfId="2145" priority="3954" stopIfTrue="1" operator="equal">
      <formula>"3 Delete"</formula>
    </cfRule>
  </conditionalFormatting>
  <conditionalFormatting sqref="C1320">
    <cfRule type="cellIs" dxfId="2144" priority="3955" stopIfTrue="1" operator="equal">
      <formula>"1 Modify"</formula>
    </cfRule>
  </conditionalFormatting>
  <conditionalFormatting sqref="C1320">
    <cfRule type="cellIs" dxfId="2143" priority="3956" stopIfTrue="1" operator="equal">
      <formula>"2 Add"</formula>
    </cfRule>
  </conditionalFormatting>
  <conditionalFormatting sqref="C1320">
    <cfRule type="cellIs" dxfId="2142" priority="3957" stopIfTrue="1" operator="equal">
      <formula>"3 Delete"</formula>
    </cfRule>
  </conditionalFormatting>
  <conditionalFormatting sqref="C1321">
    <cfRule type="cellIs" dxfId="2141" priority="3958" stopIfTrue="1" operator="equal">
      <formula>"1 Modify"</formula>
    </cfRule>
  </conditionalFormatting>
  <conditionalFormatting sqref="C1321">
    <cfRule type="cellIs" dxfId="2140" priority="3959" stopIfTrue="1" operator="equal">
      <formula>"2 Add"</formula>
    </cfRule>
  </conditionalFormatting>
  <conditionalFormatting sqref="C1321">
    <cfRule type="cellIs" dxfId="2139" priority="3960" stopIfTrue="1" operator="equal">
      <formula>"3 Delete"</formula>
    </cfRule>
  </conditionalFormatting>
  <conditionalFormatting sqref="C1322">
    <cfRule type="cellIs" dxfId="2138" priority="3961" stopIfTrue="1" operator="equal">
      <formula>"1 Modify"</formula>
    </cfRule>
  </conditionalFormatting>
  <conditionalFormatting sqref="C1322">
    <cfRule type="cellIs" dxfId="2137" priority="3962" stopIfTrue="1" operator="equal">
      <formula>"2 Add"</formula>
    </cfRule>
  </conditionalFormatting>
  <conditionalFormatting sqref="C1322">
    <cfRule type="cellIs" dxfId="2136" priority="3963" stopIfTrue="1" operator="equal">
      <formula>"3 Delete"</formula>
    </cfRule>
  </conditionalFormatting>
  <conditionalFormatting sqref="C1323">
    <cfRule type="cellIs" dxfId="2135" priority="3964" stopIfTrue="1" operator="equal">
      <formula>"1 Modify"</formula>
    </cfRule>
  </conditionalFormatting>
  <conditionalFormatting sqref="C1323">
    <cfRule type="cellIs" dxfId="2134" priority="3965" stopIfTrue="1" operator="equal">
      <formula>"2 Add"</formula>
    </cfRule>
  </conditionalFormatting>
  <conditionalFormatting sqref="C1323">
    <cfRule type="cellIs" dxfId="2133" priority="3966" stopIfTrue="1" operator="equal">
      <formula>"3 Delete"</formula>
    </cfRule>
  </conditionalFormatting>
  <conditionalFormatting sqref="C1324">
    <cfRule type="cellIs" dxfId="2132" priority="3967" stopIfTrue="1" operator="equal">
      <formula>"1 Modify"</formula>
    </cfRule>
  </conditionalFormatting>
  <conditionalFormatting sqref="C1324">
    <cfRule type="cellIs" dxfId="2131" priority="3968" stopIfTrue="1" operator="equal">
      <formula>"2 Add"</formula>
    </cfRule>
  </conditionalFormatting>
  <conditionalFormatting sqref="C1324">
    <cfRule type="cellIs" dxfId="2130" priority="3969" stopIfTrue="1" operator="equal">
      <formula>"3 Delete"</formula>
    </cfRule>
  </conditionalFormatting>
  <conditionalFormatting sqref="C1325">
    <cfRule type="cellIs" dxfId="2129" priority="3970" stopIfTrue="1" operator="equal">
      <formula>"1 Modify"</formula>
    </cfRule>
  </conditionalFormatting>
  <conditionalFormatting sqref="C1325">
    <cfRule type="cellIs" dxfId="2128" priority="3971" stopIfTrue="1" operator="equal">
      <formula>"2 Add"</formula>
    </cfRule>
  </conditionalFormatting>
  <conditionalFormatting sqref="C1325">
    <cfRule type="cellIs" dxfId="2127" priority="3972" stopIfTrue="1" operator="equal">
      <formula>"3 Delete"</formula>
    </cfRule>
  </conditionalFormatting>
  <conditionalFormatting sqref="C1326">
    <cfRule type="cellIs" dxfId="2126" priority="3973" stopIfTrue="1" operator="equal">
      <formula>"1 Modify"</formula>
    </cfRule>
  </conditionalFormatting>
  <conditionalFormatting sqref="C1326">
    <cfRule type="cellIs" dxfId="2125" priority="3974" stopIfTrue="1" operator="equal">
      <formula>"2 Add"</formula>
    </cfRule>
  </conditionalFormatting>
  <conditionalFormatting sqref="C1326">
    <cfRule type="cellIs" dxfId="2124" priority="3975" stopIfTrue="1" operator="equal">
      <formula>"3 Delete"</formula>
    </cfRule>
  </conditionalFormatting>
  <conditionalFormatting sqref="C1327">
    <cfRule type="cellIs" dxfId="2123" priority="3976" stopIfTrue="1" operator="equal">
      <formula>"1 Modify"</formula>
    </cfRule>
  </conditionalFormatting>
  <conditionalFormatting sqref="C1327">
    <cfRule type="cellIs" dxfId="2122" priority="3977" stopIfTrue="1" operator="equal">
      <formula>"2 Add"</formula>
    </cfRule>
  </conditionalFormatting>
  <conditionalFormatting sqref="C1327">
    <cfRule type="cellIs" dxfId="2121" priority="3978" stopIfTrue="1" operator="equal">
      <formula>"3 Delete"</formula>
    </cfRule>
  </conditionalFormatting>
  <conditionalFormatting sqref="C1328">
    <cfRule type="cellIs" dxfId="2120" priority="3979" stopIfTrue="1" operator="equal">
      <formula>"1 Modify"</formula>
    </cfRule>
  </conditionalFormatting>
  <conditionalFormatting sqref="C1328">
    <cfRule type="cellIs" dxfId="2119" priority="3980" stopIfTrue="1" operator="equal">
      <formula>"2 Add"</formula>
    </cfRule>
  </conditionalFormatting>
  <conditionalFormatting sqref="C1328">
    <cfRule type="cellIs" dxfId="2118" priority="3981" stopIfTrue="1" operator="equal">
      <formula>"3 Delete"</formula>
    </cfRule>
  </conditionalFormatting>
  <conditionalFormatting sqref="C1329">
    <cfRule type="cellIs" dxfId="2117" priority="3982" stopIfTrue="1" operator="equal">
      <formula>"1 Modify"</formula>
    </cfRule>
  </conditionalFormatting>
  <conditionalFormatting sqref="C1329">
    <cfRule type="cellIs" dxfId="2116" priority="3983" stopIfTrue="1" operator="equal">
      <formula>"2 Add"</formula>
    </cfRule>
  </conditionalFormatting>
  <conditionalFormatting sqref="C1329">
    <cfRule type="cellIs" dxfId="2115" priority="3984" stopIfTrue="1" operator="equal">
      <formula>"3 Delete"</formula>
    </cfRule>
  </conditionalFormatting>
  <conditionalFormatting sqref="C1330">
    <cfRule type="cellIs" dxfId="2114" priority="3985" stopIfTrue="1" operator="equal">
      <formula>"1 Modify"</formula>
    </cfRule>
  </conditionalFormatting>
  <conditionalFormatting sqref="C1330">
    <cfRule type="cellIs" dxfId="2113" priority="3986" stopIfTrue="1" operator="equal">
      <formula>"2 Add"</formula>
    </cfRule>
  </conditionalFormatting>
  <conditionalFormatting sqref="C1330">
    <cfRule type="cellIs" dxfId="2112" priority="3987" stopIfTrue="1" operator="equal">
      <formula>"3 Delete"</formula>
    </cfRule>
  </conditionalFormatting>
  <conditionalFormatting sqref="C1331">
    <cfRule type="cellIs" dxfId="2111" priority="3988" stopIfTrue="1" operator="equal">
      <formula>"1 Modify"</formula>
    </cfRule>
  </conditionalFormatting>
  <conditionalFormatting sqref="C1331">
    <cfRule type="cellIs" dxfId="2110" priority="3989" stopIfTrue="1" operator="equal">
      <formula>"2 Add"</formula>
    </cfRule>
  </conditionalFormatting>
  <conditionalFormatting sqref="C1331">
    <cfRule type="cellIs" dxfId="2109" priority="3990" stopIfTrue="1" operator="equal">
      <formula>"3 Delete"</formula>
    </cfRule>
  </conditionalFormatting>
  <conditionalFormatting sqref="C1332">
    <cfRule type="cellIs" dxfId="2108" priority="3991" stopIfTrue="1" operator="equal">
      <formula>"1 Modify"</formula>
    </cfRule>
  </conditionalFormatting>
  <conditionalFormatting sqref="C1332">
    <cfRule type="cellIs" dxfId="2107" priority="3992" stopIfTrue="1" operator="equal">
      <formula>"2 Add"</formula>
    </cfRule>
  </conditionalFormatting>
  <conditionalFormatting sqref="C1332">
    <cfRule type="cellIs" dxfId="2106" priority="3993" stopIfTrue="1" operator="equal">
      <formula>"3 Delete"</formula>
    </cfRule>
  </conditionalFormatting>
  <conditionalFormatting sqref="C1333">
    <cfRule type="cellIs" dxfId="2105" priority="3994" stopIfTrue="1" operator="equal">
      <formula>"1 Modify"</formula>
    </cfRule>
  </conditionalFormatting>
  <conditionalFormatting sqref="C1333">
    <cfRule type="cellIs" dxfId="2104" priority="3995" stopIfTrue="1" operator="equal">
      <formula>"2 Add"</formula>
    </cfRule>
  </conditionalFormatting>
  <conditionalFormatting sqref="C1333">
    <cfRule type="cellIs" dxfId="2103" priority="3996" stopIfTrue="1" operator="equal">
      <formula>"3 Delete"</formula>
    </cfRule>
  </conditionalFormatting>
  <conditionalFormatting sqref="C1334">
    <cfRule type="cellIs" dxfId="2102" priority="3997" stopIfTrue="1" operator="equal">
      <formula>"1 Modify"</formula>
    </cfRule>
  </conditionalFormatting>
  <conditionalFormatting sqref="C1334">
    <cfRule type="cellIs" dxfId="2101" priority="3998" stopIfTrue="1" operator="equal">
      <formula>"2 Add"</formula>
    </cfRule>
  </conditionalFormatting>
  <conditionalFormatting sqref="C1334">
    <cfRule type="cellIs" dxfId="2100" priority="3999" stopIfTrue="1" operator="equal">
      <formula>"3 Delete"</formula>
    </cfRule>
  </conditionalFormatting>
  <conditionalFormatting sqref="C1335">
    <cfRule type="cellIs" dxfId="2099" priority="4000" stopIfTrue="1" operator="equal">
      <formula>"1 Modify"</formula>
    </cfRule>
  </conditionalFormatting>
  <conditionalFormatting sqref="C1335">
    <cfRule type="cellIs" dxfId="2098" priority="4001" stopIfTrue="1" operator="equal">
      <formula>"2 Add"</formula>
    </cfRule>
  </conditionalFormatting>
  <conditionalFormatting sqref="C1335">
    <cfRule type="cellIs" dxfId="2097" priority="4002" stopIfTrue="1" operator="equal">
      <formula>"3 Delete"</formula>
    </cfRule>
  </conditionalFormatting>
  <conditionalFormatting sqref="C1336">
    <cfRule type="cellIs" dxfId="2096" priority="4003" stopIfTrue="1" operator="equal">
      <formula>"1 Modify"</formula>
    </cfRule>
  </conditionalFormatting>
  <conditionalFormatting sqref="C1336">
    <cfRule type="cellIs" dxfId="2095" priority="4004" stopIfTrue="1" operator="equal">
      <formula>"2 Add"</formula>
    </cfRule>
  </conditionalFormatting>
  <conditionalFormatting sqref="C1336">
    <cfRule type="cellIs" dxfId="2094" priority="4005" stopIfTrue="1" operator="equal">
      <formula>"3 Delete"</formula>
    </cfRule>
  </conditionalFormatting>
  <conditionalFormatting sqref="C1337">
    <cfRule type="cellIs" dxfId="2093" priority="4006" stopIfTrue="1" operator="equal">
      <formula>"1 Modify"</formula>
    </cfRule>
  </conditionalFormatting>
  <conditionalFormatting sqref="C1337">
    <cfRule type="cellIs" dxfId="2092" priority="4007" stopIfTrue="1" operator="equal">
      <formula>"2 Add"</formula>
    </cfRule>
  </conditionalFormatting>
  <conditionalFormatting sqref="C1337">
    <cfRule type="cellIs" dxfId="2091" priority="4008" stopIfTrue="1" operator="equal">
      <formula>"3 Delete"</formula>
    </cfRule>
  </conditionalFormatting>
  <conditionalFormatting sqref="C1338">
    <cfRule type="cellIs" dxfId="2090" priority="4009" stopIfTrue="1" operator="equal">
      <formula>"1 Modify"</formula>
    </cfRule>
  </conditionalFormatting>
  <conditionalFormatting sqref="C1338">
    <cfRule type="cellIs" dxfId="2089" priority="4010" stopIfTrue="1" operator="equal">
      <formula>"2 Add"</formula>
    </cfRule>
  </conditionalFormatting>
  <conditionalFormatting sqref="C1338">
    <cfRule type="cellIs" dxfId="2088" priority="4011" stopIfTrue="1" operator="equal">
      <formula>"3 Delete"</formula>
    </cfRule>
  </conditionalFormatting>
  <conditionalFormatting sqref="C1339">
    <cfRule type="cellIs" dxfId="2087" priority="4012" stopIfTrue="1" operator="equal">
      <formula>"1 Modify"</formula>
    </cfRule>
  </conditionalFormatting>
  <conditionalFormatting sqref="C1339">
    <cfRule type="cellIs" dxfId="2086" priority="4013" stopIfTrue="1" operator="equal">
      <formula>"2 Add"</formula>
    </cfRule>
  </conditionalFormatting>
  <conditionalFormatting sqref="C1339">
    <cfRule type="cellIs" dxfId="2085" priority="4014" stopIfTrue="1" operator="equal">
      <formula>"3 Delete"</formula>
    </cfRule>
  </conditionalFormatting>
  <conditionalFormatting sqref="C1340">
    <cfRule type="cellIs" dxfId="2084" priority="4015" stopIfTrue="1" operator="equal">
      <formula>"1 Modify"</formula>
    </cfRule>
  </conditionalFormatting>
  <conditionalFormatting sqref="C1340">
    <cfRule type="cellIs" dxfId="2083" priority="4016" stopIfTrue="1" operator="equal">
      <formula>"2 Add"</formula>
    </cfRule>
  </conditionalFormatting>
  <conditionalFormatting sqref="C1340">
    <cfRule type="cellIs" dxfId="2082" priority="4017" stopIfTrue="1" operator="equal">
      <formula>"3 Delete"</formula>
    </cfRule>
  </conditionalFormatting>
  <conditionalFormatting sqref="C1341">
    <cfRule type="cellIs" dxfId="2081" priority="4018" stopIfTrue="1" operator="equal">
      <formula>"1 Modify"</formula>
    </cfRule>
  </conditionalFormatting>
  <conditionalFormatting sqref="C1341">
    <cfRule type="cellIs" dxfId="2080" priority="4019" stopIfTrue="1" operator="equal">
      <formula>"2 Add"</formula>
    </cfRule>
  </conditionalFormatting>
  <conditionalFormatting sqref="C1341">
    <cfRule type="cellIs" dxfId="2079" priority="4020" stopIfTrue="1" operator="equal">
      <formula>"3 Delete"</formula>
    </cfRule>
  </conditionalFormatting>
  <conditionalFormatting sqref="C1342">
    <cfRule type="cellIs" dxfId="2078" priority="4021" stopIfTrue="1" operator="equal">
      <formula>"1 Modify"</formula>
    </cfRule>
  </conditionalFormatting>
  <conditionalFormatting sqref="C1342">
    <cfRule type="cellIs" dxfId="2077" priority="4022" stopIfTrue="1" operator="equal">
      <formula>"2 Add"</formula>
    </cfRule>
  </conditionalFormatting>
  <conditionalFormatting sqref="C1342">
    <cfRule type="cellIs" dxfId="2076" priority="4023" stopIfTrue="1" operator="equal">
      <formula>"3 Delete"</formula>
    </cfRule>
  </conditionalFormatting>
  <conditionalFormatting sqref="C1343">
    <cfRule type="cellIs" dxfId="2075" priority="4024" stopIfTrue="1" operator="equal">
      <formula>"1 Modify"</formula>
    </cfRule>
  </conditionalFormatting>
  <conditionalFormatting sqref="C1343">
    <cfRule type="cellIs" dxfId="2074" priority="4025" stopIfTrue="1" operator="equal">
      <formula>"2 Add"</formula>
    </cfRule>
  </conditionalFormatting>
  <conditionalFormatting sqref="C1343">
    <cfRule type="cellIs" dxfId="2073" priority="4026" stopIfTrue="1" operator="equal">
      <formula>"3 Delete"</formula>
    </cfRule>
  </conditionalFormatting>
  <conditionalFormatting sqref="C1344">
    <cfRule type="cellIs" dxfId="2072" priority="4027" stopIfTrue="1" operator="equal">
      <formula>"1 Modify"</formula>
    </cfRule>
  </conditionalFormatting>
  <conditionalFormatting sqref="C1344">
    <cfRule type="cellIs" dxfId="2071" priority="4028" stopIfTrue="1" operator="equal">
      <formula>"2 Add"</formula>
    </cfRule>
  </conditionalFormatting>
  <conditionalFormatting sqref="C1344">
    <cfRule type="cellIs" dxfId="2070" priority="4029" stopIfTrue="1" operator="equal">
      <formula>"3 Delete"</formula>
    </cfRule>
  </conditionalFormatting>
  <conditionalFormatting sqref="C1345">
    <cfRule type="cellIs" dxfId="2069" priority="4030" stopIfTrue="1" operator="equal">
      <formula>"1 Modify"</formula>
    </cfRule>
  </conditionalFormatting>
  <conditionalFormatting sqref="C1345">
    <cfRule type="cellIs" dxfId="2068" priority="4031" stopIfTrue="1" operator="equal">
      <formula>"2 Add"</formula>
    </cfRule>
  </conditionalFormatting>
  <conditionalFormatting sqref="C1345">
    <cfRule type="cellIs" dxfId="2067" priority="4032" stopIfTrue="1" operator="equal">
      <formula>"3 Delete"</formula>
    </cfRule>
  </conditionalFormatting>
  <conditionalFormatting sqref="C1346">
    <cfRule type="cellIs" dxfId="2066" priority="4033" stopIfTrue="1" operator="equal">
      <formula>"1 Modify"</formula>
    </cfRule>
  </conditionalFormatting>
  <conditionalFormatting sqref="C1346">
    <cfRule type="cellIs" dxfId="2065" priority="4034" stopIfTrue="1" operator="equal">
      <formula>"2 Add"</formula>
    </cfRule>
  </conditionalFormatting>
  <conditionalFormatting sqref="C1346">
    <cfRule type="cellIs" dxfId="2064" priority="4035" stopIfTrue="1" operator="equal">
      <formula>"3 Delete"</formula>
    </cfRule>
  </conditionalFormatting>
  <conditionalFormatting sqref="C1347">
    <cfRule type="cellIs" dxfId="2063" priority="4036" stopIfTrue="1" operator="equal">
      <formula>"1 Modify"</formula>
    </cfRule>
  </conditionalFormatting>
  <conditionalFormatting sqref="C1347">
    <cfRule type="cellIs" dxfId="2062" priority="4037" stopIfTrue="1" operator="equal">
      <formula>"2 Add"</formula>
    </cfRule>
  </conditionalFormatting>
  <conditionalFormatting sqref="C1347">
    <cfRule type="cellIs" dxfId="2061" priority="4038" stopIfTrue="1" operator="equal">
      <formula>"3 Delete"</formula>
    </cfRule>
  </conditionalFormatting>
  <conditionalFormatting sqref="C1348">
    <cfRule type="cellIs" dxfId="2060" priority="4039" stopIfTrue="1" operator="equal">
      <formula>"1 Modify"</formula>
    </cfRule>
  </conditionalFormatting>
  <conditionalFormatting sqref="C1348">
    <cfRule type="cellIs" dxfId="2059" priority="4040" stopIfTrue="1" operator="equal">
      <formula>"2 Add"</formula>
    </cfRule>
  </conditionalFormatting>
  <conditionalFormatting sqref="C1348">
    <cfRule type="cellIs" dxfId="2058" priority="4041" stopIfTrue="1" operator="equal">
      <formula>"3 Delete"</formula>
    </cfRule>
  </conditionalFormatting>
  <conditionalFormatting sqref="C1349">
    <cfRule type="cellIs" dxfId="2057" priority="4042" stopIfTrue="1" operator="equal">
      <formula>"1 Modify"</formula>
    </cfRule>
  </conditionalFormatting>
  <conditionalFormatting sqref="C1349">
    <cfRule type="cellIs" dxfId="2056" priority="4043" stopIfTrue="1" operator="equal">
      <formula>"2 Add"</formula>
    </cfRule>
  </conditionalFormatting>
  <conditionalFormatting sqref="C1349">
    <cfRule type="cellIs" dxfId="2055" priority="4044" stopIfTrue="1" operator="equal">
      <formula>"3 Delete"</formula>
    </cfRule>
  </conditionalFormatting>
  <conditionalFormatting sqref="C1350">
    <cfRule type="cellIs" dxfId="2054" priority="4045" stopIfTrue="1" operator="equal">
      <formula>"1 Modify"</formula>
    </cfRule>
  </conditionalFormatting>
  <conditionalFormatting sqref="C1350">
    <cfRule type="cellIs" dxfId="2053" priority="4046" stopIfTrue="1" operator="equal">
      <formula>"2 Add"</formula>
    </cfRule>
  </conditionalFormatting>
  <conditionalFormatting sqref="C1350">
    <cfRule type="cellIs" dxfId="2052" priority="4047" stopIfTrue="1" operator="equal">
      <formula>"3 Delete"</formula>
    </cfRule>
  </conditionalFormatting>
  <conditionalFormatting sqref="C1351">
    <cfRule type="cellIs" dxfId="2051" priority="4048" stopIfTrue="1" operator="equal">
      <formula>"1 Modify"</formula>
    </cfRule>
  </conditionalFormatting>
  <conditionalFormatting sqref="C1351">
    <cfRule type="cellIs" dxfId="2050" priority="4049" stopIfTrue="1" operator="equal">
      <formula>"2 Add"</formula>
    </cfRule>
  </conditionalFormatting>
  <conditionalFormatting sqref="C1351">
    <cfRule type="cellIs" dxfId="2049" priority="4050" stopIfTrue="1" operator="equal">
      <formula>"3 Delete"</formula>
    </cfRule>
  </conditionalFormatting>
  <conditionalFormatting sqref="C1352">
    <cfRule type="cellIs" dxfId="2048" priority="4051" stopIfTrue="1" operator="equal">
      <formula>"1 Modify"</formula>
    </cfRule>
  </conditionalFormatting>
  <conditionalFormatting sqref="C1352">
    <cfRule type="cellIs" dxfId="2047" priority="4052" stopIfTrue="1" operator="equal">
      <formula>"2 Add"</formula>
    </cfRule>
  </conditionalFormatting>
  <conditionalFormatting sqref="C1352">
    <cfRule type="cellIs" dxfId="2046" priority="4053" stopIfTrue="1" operator="equal">
      <formula>"3 Delete"</formula>
    </cfRule>
  </conditionalFormatting>
  <conditionalFormatting sqref="C1353">
    <cfRule type="cellIs" dxfId="2045" priority="4054" stopIfTrue="1" operator="equal">
      <formula>"1 Modify"</formula>
    </cfRule>
  </conditionalFormatting>
  <conditionalFormatting sqref="C1353">
    <cfRule type="cellIs" dxfId="2044" priority="4055" stopIfTrue="1" operator="equal">
      <formula>"2 Add"</formula>
    </cfRule>
  </conditionalFormatting>
  <conditionalFormatting sqref="C1353">
    <cfRule type="cellIs" dxfId="2043" priority="4056" stopIfTrue="1" operator="equal">
      <formula>"3 Delete"</formula>
    </cfRule>
  </conditionalFormatting>
  <conditionalFormatting sqref="C1354">
    <cfRule type="cellIs" dxfId="2042" priority="4057" stopIfTrue="1" operator="equal">
      <formula>"1 Modify"</formula>
    </cfRule>
  </conditionalFormatting>
  <conditionalFormatting sqref="C1354">
    <cfRule type="cellIs" dxfId="2041" priority="4058" stopIfTrue="1" operator="equal">
      <formula>"2 Add"</formula>
    </cfRule>
  </conditionalFormatting>
  <conditionalFormatting sqref="C1354">
    <cfRule type="cellIs" dxfId="2040" priority="4059" stopIfTrue="1" operator="equal">
      <formula>"3 Delete"</formula>
    </cfRule>
  </conditionalFormatting>
  <conditionalFormatting sqref="C1355">
    <cfRule type="cellIs" dxfId="2039" priority="4060" stopIfTrue="1" operator="equal">
      <formula>"1 Modify"</formula>
    </cfRule>
  </conditionalFormatting>
  <conditionalFormatting sqref="C1355">
    <cfRule type="cellIs" dxfId="2038" priority="4061" stopIfTrue="1" operator="equal">
      <formula>"2 Add"</formula>
    </cfRule>
  </conditionalFormatting>
  <conditionalFormatting sqref="C1355">
    <cfRule type="cellIs" dxfId="2037" priority="4062" stopIfTrue="1" operator="equal">
      <formula>"3 Delete"</formula>
    </cfRule>
  </conditionalFormatting>
  <conditionalFormatting sqref="C1356">
    <cfRule type="cellIs" dxfId="2036" priority="4063" stopIfTrue="1" operator="equal">
      <formula>"1 Modify"</formula>
    </cfRule>
  </conditionalFormatting>
  <conditionalFormatting sqref="C1356">
    <cfRule type="cellIs" dxfId="2035" priority="4064" stopIfTrue="1" operator="equal">
      <formula>"2 Add"</formula>
    </cfRule>
  </conditionalFormatting>
  <conditionalFormatting sqref="C1356">
    <cfRule type="cellIs" dxfId="2034" priority="4065" stopIfTrue="1" operator="equal">
      <formula>"3 Delete"</formula>
    </cfRule>
  </conditionalFormatting>
  <conditionalFormatting sqref="C1357">
    <cfRule type="cellIs" dxfId="2033" priority="4066" stopIfTrue="1" operator="equal">
      <formula>"1 Modify"</formula>
    </cfRule>
  </conditionalFormatting>
  <conditionalFormatting sqref="C1357">
    <cfRule type="cellIs" dxfId="2032" priority="4067" stopIfTrue="1" operator="equal">
      <formula>"2 Add"</formula>
    </cfRule>
  </conditionalFormatting>
  <conditionalFormatting sqref="C1357">
    <cfRule type="cellIs" dxfId="2031" priority="4068" stopIfTrue="1" operator="equal">
      <formula>"3 Delete"</formula>
    </cfRule>
  </conditionalFormatting>
  <conditionalFormatting sqref="C1358">
    <cfRule type="cellIs" dxfId="2030" priority="4069" stopIfTrue="1" operator="equal">
      <formula>"1 Modify"</formula>
    </cfRule>
  </conditionalFormatting>
  <conditionalFormatting sqref="C1358">
    <cfRule type="cellIs" dxfId="2029" priority="4070" stopIfTrue="1" operator="equal">
      <formula>"2 Add"</formula>
    </cfRule>
  </conditionalFormatting>
  <conditionalFormatting sqref="C1358">
    <cfRule type="cellIs" dxfId="2028" priority="4071" stopIfTrue="1" operator="equal">
      <formula>"3 Delete"</formula>
    </cfRule>
  </conditionalFormatting>
  <conditionalFormatting sqref="C1359">
    <cfRule type="cellIs" dxfId="2027" priority="4072" stopIfTrue="1" operator="equal">
      <formula>"1 Modify"</formula>
    </cfRule>
  </conditionalFormatting>
  <conditionalFormatting sqref="C1359">
    <cfRule type="cellIs" dxfId="2026" priority="4073" stopIfTrue="1" operator="equal">
      <formula>"2 Add"</formula>
    </cfRule>
  </conditionalFormatting>
  <conditionalFormatting sqref="C1359">
    <cfRule type="cellIs" dxfId="2025" priority="4074" stopIfTrue="1" operator="equal">
      <formula>"3 Delete"</formula>
    </cfRule>
  </conditionalFormatting>
  <conditionalFormatting sqref="C1360">
    <cfRule type="cellIs" dxfId="2024" priority="4075" stopIfTrue="1" operator="equal">
      <formula>"1 Modify"</formula>
    </cfRule>
  </conditionalFormatting>
  <conditionalFormatting sqref="C1360">
    <cfRule type="cellIs" dxfId="2023" priority="4076" stopIfTrue="1" operator="equal">
      <formula>"2 Add"</formula>
    </cfRule>
  </conditionalFormatting>
  <conditionalFormatting sqref="C1360">
    <cfRule type="cellIs" dxfId="2022" priority="4077" stopIfTrue="1" operator="equal">
      <formula>"3 Delete"</formula>
    </cfRule>
  </conditionalFormatting>
  <conditionalFormatting sqref="C1361">
    <cfRule type="cellIs" dxfId="2021" priority="4078" stopIfTrue="1" operator="equal">
      <formula>"1 Modify"</formula>
    </cfRule>
  </conditionalFormatting>
  <conditionalFormatting sqref="C1361">
    <cfRule type="cellIs" dxfId="2020" priority="4079" stopIfTrue="1" operator="equal">
      <formula>"2 Add"</formula>
    </cfRule>
  </conditionalFormatting>
  <conditionalFormatting sqref="C1361">
    <cfRule type="cellIs" dxfId="2019" priority="4080" stopIfTrue="1" operator="equal">
      <formula>"3 Delete"</formula>
    </cfRule>
  </conditionalFormatting>
  <conditionalFormatting sqref="C1362">
    <cfRule type="cellIs" dxfId="2018" priority="4081" stopIfTrue="1" operator="equal">
      <formula>"1 Modify"</formula>
    </cfRule>
  </conditionalFormatting>
  <conditionalFormatting sqref="C1362">
    <cfRule type="cellIs" dxfId="2017" priority="4082" stopIfTrue="1" operator="equal">
      <formula>"2 Add"</formula>
    </cfRule>
  </conditionalFormatting>
  <conditionalFormatting sqref="C1362">
    <cfRule type="cellIs" dxfId="2016" priority="4083" stopIfTrue="1" operator="equal">
      <formula>"3 Delete"</formula>
    </cfRule>
  </conditionalFormatting>
  <conditionalFormatting sqref="C1363">
    <cfRule type="cellIs" dxfId="2015" priority="4084" stopIfTrue="1" operator="equal">
      <formula>"1 Modify"</formula>
    </cfRule>
  </conditionalFormatting>
  <conditionalFormatting sqref="C1363">
    <cfRule type="cellIs" dxfId="2014" priority="4085" stopIfTrue="1" operator="equal">
      <formula>"2 Add"</formula>
    </cfRule>
  </conditionalFormatting>
  <conditionalFormatting sqref="C1363">
    <cfRule type="cellIs" dxfId="2013" priority="4086" stopIfTrue="1" operator="equal">
      <formula>"3 Delete"</formula>
    </cfRule>
  </conditionalFormatting>
  <conditionalFormatting sqref="C1364">
    <cfRule type="cellIs" dxfId="2012" priority="4087" stopIfTrue="1" operator="equal">
      <formula>"1 Modify"</formula>
    </cfRule>
  </conditionalFormatting>
  <conditionalFormatting sqref="C1364">
    <cfRule type="cellIs" dxfId="2011" priority="4088" stopIfTrue="1" operator="equal">
      <formula>"2 Add"</formula>
    </cfRule>
  </conditionalFormatting>
  <conditionalFormatting sqref="C1364">
    <cfRule type="cellIs" dxfId="2010" priority="4089" stopIfTrue="1" operator="equal">
      <formula>"3 Delete"</formula>
    </cfRule>
  </conditionalFormatting>
  <conditionalFormatting sqref="C1365">
    <cfRule type="cellIs" dxfId="2009" priority="4090" stopIfTrue="1" operator="equal">
      <formula>"1 Modify"</formula>
    </cfRule>
  </conditionalFormatting>
  <conditionalFormatting sqref="C1365">
    <cfRule type="cellIs" dxfId="2008" priority="4091" stopIfTrue="1" operator="equal">
      <formula>"2 Add"</formula>
    </cfRule>
  </conditionalFormatting>
  <conditionalFormatting sqref="C1365">
    <cfRule type="cellIs" dxfId="2007" priority="4092" stopIfTrue="1" operator="equal">
      <formula>"3 Delete"</formula>
    </cfRule>
  </conditionalFormatting>
  <conditionalFormatting sqref="C1366">
    <cfRule type="cellIs" dxfId="2006" priority="4093" stopIfTrue="1" operator="equal">
      <formula>"1 Modify"</formula>
    </cfRule>
  </conditionalFormatting>
  <conditionalFormatting sqref="C1366">
    <cfRule type="cellIs" dxfId="2005" priority="4094" stopIfTrue="1" operator="equal">
      <formula>"2 Add"</formula>
    </cfRule>
  </conditionalFormatting>
  <conditionalFormatting sqref="C1366">
    <cfRule type="cellIs" dxfId="2004" priority="4095" stopIfTrue="1" operator="equal">
      <formula>"3 Delete"</formula>
    </cfRule>
  </conditionalFormatting>
  <conditionalFormatting sqref="C1367">
    <cfRule type="cellIs" dxfId="2003" priority="4096" stopIfTrue="1" operator="equal">
      <formula>"1 Modify"</formula>
    </cfRule>
  </conditionalFormatting>
  <conditionalFormatting sqref="C1367">
    <cfRule type="cellIs" dxfId="2002" priority="4097" stopIfTrue="1" operator="equal">
      <formula>"2 Add"</formula>
    </cfRule>
  </conditionalFormatting>
  <conditionalFormatting sqref="C1367">
    <cfRule type="cellIs" dxfId="2001" priority="4098" stopIfTrue="1" operator="equal">
      <formula>"3 Delete"</formula>
    </cfRule>
  </conditionalFormatting>
  <conditionalFormatting sqref="C1368">
    <cfRule type="cellIs" dxfId="2000" priority="4099" stopIfTrue="1" operator="equal">
      <formula>"1 Modify"</formula>
    </cfRule>
  </conditionalFormatting>
  <conditionalFormatting sqref="C1368">
    <cfRule type="cellIs" dxfId="1999" priority="4100" stopIfTrue="1" operator="equal">
      <formula>"2 Add"</formula>
    </cfRule>
  </conditionalFormatting>
  <conditionalFormatting sqref="C1368">
    <cfRule type="cellIs" dxfId="1998" priority="4101" stopIfTrue="1" operator="equal">
      <formula>"3 Delete"</formula>
    </cfRule>
  </conditionalFormatting>
  <conditionalFormatting sqref="C1369">
    <cfRule type="cellIs" dxfId="1997" priority="4102" stopIfTrue="1" operator="equal">
      <formula>"1 Modify"</formula>
    </cfRule>
  </conditionalFormatting>
  <conditionalFormatting sqref="C1369">
    <cfRule type="cellIs" dxfId="1996" priority="4103" stopIfTrue="1" operator="equal">
      <formula>"2 Add"</formula>
    </cfRule>
  </conditionalFormatting>
  <conditionalFormatting sqref="C1369">
    <cfRule type="cellIs" dxfId="1995" priority="4104" stopIfTrue="1" operator="equal">
      <formula>"3 Delete"</formula>
    </cfRule>
  </conditionalFormatting>
  <conditionalFormatting sqref="C1370">
    <cfRule type="cellIs" dxfId="1994" priority="4105" stopIfTrue="1" operator="equal">
      <formula>"1 Modify"</formula>
    </cfRule>
  </conditionalFormatting>
  <conditionalFormatting sqref="C1370">
    <cfRule type="cellIs" dxfId="1993" priority="4106" stopIfTrue="1" operator="equal">
      <formula>"2 Add"</formula>
    </cfRule>
  </conditionalFormatting>
  <conditionalFormatting sqref="C1370">
    <cfRule type="cellIs" dxfId="1992" priority="4107" stopIfTrue="1" operator="equal">
      <formula>"3 Delete"</formula>
    </cfRule>
  </conditionalFormatting>
  <conditionalFormatting sqref="C1371">
    <cfRule type="cellIs" dxfId="1991" priority="4108" stopIfTrue="1" operator="equal">
      <formula>"1 Modify"</formula>
    </cfRule>
  </conditionalFormatting>
  <conditionalFormatting sqref="C1371">
    <cfRule type="cellIs" dxfId="1990" priority="4109" stopIfTrue="1" operator="equal">
      <formula>"2 Add"</formula>
    </cfRule>
  </conditionalFormatting>
  <conditionalFormatting sqref="C1371">
    <cfRule type="cellIs" dxfId="1989" priority="4110" stopIfTrue="1" operator="equal">
      <formula>"3 Delete"</formula>
    </cfRule>
  </conditionalFormatting>
  <conditionalFormatting sqref="C1372">
    <cfRule type="cellIs" dxfId="1988" priority="4111" stopIfTrue="1" operator="equal">
      <formula>"1 Modify"</formula>
    </cfRule>
  </conditionalFormatting>
  <conditionalFormatting sqref="C1372">
    <cfRule type="cellIs" dxfId="1987" priority="4112" stopIfTrue="1" operator="equal">
      <formula>"2 Add"</formula>
    </cfRule>
  </conditionalFormatting>
  <conditionalFormatting sqref="C1372">
    <cfRule type="cellIs" dxfId="1986" priority="4113" stopIfTrue="1" operator="equal">
      <formula>"3 Delete"</formula>
    </cfRule>
  </conditionalFormatting>
  <conditionalFormatting sqref="C1373">
    <cfRule type="cellIs" dxfId="1985" priority="4114" stopIfTrue="1" operator="equal">
      <formula>"1 Modify"</formula>
    </cfRule>
  </conditionalFormatting>
  <conditionalFormatting sqref="C1373">
    <cfRule type="cellIs" dxfId="1984" priority="4115" stopIfTrue="1" operator="equal">
      <formula>"2 Add"</formula>
    </cfRule>
  </conditionalFormatting>
  <conditionalFormatting sqref="C1373">
    <cfRule type="cellIs" dxfId="1983" priority="4116" stopIfTrue="1" operator="equal">
      <formula>"3 Delete"</formula>
    </cfRule>
  </conditionalFormatting>
  <conditionalFormatting sqref="C1374">
    <cfRule type="cellIs" dxfId="1982" priority="4117" stopIfTrue="1" operator="equal">
      <formula>"1 Modify"</formula>
    </cfRule>
  </conditionalFormatting>
  <conditionalFormatting sqref="C1374">
    <cfRule type="cellIs" dxfId="1981" priority="4118" stopIfTrue="1" operator="equal">
      <formula>"2 Add"</formula>
    </cfRule>
  </conditionalFormatting>
  <conditionalFormatting sqref="C1374">
    <cfRule type="cellIs" dxfId="1980" priority="4119" stopIfTrue="1" operator="equal">
      <formula>"3 Delete"</formula>
    </cfRule>
  </conditionalFormatting>
  <conditionalFormatting sqref="C1375">
    <cfRule type="cellIs" dxfId="1979" priority="4120" stopIfTrue="1" operator="equal">
      <formula>"1 Modify"</formula>
    </cfRule>
  </conditionalFormatting>
  <conditionalFormatting sqref="C1375">
    <cfRule type="cellIs" dxfId="1978" priority="4121" stopIfTrue="1" operator="equal">
      <formula>"2 Add"</formula>
    </cfRule>
  </conditionalFormatting>
  <conditionalFormatting sqref="C1375">
    <cfRule type="cellIs" dxfId="1977" priority="4122" stopIfTrue="1" operator="equal">
      <formula>"3 Delete"</formula>
    </cfRule>
  </conditionalFormatting>
  <conditionalFormatting sqref="C1376">
    <cfRule type="cellIs" dxfId="1976" priority="4123" stopIfTrue="1" operator="equal">
      <formula>"1 Modify"</formula>
    </cfRule>
  </conditionalFormatting>
  <conditionalFormatting sqref="C1376">
    <cfRule type="cellIs" dxfId="1975" priority="4124" stopIfTrue="1" operator="equal">
      <formula>"2 Add"</formula>
    </cfRule>
  </conditionalFormatting>
  <conditionalFormatting sqref="C1376">
    <cfRule type="cellIs" dxfId="1974" priority="4125" stopIfTrue="1" operator="equal">
      <formula>"3 Delete"</formula>
    </cfRule>
  </conditionalFormatting>
  <conditionalFormatting sqref="C1377">
    <cfRule type="cellIs" dxfId="1973" priority="4126" stopIfTrue="1" operator="equal">
      <formula>"1 Modify"</formula>
    </cfRule>
  </conditionalFormatting>
  <conditionalFormatting sqref="C1377">
    <cfRule type="cellIs" dxfId="1972" priority="4127" stopIfTrue="1" operator="equal">
      <formula>"2 Add"</formula>
    </cfRule>
  </conditionalFormatting>
  <conditionalFormatting sqref="C1377">
    <cfRule type="cellIs" dxfId="1971" priority="4128" stopIfTrue="1" operator="equal">
      <formula>"3 Delete"</formula>
    </cfRule>
  </conditionalFormatting>
  <conditionalFormatting sqref="C1378">
    <cfRule type="cellIs" dxfId="1970" priority="4129" stopIfTrue="1" operator="equal">
      <formula>"1 Modify"</formula>
    </cfRule>
  </conditionalFormatting>
  <conditionalFormatting sqref="C1378">
    <cfRule type="cellIs" dxfId="1969" priority="4130" stopIfTrue="1" operator="equal">
      <formula>"2 Add"</formula>
    </cfRule>
  </conditionalFormatting>
  <conditionalFormatting sqref="C1378">
    <cfRule type="cellIs" dxfId="1968" priority="4131" stopIfTrue="1" operator="equal">
      <formula>"3 Delete"</formula>
    </cfRule>
  </conditionalFormatting>
  <conditionalFormatting sqref="C1379">
    <cfRule type="cellIs" dxfId="1967" priority="4132" stopIfTrue="1" operator="equal">
      <formula>"1 Modify"</formula>
    </cfRule>
  </conditionalFormatting>
  <conditionalFormatting sqref="C1379">
    <cfRule type="cellIs" dxfId="1966" priority="4133" stopIfTrue="1" operator="equal">
      <formula>"2 Add"</formula>
    </cfRule>
  </conditionalFormatting>
  <conditionalFormatting sqref="C1379">
    <cfRule type="cellIs" dxfId="1965" priority="4134" stopIfTrue="1" operator="equal">
      <formula>"3 Delete"</formula>
    </cfRule>
  </conditionalFormatting>
  <conditionalFormatting sqref="C1380">
    <cfRule type="cellIs" dxfId="1964" priority="4135" stopIfTrue="1" operator="equal">
      <formula>"1 Modify"</formula>
    </cfRule>
  </conditionalFormatting>
  <conditionalFormatting sqref="C1380">
    <cfRule type="cellIs" dxfId="1963" priority="4136" stopIfTrue="1" operator="equal">
      <formula>"2 Add"</formula>
    </cfRule>
  </conditionalFormatting>
  <conditionalFormatting sqref="C1380">
    <cfRule type="cellIs" dxfId="1962" priority="4137" stopIfTrue="1" operator="equal">
      <formula>"3 Delete"</formula>
    </cfRule>
  </conditionalFormatting>
  <conditionalFormatting sqref="C1381">
    <cfRule type="cellIs" dxfId="1961" priority="4138" stopIfTrue="1" operator="equal">
      <formula>"1 Modify"</formula>
    </cfRule>
  </conditionalFormatting>
  <conditionalFormatting sqref="C1381">
    <cfRule type="cellIs" dxfId="1960" priority="4139" stopIfTrue="1" operator="equal">
      <formula>"2 Add"</formula>
    </cfRule>
  </conditionalFormatting>
  <conditionalFormatting sqref="C1381">
    <cfRule type="cellIs" dxfId="1959" priority="4140" stopIfTrue="1" operator="equal">
      <formula>"3 Delete"</formula>
    </cfRule>
  </conditionalFormatting>
  <conditionalFormatting sqref="C1382">
    <cfRule type="cellIs" dxfId="1958" priority="4141" stopIfTrue="1" operator="equal">
      <formula>"1 Modify"</formula>
    </cfRule>
  </conditionalFormatting>
  <conditionalFormatting sqref="C1382">
    <cfRule type="cellIs" dxfId="1957" priority="4142" stopIfTrue="1" operator="equal">
      <formula>"2 Add"</formula>
    </cfRule>
  </conditionalFormatting>
  <conditionalFormatting sqref="C1382">
    <cfRule type="cellIs" dxfId="1956" priority="4143" stopIfTrue="1" operator="equal">
      <formula>"3 Delete"</formula>
    </cfRule>
  </conditionalFormatting>
  <conditionalFormatting sqref="C1383">
    <cfRule type="cellIs" dxfId="1955" priority="4144" stopIfTrue="1" operator="equal">
      <formula>"1 Modify"</formula>
    </cfRule>
  </conditionalFormatting>
  <conditionalFormatting sqref="C1383">
    <cfRule type="cellIs" dxfId="1954" priority="4145" stopIfTrue="1" operator="equal">
      <formula>"2 Add"</formula>
    </cfRule>
  </conditionalFormatting>
  <conditionalFormatting sqref="C1383">
    <cfRule type="cellIs" dxfId="1953" priority="4146" stopIfTrue="1" operator="equal">
      <formula>"3 Delete"</formula>
    </cfRule>
  </conditionalFormatting>
  <conditionalFormatting sqref="C1384">
    <cfRule type="cellIs" dxfId="1952" priority="4147" stopIfTrue="1" operator="equal">
      <formula>"1 Modify"</formula>
    </cfRule>
  </conditionalFormatting>
  <conditionalFormatting sqref="C1384">
    <cfRule type="cellIs" dxfId="1951" priority="4148" stopIfTrue="1" operator="equal">
      <formula>"2 Add"</formula>
    </cfRule>
  </conditionalFormatting>
  <conditionalFormatting sqref="C1384">
    <cfRule type="cellIs" dxfId="1950" priority="4149" stopIfTrue="1" operator="equal">
      <formula>"3 Delete"</formula>
    </cfRule>
  </conditionalFormatting>
  <conditionalFormatting sqref="C1385">
    <cfRule type="cellIs" dxfId="1949" priority="4150" stopIfTrue="1" operator="equal">
      <formula>"1 Modify"</formula>
    </cfRule>
  </conditionalFormatting>
  <conditionalFormatting sqref="C1385">
    <cfRule type="cellIs" dxfId="1948" priority="4151" stopIfTrue="1" operator="equal">
      <formula>"2 Add"</formula>
    </cfRule>
  </conditionalFormatting>
  <conditionalFormatting sqref="C1385">
    <cfRule type="cellIs" dxfId="1947" priority="4152" stopIfTrue="1" operator="equal">
      <formula>"3 Delete"</formula>
    </cfRule>
  </conditionalFormatting>
  <conditionalFormatting sqref="C1386">
    <cfRule type="cellIs" dxfId="1946" priority="4153" stopIfTrue="1" operator="equal">
      <formula>"1 Modify"</formula>
    </cfRule>
  </conditionalFormatting>
  <conditionalFormatting sqref="C1386">
    <cfRule type="cellIs" dxfId="1945" priority="4154" stopIfTrue="1" operator="equal">
      <formula>"2 Add"</formula>
    </cfRule>
  </conditionalFormatting>
  <conditionalFormatting sqref="C1386">
    <cfRule type="cellIs" dxfId="1944" priority="4155" stopIfTrue="1" operator="equal">
      <formula>"3 Delete"</formula>
    </cfRule>
  </conditionalFormatting>
  <conditionalFormatting sqref="C1387">
    <cfRule type="cellIs" dxfId="1943" priority="4156" stopIfTrue="1" operator="equal">
      <formula>"1 Modify"</formula>
    </cfRule>
  </conditionalFormatting>
  <conditionalFormatting sqref="C1387">
    <cfRule type="cellIs" dxfId="1942" priority="4157" stopIfTrue="1" operator="equal">
      <formula>"2 Add"</formula>
    </cfRule>
  </conditionalFormatting>
  <conditionalFormatting sqref="C1387">
    <cfRule type="cellIs" dxfId="1941" priority="4158" stopIfTrue="1" operator="equal">
      <formula>"3 Delete"</formula>
    </cfRule>
  </conditionalFormatting>
  <conditionalFormatting sqref="C1388">
    <cfRule type="cellIs" dxfId="1940" priority="4159" stopIfTrue="1" operator="equal">
      <formula>"1 Modify"</formula>
    </cfRule>
  </conditionalFormatting>
  <conditionalFormatting sqref="C1388">
    <cfRule type="cellIs" dxfId="1939" priority="4160" stopIfTrue="1" operator="equal">
      <formula>"2 Add"</formula>
    </cfRule>
  </conditionalFormatting>
  <conditionalFormatting sqref="C1388">
    <cfRule type="cellIs" dxfId="1938" priority="4161" stopIfTrue="1" operator="equal">
      <formula>"3 Delete"</formula>
    </cfRule>
  </conditionalFormatting>
  <conditionalFormatting sqref="C1389">
    <cfRule type="cellIs" dxfId="1937" priority="4162" stopIfTrue="1" operator="equal">
      <formula>"1 Modify"</formula>
    </cfRule>
  </conditionalFormatting>
  <conditionalFormatting sqref="C1389">
    <cfRule type="cellIs" dxfId="1936" priority="4163" stopIfTrue="1" operator="equal">
      <formula>"2 Add"</formula>
    </cfRule>
  </conditionalFormatting>
  <conditionalFormatting sqref="C1389">
    <cfRule type="cellIs" dxfId="1935" priority="4164" stopIfTrue="1" operator="equal">
      <formula>"3 Delete"</formula>
    </cfRule>
  </conditionalFormatting>
  <conditionalFormatting sqref="C1390">
    <cfRule type="cellIs" dxfId="1934" priority="4165" stopIfTrue="1" operator="equal">
      <formula>"1 Modify"</formula>
    </cfRule>
  </conditionalFormatting>
  <conditionalFormatting sqref="C1390">
    <cfRule type="cellIs" dxfId="1933" priority="4166" stopIfTrue="1" operator="equal">
      <formula>"2 Add"</formula>
    </cfRule>
  </conditionalFormatting>
  <conditionalFormatting sqref="C1390">
    <cfRule type="cellIs" dxfId="1932" priority="4167" stopIfTrue="1" operator="equal">
      <formula>"3 Delete"</formula>
    </cfRule>
  </conditionalFormatting>
  <conditionalFormatting sqref="C1391">
    <cfRule type="cellIs" dxfId="1931" priority="4168" stopIfTrue="1" operator="equal">
      <formula>"1 Modify"</formula>
    </cfRule>
  </conditionalFormatting>
  <conditionalFormatting sqref="C1391">
    <cfRule type="cellIs" dxfId="1930" priority="4169" stopIfTrue="1" operator="equal">
      <formula>"2 Add"</formula>
    </cfRule>
  </conditionalFormatting>
  <conditionalFormatting sqref="C1391">
    <cfRule type="cellIs" dxfId="1929" priority="4170" stopIfTrue="1" operator="equal">
      <formula>"3 Delete"</formula>
    </cfRule>
  </conditionalFormatting>
  <conditionalFormatting sqref="C1392">
    <cfRule type="cellIs" dxfId="1928" priority="4171" stopIfTrue="1" operator="equal">
      <formula>"1 Modify"</formula>
    </cfRule>
  </conditionalFormatting>
  <conditionalFormatting sqref="C1392">
    <cfRule type="cellIs" dxfId="1927" priority="4172" stopIfTrue="1" operator="equal">
      <formula>"2 Add"</formula>
    </cfRule>
  </conditionalFormatting>
  <conditionalFormatting sqref="C1392">
    <cfRule type="cellIs" dxfId="1926" priority="4173" stopIfTrue="1" operator="equal">
      <formula>"3 Delete"</formula>
    </cfRule>
  </conditionalFormatting>
  <conditionalFormatting sqref="C1393">
    <cfRule type="cellIs" dxfId="1925" priority="4174" stopIfTrue="1" operator="equal">
      <formula>"1 Modify"</formula>
    </cfRule>
  </conditionalFormatting>
  <conditionalFormatting sqref="C1393">
    <cfRule type="cellIs" dxfId="1924" priority="4175" stopIfTrue="1" operator="equal">
      <formula>"2 Add"</formula>
    </cfRule>
  </conditionalFormatting>
  <conditionalFormatting sqref="C1393">
    <cfRule type="cellIs" dxfId="1923" priority="4176" stopIfTrue="1" operator="equal">
      <formula>"3 Delete"</formula>
    </cfRule>
  </conditionalFormatting>
  <conditionalFormatting sqref="C1394">
    <cfRule type="cellIs" dxfId="1922" priority="4177" stopIfTrue="1" operator="equal">
      <formula>"1 Modify"</formula>
    </cfRule>
  </conditionalFormatting>
  <conditionalFormatting sqref="C1394">
    <cfRule type="cellIs" dxfId="1921" priority="4178" stopIfTrue="1" operator="equal">
      <formula>"2 Add"</formula>
    </cfRule>
  </conditionalFormatting>
  <conditionalFormatting sqref="C1394">
    <cfRule type="cellIs" dxfId="1920" priority="4179" stopIfTrue="1" operator="equal">
      <formula>"3 Delete"</formula>
    </cfRule>
  </conditionalFormatting>
  <conditionalFormatting sqref="C1395">
    <cfRule type="cellIs" dxfId="1919" priority="4180" stopIfTrue="1" operator="equal">
      <formula>"1 Modify"</formula>
    </cfRule>
  </conditionalFormatting>
  <conditionalFormatting sqref="C1395">
    <cfRule type="cellIs" dxfId="1918" priority="4181" stopIfTrue="1" operator="equal">
      <formula>"2 Add"</formula>
    </cfRule>
  </conditionalFormatting>
  <conditionalFormatting sqref="C1395">
    <cfRule type="cellIs" dxfId="1917" priority="4182" stopIfTrue="1" operator="equal">
      <formula>"3 Delete"</formula>
    </cfRule>
  </conditionalFormatting>
  <conditionalFormatting sqref="C1396">
    <cfRule type="cellIs" dxfId="1916" priority="4183" stopIfTrue="1" operator="equal">
      <formula>"1 Modify"</formula>
    </cfRule>
  </conditionalFormatting>
  <conditionalFormatting sqref="C1396">
    <cfRule type="cellIs" dxfId="1915" priority="4184" stopIfTrue="1" operator="equal">
      <formula>"2 Add"</formula>
    </cfRule>
  </conditionalFormatting>
  <conditionalFormatting sqref="C1396">
    <cfRule type="cellIs" dxfId="1914" priority="4185" stopIfTrue="1" operator="equal">
      <formula>"3 Delete"</formula>
    </cfRule>
  </conditionalFormatting>
  <conditionalFormatting sqref="C1397">
    <cfRule type="cellIs" dxfId="1913" priority="4186" stopIfTrue="1" operator="equal">
      <formula>"1 Modify"</formula>
    </cfRule>
  </conditionalFormatting>
  <conditionalFormatting sqref="C1397">
    <cfRule type="cellIs" dxfId="1912" priority="4187" stopIfTrue="1" operator="equal">
      <formula>"2 Add"</formula>
    </cfRule>
  </conditionalFormatting>
  <conditionalFormatting sqref="C1397">
    <cfRule type="cellIs" dxfId="1911" priority="4188" stopIfTrue="1" operator="equal">
      <formula>"3 Delete"</formula>
    </cfRule>
  </conditionalFormatting>
  <conditionalFormatting sqref="C1398">
    <cfRule type="cellIs" dxfId="1910" priority="4189" stopIfTrue="1" operator="equal">
      <formula>"1 Modify"</formula>
    </cfRule>
  </conditionalFormatting>
  <conditionalFormatting sqref="C1398">
    <cfRule type="cellIs" dxfId="1909" priority="4190" stopIfTrue="1" operator="equal">
      <formula>"2 Add"</formula>
    </cfRule>
  </conditionalFormatting>
  <conditionalFormatting sqref="C1398">
    <cfRule type="cellIs" dxfId="1908" priority="4191" stopIfTrue="1" operator="equal">
      <formula>"3 Delete"</formula>
    </cfRule>
  </conditionalFormatting>
  <conditionalFormatting sqref="C1399">
    <cfRule type="cellIs" dxfId="1907" priority="4192" stopIfTrue="1" operator="equal">
      <formula>"1 Modify"</formula>
    </cfRule>
  </conditionalFormatting>
  <conditionalFormatting sqref="C1399">
    <cfRule type="cellIs" dxfId="1906" priority="4193" stopIfTrue="1" operator="equal">
      <formula>"2 Add"</formula>
    </cfRule>
  </conditionalFormatting>
  <conditionalFormatting sqref="C1399">
    <cfRule type="cellIs" dxfId="1905" priority="4194" stopIfTrue="1" operator="equal">
      <formula>"3 Delete"</formula>
    </cfRule>
  </conditionalFormatting>
  <conditionalFormatting sqref="C1400">
    <cfRule type="cellIs" dxfId="1904" priority="4195" stopIfTrue="1" operator="equal">
      <formula>"1 Modify"</formula>
    </cfRule>
  </conditionalFormatting>
  <conditionalFormatting sqref="C1400">
    <cfRule type="cellIs" dxfId="1903" priority="4196" stopIfTrue="1" operator="equal">
      <formula>"2 Add"</formula>
    </cfRule>
  </conditionalFormatting>
  <conditionalFormatting sqref="C1400">
    <cfRule type="cellIs" dxfId="1902" priority="4197" stopIfTrue="1" operator="equal">
      <formula>"3 Delete"</formula>
    </cfRule>
  </conditionalFormatting>
  <conditionalFormatting sqref="C1401">
    <cfRule type="cellIs" dxfId="1901" priority="4198" stopIfTrue="1" operator="equal">
      <formula>"1 Modify"</formula>
    </cfRule>
  </conditionalFormatting>
  <conditionalFormatting sqref="C1401">
    <cfRule type="cellIs" dxfId="1900" priority="4199" stopIfTrue="1" operator="equal">
      <formula>"2 Add"</formula>
    </cfRule>
  </conditionalFormatting>
  <conditionalFormatting sqref="C1401">
    <cfRule type="cellIs" dxfId="1899" priority="4200" stopIfTrue="1" operator="equal">
      <formula>"3 Delete"</formula>
    </cfRule>
  </conditionalFormatting>
  <conditionalFormatting sqref="C1402">
    <cfRule type="cellIs" dxfId="1898" priority="4201" stopIfTrue="1" operator="equal">
      <formula>"1 Modify"</formula>
    </cfRule>
  </conditionalFormatting>
  <conditionalFormatting sqref="C1402">
    <cfRule type="cellIs" dxfId="1897" priority="4202" stopIfTrue="1" operator="equal">
      <formula>"2 Add"</formula>
    </cfRule>
  </conditionalFormatting>
  <conditionalFormatting sqref="C1402">
    <cfRule type="cellIs" dxfId="1896" priority="4203" stopIfTrue="1" operator="equal">
      <formula>"3 Delete"</formula>
    </cfRule>
  </conditionalFormatting>
  <conditionalFormatting sqref="C1403">
    <cfRule type="cellIs" dxfId="1895" priority="4204" stopIfTrue="1" operator="equal">
      <formula>"1 Modify"</formula>
    </cfRule>
  </conditionalFormatting>
  <conditionalFormatting sqref="C1403">
    <cfRule type="cellIs" dxfId="1894" priority="4205" stopIfTrue="1" operator="equal">
      <formula>"2 Add"</formula>
    </cfRule>
  </conditionalFormatting>
  <conditionalFormatting sqref="C1403">
    <cfRule type="cellIs" dxfId="1893" priority="4206" stopIfTrue="1" operator="equal">
      <formula>"3 Delete"</formula>
    </cfRule>
  </conditionalFormatting>
  <conditionalFormatting sqref="C1404">
    <cfRule type="cellIs" dxfId="1892" priority="4207" stopIfTrue="1" operator="equal">
      <formula>"1 Modify"</formula>
    </cfRule>
  </conditionalFormatting>
  <conditionalFormatting sqref="C1404">
    <cfRule type="cellIs" dxfId="1891" priority="4208" stopIfTrue="1" operator="equal">
      <formula>"2 Add"</formula>
    </cfRule>
  </conditionalFormatting>
  <conditionalFormatting sqref="C1404">
    <cfRule type="cellIs" dxfId="1890" priority="4209" stopIfTrue="1" operator="equal">
      <formula>"3 Delete"</formula>
    </cfRule>
  </conditionalFormatting>
  <conditionalFormatting sqref="C1405">
    <cfRule type="cellIs" dxfId="1889" priority="4210" stopIfTrue="1" operator="equal">
      <formula>"1 Modify"</formula>
    </cfRule>
  </conditionalFormatting>
  <conditionalFormatting sqref="C1405">
    <cfRule type="cellIs" dxfId="1888" priority="4211" stopIfTrue="1" operator="equal">
      <formula>"2 Add"</formula>
    </cfRule>
  </conditionalFormatting>
  <conditionalFormatting sqref="C1405">
    <cfRule type="cellIs" dxfId="1887" priority="4212" stopIfTrue="1" operator="equal">
      <formula>"3 Delete"</formula>
    </cfRule>
  </conditionalFormatting>
  <conditionalFormatting sqref="C1406">
    <cfRule type="cellIs" dxfId="1886" priority="4213" stopIfTrue="1" operator="equal">
      <formula>"1 Modify"</formula>
    </cfRule>
  </conditionalFormatting>
  <conditionalFormatting sqref="C1406">
    <cfRule type="cellIs" dxfId="1885" priority="4214" stopIfTrue="1" operator="equal">
      <formula>"2 Add"</formula>
    </cfRule>
  </conditionalFormatting>
  <conditionalFormatting sqref="C1406">
    <cfRule type="cellIs" dxfId="1884" priority="4215" stopIfTrue="1" operator="equal">
      <formula>"3 Delete"</formula>
    </cfRule>
  </conditionalFormatting>
  <conditionalFormatting sqref="C1407">
    <cfRule type="cellIs" dxfId="1883" priority="4216" stopIfTrue="1" operator="equal">
      <formula>"1 Modify"</formula>
    </cfRule>
  </conditionalFormatting>
  <conditionalFormatting sqref="C1407">
    <cfRule type="cellIs" dxfId="1882" priority="4217" stopIfTrue="1" operator="equal">
      <formula>"2 Add"</formula>
    </cfRule>
  </conditionalFormatting>
  <conditionalFormatting sqref="C1407">
    <cfRule type="cellIs" dxfId="1881" priority="4218" stopIfTrue="1" operator="equal">
      <formula>"3 Delete"</formula>
    </cfRule>
  </conditionalFormatting>
  <conditionalFormatting sqref="C1408">
    <cfRule type="cellIs" dxfId="1880" priority="4219" stopIfTrue="1" operator="equal">
      <formula>"1 Modify"</formula>
    </cfRule>
  </conditionalFormatting>
  <conditionalFormatting sqref="C1408">
    <cfRule type="cellIs" dxfId="1879" priority="4220" stopIfTrue="1" operator="equal">
      <formula>"2 Add"</formula>
    </cfRule>
  </conditionalFormatting>
  <conditionalFormatting sqref="C1408">
    <cfRule type="cellIs" dxfId="1878" priority="4221" stopIfTrue="1" operator="equal">
      <formula>"3 Delete"</formula>
    </cfRule>
  </conditionalFormatting>
  <conditionalFormatting sqref="C1409">
    <cfRule type="cellIs" dxfId="1877" priority="4222" stopIfTrue="1" operator="equal">
      <formula>"1 Modify"</formula>
    </cfRule>
  </conditionalFormatting>
  <conditionalFormatting sqref="C1409">
    <cfRule type="cellIs" dxfId="1876" priority="4223" stopIfTrue="1" operator="equal">
      <formula>"2 Add"</formula>
    </cfRule>
  </conditionalFormatting>
  <conditionalFormatting sqref="C1409">
    <cfRule type="cellIs" dxfId="1875" priority="4224" stopIfTrue="1" operator="equal">
      <formula>"3 Delete"</formula>
    </cfRule>
  </conditionalFormatting>
  <conditionalFormatting sqref="C1410">
    <cfRule type="cellIs" dxfId="1874" priority="4225" stopIfTrue="1" operator="equal">
      <formula>"1 Modify"</formula>
    </cfRule>
  </conditionalFormatting>
  <conditionalFormatting sqref="C1410">
    <cfRule type="cellIs" dxfId="1873" priority="4226" stopIfTrue="1" operator="equal">
      <formula>"2 Add"</formula>
    </cfRule>
  </conditionalFormatting>
  <conditionalFormatting sqref="C1410">
    <cfRule type="cellIs" dxfId="1872" priority="4227" stopIfTrue="1" operator="equal">
      <formula>"3 Delete"</formula>
    </cfRule>
  </conditionalFormatting>
  <conditionalFormatting sqref="C1411">
    <cfRule type="cellIs" dxfId="1871" priority="4228" stopIfTrue="1" operator="equal">
      <formula>"1 Modify"</formula>
    </cfRule>
  </conditionalFormatting>
  <conditionalFormatting sqref="C1411">
    <cfRule type="cellIs" dxfId="1870" priority="4229" stopIfTrue="1" operator="equal">
      <formula>"2 Add"</formula>
    </cfRule>
  </conditionalFormatting>
  <conditionalFormatting sqref="C1411">
    <cfRule type="cellIs" dxfId="1869" priority="4230" stopIfTrue="1" operator="equal">
      <formula>"3 Delete"</formula>
    </cfRule>
  </conditionalFormatting>
  <conditionalFormatting sqref="C1412">
    <cfRule type="cellIs" dxfId="1868" priority="4231" stopIfTrue="1" operator="equal">
      <formula>"1 Modify"</formula>
    </cfRule>
  </conditionalFormatting>
  <conditionalFormatting sqref="C1412">
    <cfRule type="cellIs" dxfId="1867" priority="4232" stopIfTrue="1" operator="equal">
      <formula>"2 Add"</formula>
    </cfRule>
  </conditionalFormatting>
  <conditionalFormatting sqref="C1412">
    <cfRule type="cellIs" dxfId="1866" priority="4233" stopIfTrue="1" operator="equal">
      <formula>"3 Delete"</formula>
    </cfRule>
  </conditionalFormatting>
  <conditionalFormatting sqref="C1413">
    <cfRule type="cellIs" dxfId="1865" priority="4234" stopIfTrue="1" operator="equal">
      <formula>"1 Modify"</formula>
    </cfRule>
  </conditionalFormatting>
  <conditionalFormatting sqref="C1413">
    <cfRule type="cellIs" dxfId="1864" priority="4235" stopIfTrue="1" operator="equal">
      <formula>"2 Add"</formula>
    </cfRule>
  </conditionalFormatting>
  <conditionalFormatting sqref="C1413">
    <cfRule type="cellIs" dxfId="1863" priority="4236" stopIfTrue="1" operator="equal">
      <formula>"3 Delete"</formula>
    </cfRule>
  </conditionalFormatting>
  <conditionalFormatting sqref="C1414">
    <cfRule type="cellIs" dxfId="1862" priority="4237" stopIfTrue="1" operator="equal">
      <formula>"1 Modify"</formula>
    </cfRule>
  </conditionalFormatting>
  <conditionalFormatting sqref="C1414">
    <cfRule type="cellIs" dxfId="1861" priority="4238" stopIfTrue="1" operator="equal">
      <formula>"2 Add"</formula>
    </cfRule>
  </conditionalFormatting>
  <conditionalFormatting sqref="C1414">
    <cfRule type="cellIs" dxfId="1860" priority="4239" stopIfTrue="1" operator="equal">
      <formula>"3 Delete"</formula>
    </cfRule>
  </conditionalFormatting>
  <conditionalFormatting sqref="C1415">
    <cfRule type="cellIs" dxfId="1859" priority="4240" stopIfTrue="1" operator="equal">
      <formula>"1 Modify"</formula>
    </cfRule>
  </conditionalFormatting>
  <conditionalFormatting sqref="C1415">
    <cfRule type="cellIs" dxfId="1858" priority="4241" stopIfTrue="1" operator="equal">
      <formula>"2 Add"</formula>
    </cfRule>
  </conditionalFormatting>
  <conditionalFormatting sqref="C1415">
    <cfRule type="cellIs" dxfId="1857" priority="4242" stopIfTrue="1" operator="equal">
      <formula>"3 Delete"</formula>
    </cfRule>
  </conditionalFormatting>
  <conditionalFormatting sqref="C1416">
    <cfRule type="cellIs" dxfId="1856" priority="4243" stopIfTrue="1" operator="equal">
      <formula>"1 Modify"</formula>
    </cfRule>
  </conditionalFormatting>
  <conditionalFormatting sqref="C1416">
    <cfRule type="cellIs" dxfId="1855" priority="4244" stopIfTrue="1" operator="equal">
      <formula>"2 Add"</formula>
    </cfRule>
  </conditionalFormatting>
  <conditionalFormatting sqref="C1416">
    <cfRule type="cellIs" dxfId="1854" priority="4245" stopIfTrue="1" operator="equal">
      <formula>"3 Delete"</formula>
    </cfRule>
  </conditionalFormatting>
  <conditionalFormatting sqref="C1417">
    <cfRule type="cellIs" dxfId="1853" priority="4246" stopIfTrue="1" operator="equal">
      <formula>"1 Modify"</formula>
    </cfRule>
  </conditionalFormatting>
  <conditionalFormatting sqref="C1417">
    <cfRule type="cellIs" dxfId="1852" priority="4247" stopIfTrue="1" operator="equal">
      <formula>"2 Add"</formula>
    </cfRule>
  </conditionalFormatting>
  <conditionalFormatting sqref="C1417">
    <cfRule type="cellIs" dxfId="1851" priority="4248" stopIfTrue="1" operator="equal">
      <formula>"3 Delete"</formula>
    </cfRule>
  </conditionalFormatting>
  <conditionalFormatting sqref="C1418">
    <cfRule type="cellIs" dxfId="1850" priority="4249" stopIfTrue="1" operator="equal">
      <formula>"1 Modify"</formula>
    </cfRule>
  </conditionalFormatting>
  <conditionalFormatting sqref="C1418">
    <cfRule type="cellIs" dxfId="1849" priority="4250" stopIfTrue="1" operator="equal">
      <formula>"2 Add"</formula>
    </cfRule>
  </conditionalFormatting>
  <conditionalFormatting sqref="C1418">
    <cfRule type="cellIs" dxfId="1848" priority="4251" stopIfTrue="1" operator="equal">
      <formula>"3 Delete"</formula>
    </cfRule>
  </conditionalFormatting>
  <conditionalFormatting sqref="C1419">
    <cfRule type="cellIs" dxfId="1847" priority="4252" stopIfTrue="1" operator="equal">
      <formula>"1 Modify"</formula>
    </cfRule>
  </conditionalFormatting>
  <conditionalFormatting sqref="C1419">
    <cfRule type="cellIs" dxfId="1846" priority="4253" stopIfTrue="1" operator="equal">
      <formula>"2 Add"</formula>
    </cfRule>
  </conditionalFormatting>
  <conditionalFormatting sqref="C1419">
    <cfRule type="cellIs" dxfId="1845" priority="4254" stopIfTrue="1" operator="equal">
      <formula>"3 Delete"</formula>
    </cfRule>
  </conditionalFormatting>
  <conditionalFormatting sqref="C1420">
    <cfRule type="cellIs" dxfId="1844" priority="4255" stopIfTrue="1" operator="equal">
      <formula>"1 Modify"</formula>
    </cfRule>
  </conditionalFormatting>
  <conditionalFormatting sqref="C1420">
    <cfRule type="cellIs" dxfId="1843" priority="4256" stopIfTrue="1" operator="equal">
      <formula>"2 Add"</formula>
    </cfRule>
  </conditionalFormatting>
  <conditionalFormatting sqref="C1420">
    <cfRule type="cellIs" dxfId="1842" priority="4257" stopIfTrue="1" operator="equal">
      <formula>"3 Delete"</formula>
    </cfRule>
  </conditionalFormatting>
  <conditionalFormatting sqref="C1421">
    <cfRule type="cellIs" dxfId="1841" priority="4258" stopIfTrue="1" operator="equal">
      <formula>"1 Modify"</formula>
    </cfRule>
  </conditionalFormatting>
  <conditionalFormatting sqref="C1421">
    <cfRule type="cellIs" dxfId="1840" priority="4259" stopIfTrue="1" operator="equal">
      <formula>"2 Add"</formula>
    </cfRule>
  </conditionalFormatting>
  <conditionalFormatting sqref="C1421">
    <cfRule type="cellIs" dxfId="1839" priority="4260" stopIfTrue="1" operator="equal">
      <formula>"3 Delete"</formula>
    </cfRule>
  </conditionalFormatting>
  <conditionalFormatting sqref="C1422">
    <cfRule type="cellIs" dxfId="1838" priority="4261" stopIfTrue="1" operator="equal">
      <formula>"1 Modify"</formula>
    </cfRule>
  </conditionalFormatting>
  <conditionalFormatting sqref="C1422">
    <cfRule type="cellIs" dxfId="1837" priority="4262" stopIfTrue="1" operator="equal">
      <formula>"2 Add"</formula>
    </cfRule>
  </conditionalFormatting>
  <conditionalFormatting sqref="C1422">
    <cfRule type="cellIs" dxfId="1836" priority="4263" stopIfTrue="1" operator="equal">
      <formula>"3 Delete"</formula>
    </cfRule>
  </conditionalFormatting>
  <conditionalFormatting sqref="C1423">
    <cfRule type="cellIs" dxfId="1835" priority="4264" stopIfTrue="1" operator="equal">
      <formula>"1 Modify"</formula>
    </cfRule>
  </conditionalFormatting>
  <conditionalFormatting sqref="C1423">
    <cfRule type="cellIs" dxfId="1834" priority="4265" stopIfTrue="1" operator="equal">
      <formula>"2 Add"</formula>
    </cfRule>
  </conditionalFormatting>
  <conditionalFormatting sqref="C1423">
    <cfRule type="cellIs" dxfId="1833" priority="4266" stopIfTrue="1" operator="equal">
      <formula>"3 Delete"</formula>
    </cfRule>
  </conditionalFormatting>
  <conditionalFormatting sqref="C1424">
    <cfRule type="cellIs" dxfId="1832" priority="4267" stopIfTrue="1" operator="equal">
      <formula>"1 Modify"</formula>
    </cfRule>
  </conditionalFormatting>
  <conditionalFormatting sqref="C1424">
    <cfRule type="cellIs" dxfId="1831" priority="4268" stopIfTrue="1" operator="equal">
      <formula>"2 Add"</formula>
    </cfRule>
  </conditionalFormatting>
  <conditionalFormatting sqref="C1424">
    <cfRule type="cellIs" dxfId="1830" priority="4269" stopIfTrue="1" operator="equal">
      <formula>"3 Delete"</formula>
    </cfRule>
  </conditionalFormatting>
  <conditionalFormatting sqref="C1425">
    <cfRule type="cellIs" dxfId="1829" priority="4270" stopIfTrue="1" operator="equal">
      <formula>"1 Modify"</formula>
    </cfRule>
  </conditionalFormatting>
  <conditionalFormatting sqref="C1425">
    <cfRule type="cellIs" dxfId="1828" priority="4271" stopIfTrue="1" operator="equal">
      <formula>"2 Add"</formula>
    </cfRule>
  </conditionalFormatting>
  <conditionalFormatting sqref="C1425">
    <cfRule type="cellIs" dxfId="1827" priority="4272" stopIfTrue="1" operator="equal">
      <formula>"3 Delete"</formula>
    </cfRule>
  </conditionalFormatting>
  <conditionalFormatting sqref="C1426">
    <cfRule type="cellIs" dxfId="1826" priority="4273" stopIfTrue="1" operator="equal">
      <formula>"1 Modify"</formula>
    </cfRule>
  </conditionalFormatting>
  <conditionalFormatting sqref="C1426">
    <cfRule type="cellIs" dxfId="1825" priority="4274" stopIfTrue="1" operator="equal">
      <formula>"2 Add"</formula>
    </cfRule>
  </conditionalFormatting>
  <conditionalFormatting sqref="C1426">
    <cfRule type="cellIs" dxfId="1824" priority="4275" stopIfTrue="1" operator="equal">
      <formula>"3 Delete"</formula>
    </cfRule>
  </conditionalFormatting>
  <conditionalFormatting sqref="C1427">
    <cfRule type="cellIs" dxfId="1823" priority="4276" stopIfTrue="1" operator="equal">
      <formula>"1 Modify"</formula>
    </cfRule>
  </conditionalFormatting>
  <conditionalFormatting sqref="C1427">
    <cfRule type="cellIs" dxfId="1822" priority="4277" stopIfTrue="1" operator="equal">
      <formula>"2 Add"</formula>
    </cfRule>
  </conditionalFormatting>
  <conditionalFormatting sqref="C1427">
    <cfRule type="cellIs" dxfId="1821" priority="4278" stopIfTrue="1" operator="equal">
      <formula>"3 Delete"</formula>
    </cfRule>
  </conditionalFormatting>
  <conditionalFormatting sqref="C1428">
    <cfRule type="cellIs" dxfId="1820" priority="4279" stopIfTrue="1" operator="equal">
      <formula>"1 Modify"</formula>
    </cfRule>
  </conditionalFormatting>
  <conditionalFormatting sqref="C1428">
    <cfRule type="cellIs" dxfId="1819" priority="4280" stopIfTrue="1" operator="equal">
      <formula>"2 Add"</formula>
    </cfRule>
  </conditionalFormatting>
  <conditionalFormatting sqref="C1428">
    <cfRule type="cellIs" dxfId="1818" priority="4281" stopIfTrue="1" operator="equal">
      <formula>"3 Delete"</formula>
    </cfRule>
  </conditionalFormatting>
  <conditionalFormatting sqref="C1429">
    <cfRule type="cellIs" dxfId="1817" priority="4282" stopIfTrue="1" operator="equal">
      <formula>"1 Modify"</formula>
    </cfRule>
  </conditionalFormatting>
  <conditionalFormatting sqref="C1429">
    <cfRule type="cellIs" dxfId="1816" priority="4283" stopIfTrue="1" operator="equal">
      <formula>"2 Add"</formula>
    </cfRule>
  </conditionalFormatting>
  <conditionalFormatting sqref="C1429">
    <cfRule type="cellIs" dxfId="1815" priority="4284" stopIfTrue="1" operator="equal">
      <formula>"3 Delete"</formula>
    </cfRule>
  </conditionalFormatting>
  <conditionalFormatting sqref="C1430">
    <cfRule type="cellIs" dxfId="1814" priority="4285" stopIfTrue="1" operator="equal">
      <formula>"1 Modify"</formula>
    </cfRule>
  </conditionalFormatting>
  <conditionalFormatting sqref="C1430">
    <cfRule type="cellIs" dxfId="1813" priority="4286" stopIfTrue="1" operator="equal">
      <formula>"2 Add"</formula>
    </cfRule>
  </conditionalFormatting>
  <conditionalFormatting sqref="C1430">
    <cfRule type="cellIs" dxfId="1812" priority="4287" stopIfTrue="1" operator="equal">
      <formula>"3 Delete"</formula>
    </cfRule>
  </conditionalFormatting>
  <conditionalFormatting sqref="C1431">
    <cfRule type="cellIs" dxfId="1811" priority="4288" stopIfTrue="1" operator="equal">
      <formula>"1 Modify"</formula>
    </cfRule>
  </conditionalFormatting>
  <conditionalFormatting sqref="C1431">
    <cfRule type="cellIs" dxfId="1810" priority="4289" stopIfTrue="1" operator="equal">
      <formula>"2 Add"</formula>
    </cfRule>
  </conditionalFormatting>
  <conditionalFormatting sqref="C1431">
    <cfRule type="cellIs" dxfId="1809" priority="4290" stopIfTrue="1" operator="equal">
      <formula>"3 Delete"</formula>
    </cfRule>
  </conditionalFormatting>
  <conditionalFormatting sqref="C1432">
    <cfRule type="cellIs" dxfId="1808" priority="4291" stopIfTrue="1" operator="equal">
      <formula>"1 Modify"</formula>
    </cfRule>
  </conditionalFormatting>
  <conditionalFormatting sqref="C1432">
    <cfRule type="cellIs" dxfId="1807" priority="4292" stopIfTrue="1" operator="equal">
      <formula>"2 Add"</formula>
    </cfRule>
  </conditionalFormatting>
  <conditionalFormatting sqref="C1432">
    <cfRule type="cellIs" dxfId="1806" priority="4293" stopIfTrue="1" operator="equal">
      <formula>"3 Delete"</formula>
    </cfRule>
  </conditionalFormatting>
  <conditionalFormatting sqref="C1433">
    <cfRule type="cellIs" dxfId="1805" priority="4294" stopIfTrue="1" operator="equal">
      <formula>"1 Modify"</formula>
    </cfRule>
  </conditionalFormatting>
  <conditionalFormatting sqref="C1433">
    <cfRule type="cellIs" dxfId="1804" priority="4295" stopIfTrue="1" operator="equal">
      <formula>"2 Add"</formula>
    </cfRule>
  </conditionalFormatting>
  <conditionalFormatting sqref="C1433">
    <cfRule type="cellIs" dxfId="1803" priority="4296" stopIfTrue="1" operator="equal">
      <formula>"3 Delete"</formula>
    </cfRule>
  </conditionalFormatting>
  <conditionalFormatting sqref="C1434">
    <cfRule type="cellIs" dxfId="1802" priority="4297" stopIfTrue="1" operator="equal">
      <formula>"1 Modify"</formula>
    </cfRule>
  </conditionalFormatting>
  <conditionalFormatting sqref="C1434">
    <cfRule type="cellIs" dxfId="1801" priority="4298" stopIfTrue="1" operator="equal">
      <formula>"2 Add"</formula>
    </cfRule>
  </conditionalFormatting>
  <conditionalFormatting sqref="C1434">
    <cfRule type="cellIs" dxfId="1800" priority="4299" stopIfTrue="1" operator="equal">
      <formula>"3 Delete"</formula>
    </cfRule>
  </conditionalFormatting>
  <conditionalFormatting sqref="C1435">
    <cfRule type="cellIs" dxfId="1799" priority="4300" stopIfTrue="1" operator="equal">
      <formula>"1 Modify"</formula>
    </cfRule>
  </conditionalFormatting>
  <conditionalFormatting sqref="C1435">
    <cfRule type="cellIs" dxfId="1798" priority="4301" stopIfTrue="1" operator="equal">
      <formula>"2 Add"</formula>
    </cfRule>
  </conditionalFormatting>
  <conditionalFormatting sqref="C1435">
    <cfRule type="cellIs" dxfId="1797" priority="4302" stopIfTrue="1" operator="equal">
      <formula>"3 Delete"</formula>
    </cfRule>
  </conditionalFormatting>
  <conditionalFormatting sqref="C1436">
    <cfRule type="cellIs" dxfId="1796" priority="4303" stopIfTrue="1" operator="equal">
      <formula>"1 Modify"</formula>
    </cfRule>
  </conditionalFormatting>
  <conditionalFormatting sqref="C1436">
    <cfRule type="cellIs" dxfId="1795" priority="4304" stopIfTrue="1" operator="equal">
      <formula>"2 Add"</formula>
    </cfRule>
  </conditionalFormatting>
  <conditionalFormatting sqref="C1436">
    <cfRule type="cellIs" dxfId="1794" priority="4305" stopIfTrue="1" operator="equal">
      <formula>"3 Delete"</formula>
    </cfRule>
  </conditionalFormatting>
  <conditionalFormatting sqref="C1437">
    <cfRule type="cellIs" dxfId="1793" priority="4306" stopIfTrue="1" operator="equal">
      <formula>"1 Modify"</formula>
    </cfRule>
  </conditionalFormatting>
  <conditionalFormatting sqref="C1437">
    <cfRule type="cellIs" dxfId="1792" priority="4307" stopIfTrue="1" operator="equal">
      <formula>"2 Add"</formula>
    </cfRule>
  </conditionalFormatting>
  <conditionalFormatting sqref="C1437">
    <cfRule type="cellIs" dxfId="1791" priority="4308" stopIfTrue="1" operator="equal">
      <formula>"3 Delete"</formula>
    </cfRule>
  </conditionalFormatting>
  <conditionalFormatting sqref="C1438">
    <cfRule type="cellIs" dxfId="1790" priority="4309" stopIfTrue="1" operator="equal">
      <formula>"1 Modify"</formula>
    </cfRule>
  </conditionalFormatting>
  <conditionalFormatting sqref="C1438">
    <cfRule type="cellIs" dxfId="1789" priority="4310" stopIfTrue="1" operator="equal">
      <formula>"2 Add"</formula>
    </cfRule>
  </conditionalFormatting>
  <conditionalFormatting sqref="C1438">
    <cfRule type="cellIs" dxfId="1788" priority="4311" stopIfTrue="1" operator="equal">
      <formula>"3 Delete"</formula>
    </cfRule>
  </conditionalFormatting>
  <conditionalFormatting sqref="C1439">
    <cfRule type="cellIs" dxfId="1787" priority="4312" stopIfTrue="1" operator="equal">
      <formula>"1 Modify"</formula>
    </cfRule>
  </conditionalFormatting>
  <conditionalFormatting sqref="C1439">
    <cfRule type="cellIs" dxfId="1786" priority="4313" stopIfTrue="1" operator="equal">
      <formula>"2 Add"</formula>
    </cfRule>
  </conditionalFormatting>
  <conditionalFormatting sqref="C1439">
    <cfRule type="cellIs" dxfId="1785" priority="4314" stopIfTrue="1" operator="equal">
      <formula>"3 Delete"</formula>
    </cfRule>
  </conditionalFormatting>
  <conditionalFormatting sqref="C1440">
    <cfRule type="cellIs" dxfId="1784" priority="4315" stopIfTrue="1" operator="equal">
      <formula>"1 Modify"</formula>
    </cfRule>
  </conditionalFormatting>
  <conditionalFormatting sqref="C1440">
    <cfRule type="cellIs" dxfId="1783" priority="4316" stopIfTrue="1" operator="equal">
      <formula>"2 Add"</formula>
    </cfRule>
  </conditionalFormatting>
  <conditionalFormatting sqref="C1440">
    <cfRule type="cellIs" dxfId="1782" priority="4317" stopIfTrue="1" operator="equal">
      <formula>"3 Delete"</formula>
    </cfRule>
  </conditionalFormatting>
  <conditionalFormatting sqref="C1441">
    <cfRule type="cellIs" dxfId="1781" priority="4318" stopIfTrue="1" operator="equal">
      <formula>"1 Modify"</formula>
    </cfRule>
  </conditionalFormatting>
  <conditionalFormatting sqref="C1441">
    <cfRule type="cellIs" dxfId="1780" priority="4319" stopIfTrue="1" operator="equal">
      <formula>"2 Add"</formula>
    </cfRule>
  </conditionalFormatting>
  <conditionalFormatting sqref="C1441">
    <cfRule type="cellIs" dxfId="1779" priority="4320" stopIfTrue="1" operator="equal">
      <formula>"3 Delete"</formula>
    </cfRule>
  </conditionalFormatting>
  <conditionalFormatting sqref="C1442">
    <cfRule type="cellIs" dxfId="1778" priority="4321" stopIfTrue="1" operator="equal">
      <formula>"1 Modify"</formula>
    </cfRule>
  </conditionalFormatting>
  <conditionalFormatting sqref="C1442">
    <cfRule type="cellIs" dxfId="1777" priority="4322" stopIfTrue="1" operator="equal">
      <formula>"2 Add"</formula>
    </cfRule>
  </conditionalFormatting>
  <conditionalFormatting sqref="C1442">
    <cfRule type="cellIs" dxfId="1776" priority="4323" stopIfTrue="1" operator="equal">
      <formula>"3 Delete"</formula>
    </cfRule>
  </conditionalFormatting>
  <conditionalFormatting sqref="C1443">
    <cfRule type="cellIs" dxfId="1775" priority="4324" stopIfTrue="1" operator="equal">
      <formula>"1 Modify"</formula>
    </cfRule>
  </conditionalFormatting>
  <conditionalFormatting sqref="C1443">
    <cfRule type="cellIs" dxfId="1774" priority="4325" stopIfTrue="1" operator="equal">
      <formula>"2 Add"</formula>
    </cfRule>
  </conditionalFormatting>
  <conditionalFormatting sqref="C1443">
    <cfRule type="cellIs" dxfId="1773" priority="4326" stopIfTrue="1" operator="equal">
      <formula>"3 Delete"</formula>
    </cfRule>
  </conditionalFormatting>
  <conditionalFormatting sqref="C1444">
    <cfRule type="cellIs" dxfId="1772" priority="4327" stopIfTrue="1" operator="equal">
      <formula>"1 Modify"</formula>
    </cfRule>
  </conditionalFormatting>
  <conditionalFormatting sqref="C1444">
    <cfRule type="cellIs" dxfId="1771" priority="4328" stopIfTrue="1" operator="equal">
      <formula>"2 Add"</formula>
    </cfRule>
  </conditionalFormatting>
  <conditionalFormatting sqref="C1444">
    <cfRule type="cellIs" dxfId="1770" priority="4329" stopIfTrue="1" operator="equal">
      <formula>"3 Delete"</formula>
    </cfRule>
  </conditionalFormatting>
  <conditionalFormatting sqref="C1445">
    <cfRule type="cellIs" dxfId="1769" priority="4330" stopIfTrue="1" operator="equal">
      <formula>"1 Modify"</formula>
    </cfRule>
  </conditionalFormatting>
  <conditionalFormatting sqref="C1445">
    <cfRule type="cellIs" dxfId="1768" priority="4331" stopIfTrue="1" operator="equal">
      <formula>"2 Add"</formula>
    </cfRule>
  </conditionalFormatting>
  <conditionalFormatting sqref="C1445">
    <cfRule type="cellIs" dxfId="1767" priority="4332" stopIfTrue="1" operator="equal">
      <formula>"3 Delete"</formula>
    </cfRule>
  </conditionalFormatting>
  <conditionalFormatting sqref="C1446">
    <cfRule type="cellIs" dxfId="1766" priority="4333" stopIfTrue="1" operator="equal">
      <formula>"1 Modify"</formula>
    </cfRule>
  </conditionalFormatting>
  <conditionalFormatting sqref="C1446">
    <cfRule type="cellIs" dxfId="1765" priority="4334" stopIfTrue="1" operator="equal">
      <formula>"2 Add"</formula>
    </cfRule>
  </conditionalFormatting>
  <conditionalFormatting sqref="C1446">
    <cfRule type="cellIs" dxfId="1764" priority="4335" stopIfTrue="1" operator="equal">
      <formula>"3 Delete"</formula>
    </cfRule>
  </conditionalFormatting>
  <conditionalFormatting sqref="C1447">
    <cfRule type="cellIs" dxfId="1763" priority="4336" stopIfTrue="1" operator="equal">
      <formula>"1 Modify"</formula>
    </cfRule>
  </conditionalFormatting>
  <conditionalFormatting sqref="C1447">
    <cfRule type="cellIs" dxfId="1762" priority="4337" stopIfTrue="1" operator="equal">
      <formula>"2 Add"</formula>
    </cfRule>
  </conditionalFormatting>
  <conditionalFormatting sqref="C1447">
    <cfRule type="cellIs" dxfId="1761" priority="4338" stopIfTrue="1" operator="equal">
      <formula>"3 Delete"</formula>
    </cfRule>
  </conditionalFormatting>
  <conditionalFormatting sqref="C1448">
    <cfRule type="cellIs" dxfId="1760" priority="4339" stopIfTrue="1" operator="equal">
      <formula>"1 Modify"</formula>
    </cfRule>
  </conditionalFormatting>
  <conditionalFormatting sqref="C1448">
    <cfRule type="cellIs" dxfId="1759" priority="4340" stopIfTrue="1" operator="equal">
      <formula>"2 Add"</formula>
    </cfRule>
  </conditionalFormatting>
  <conditionalFormatting sqref="C1448">
    <cfRule type="cellIs" dxfId="1758" priority="4341" stopIfTrue="1" operator="equal">
      <formula>"3 Delete"</formula>
    </cfRule>
  </conditionalFormatting>
  <conditionalFormatting sqref="C1449">
    <cfRule type="cellIs" dxfId="1757" priority="4342" stopIfTrue="1" operator="equal">
      <formula>"1 Modify"</formula>
    </cfRule>
  </conditionalFormatting>
  <conditionalFormatting sqref="C1449">
    <cfRule type="cellIs" dxfId="1756" priority="4343" stopIfTrue="1" operator="equal">
      <formula>"2 Add"</formula>
    </cfRule>
  </conditionalFormatting>
  <conditionalFormatting sqref="C1449">
    <cfRule type="cellIs" dxfId="1755" priority="4344" stopIfTrue="1" operator="equal">
      <formula>"3 Delete"</formula>
    </cfRule>
  </conditionalFormatting>
  <conditionalFormatting sqref="C1450">
    <cfRule type="cellIs" dxfId="1754" priority="4345" stopIfTrue="1" operator="equal">
      <formula>"1 Modify"</formula>
    </cfRule>
  </conditionalFormatting>
  <conditionalFormatting sqref="C1450">
    <cfRule type="cellIs" dxfId="1753" priority="4346" stopIfTrue="1" operator="equal">
      <formula>"2 Add"</formula>
    </cfRule>
  </conditionalFormatting>
  <conditionalFormatting sqref="C1450">
    <cfRule type="cellIs" dxfId="1752" priority="4347" stopIfTrue="1" operator="equal">
      <formula>"3 Delete"</formula>
    </cfRule>
  </conditionalFormatting>
  <conditionalFormatting sqref="C1451">
    <cfRule type="cellIs" dxfId="1751" priority="4348" stopIfTrue="1" operator="equal">
      <formula>"1 Modify"</formula>
    </cfRule>
  </conditionalFormatting>
  <conditionalFormatting sqref="C1451">
    <cfRule type="cellIs" dxfId="1750" priority="4349" stopIfTrue="1" operator="equal">
      <formula>"2 Add"</formula>
    </cfRule>
  </conditionalFormatting>
  <conditionalFormatting sqref="C1451">
    <cfRule type="cellIs" dxfId="1749" priority="4350" stopIfTrue="1" operator="equal">
      <formula>"3 Delete"</formula>
    </cfRule>
  </conditionalFormatting>
  <conditionalFormatting sqref="C1452">
    <cfRule type="cellIs" dxfId="1748" priority="4351" stopIfTrue="1" operator="equal">
      <formula>"1 Modify"</formula>
    </cfRule>
  </conditionalFormatting>
  <conditionalFormatting sqref="C1452">
    <cfRule type="cellIs" dxfId="1747" priority="4352" stopIfTrue="1" operator="equal">
      <formula>"2 Add"</formula>
    </cfRule>
  </conditionalFormatting>
  <conditionalFormatting sqref="C1452">
    <cfRule type="cellIs" dxfId="1746" priority="4353" stopIfTrue="1" operator="equal">
      <formula>"3 Delete"</formula>
    </cfRule>
  </conditionalFormatting>
  <conditionalFormatting sqref="C1453">
    <cfRule type="cellIs" dxfId="1745" priority="4354" stopIfTrue="1" operator="equal">
      <formula>"1 Modify"</formula>
    </cfRule>
  </conditionalFormatting>
  <conditionalFormatting sqref="C1453">
    <cfRule type="cellIs" dxfId="1744" priority="4355" stopIfTrue="1" operator="equal">
      <formula>"2 Add"</formula>
    </cfRule>
  </conditionalFormatting>
  <conditionalFormatting sqref="C1453">
    <cfRule type="cellIs" dxfId="1743" priority="4356" stopIfTrue="1" operator="equal">
      <formula>"3 Delete"</formula>
    </cfRule>
  </conditionalFormatting>
  <conditionalFormatting sqref="C1454">
    <cfRule type="cellIs" dxfId="1742" priority="4357" stopIfTrue="1" operator="equal">
      <formula>"1 Modify"</formula>
    </cfRule>
  </conditionalFormatting>
  <conditionalFormatting sqref="C1454">
    <cfRule type="cellIs" dxfId="1741" priority="4358" stopIfTrue="1" operator="equal">
      <formula>"2 Add"</formula>
    </cfRule>
  </conditionalFormatting>
  <conditionalFormatting sqref="C1454">
    <cfRule type="cellIs" dxfId="1740" priority="4359" stopIfTrue="1" operator="equal">
      <formula>"3 Delete"</formula>
    </cfRule>
  </conditionalFormatting>
  <conditionalFormatting sqref="C1455">
    <cfRule type="cellIs" dxfId="1739" priority="4360" stopIfTrue="1" operator="equal">
      <formula>"1 Modify"</formula>
    </cfRule>
  </conditionalFormatting>
  <conditionalFormatting sqref="C1455">
    <cfRule type="cellIs" dxfId="1738" priority="4361" stopIfTrue="1" operator="equal">
      <formula>"2 Add"</formula>
    </cfRule>
  </conditionalFormatting>
  <conditionalFormatting sqref="C1455">
    <cfRule type="cellIs" dxfId="1737" priority="4362" stopIfTrue="1" operator="equal">
      <formula>"3 Delete"</formula>
    </cfRule>
  </conditionalFormatting>
  <conditionalFormatting sqref="C1456">
    <cfRule type="cellIs" dxfId="1736" priority="4363" stopIfTrue="1" operator="equal">
      <formula>"1 Modify"</formula>
    </cfRule>
  </conditionalFormatting>
  <conditionalFormatting sqref="C1456">
    <cfRule type="cellIs" dxfId="1735" priority="4364" stopIfTrue="1" operator="equal">
      <formula>"2 Add"</formula>
    </cfRule>
  </conditionalFormatting>
  <conditionalFormatting sqref="C1456">
    <cfRule type="cellIs" dxfId="1734" priority="4365" stopIfTrue="1" operator="equal">
      <formula>"3 Delete"</formula>
    </cfRule>
  </conditionalFormatting>
  <conditionalFormatting sqref="C1457">
    <cfRule type="cellIs" dxfId="1733" priority="4366" stopIfTrue="1" operator="equal">
      <formula>"1 Modify"</formula>
    </cfRule>
  </conditionalFormatting>
  <conditionalFormatting sqref="C1457">
    <cfRule type="cellIs" dxfId="1732" priority="4367" stopIfTrue="1" operator="equal">
      <formula>"2 Add"</formula>
    </cfRule>
  </conditionalFormatting>
  <conditionalFormatting sqref="C1457">
    <cfRule type="cellIs" dxfId="1731" priority="4368" stopIfTrue="1" operator="equal">
      <formula>"3 Delete"</formula>
    </cfRule>
  </conditionalFormatting>
  <conditionalFormatting sqref="C1458">
    <cfRule type="cellIs" dxfId="1730" priority="4369" stopIfTrue="1" operator="equal">
      <formula>"1 Modify"</formula>
    </cfRule>
  </conditionalFormatting>
  <conditionalFormatting sqref="C1458">
    <cfRule type="cellIs" dxfId="1729" priority="4370" stopIfTrue="1" operator="equal">
      <formula>"2 Add"</formula>
    </cfRule>
  </conditionalFormatting>
  <conditionalFormatting sqref="C1458">
    <cfRule type="cellIs" dxfId="1728" priority="4371" stopIfTrue="1" operator="equal">
      <formula>"3 Delete"</formula>
    </cfRule>
  </conditionalFormatting>
  <conditionalFormatting sqref="C1459">
    <cfRule type="cellIs" dxfId="1727" priority="4372" stopIfTrue="1" operator="equal">
      <formula>"1 Modify"</formula>
    </cfRule>
  </conditionalFormatting>
  <conditionalFormatting sqref="C1459">
    <cfRule type="cellIs" dxfId="1726" priority="4373" stopIfTrue="1" operator="equal">
      <formula>"2 Add"</formula>
    </cfRule>
  </conditionalFormatting>
  <conditionalFormatting sqref="C1459">
    <cfRule type="cellIs" dxfId="1725" priority="4374" stopIfTrue="1" operator="equal">
      <formula>"3 Delete"</formula>
    </cfRule>
  </conditionalFormatting>
  <conditionalFormatting sqref="C1460">
    <cfRule type="cellIs" dxfId="1724" priority="4375" stopIfTrue="1" operator="equal">
      <formula>"1 Modify"</formula>
    </cfRule>
  </conditionalFormatting>
  <conditionalFormatting sqref="C1460">
    <cfRule type="cellIs" dxfId="1723" priority="4376" stopIfTrue="1" operator="equal">
      <formula>"2 Add"</formula>
    </cfRule>
  </conditionalFormatting>
  <conditionalFormatting sqref="C1460">
    <cfRule type="cellIs" dxfId="1722" priority="4377" stopIfTrue="1" operator="equal">
      <formula>"3 Delete"</formula>
    </cfRule>
  </conditionalFormatting>
  <conditionalFormatting sqref="C1461">
    <cfRule type="cellIs" dxfId="1721" priority="4378" stopIfTrue="1" operator="equal">
      <formula>"1 Modify"</formula>
    </cfRule>
  </conditionalFormatting>
  <conditionalFormatting sqref="C1461">
    <cfRule type="cellIs" dxfId="1720" priority="4379" stopIfTrue="1" operator="equal">
      <formula>"2 Add"</formula>
    </cfRule>
  </conditionalFormatting>
  <conditionalFormatting sqref="C1461">
    <cfRule type="cellIs" dxfId="1719" priority="4380" stopIfTrue="1" operator="equal">
      <formula>"3 Delete"</formula>
    </cfRule>
  </conditionalFormatting>
  <conditionalFormatting sqref="C1462">
    <cfRule type="cellIs" dxfId="1718" priority="4381" stopIfTrue="1" operator="equal">
      <formula>"1 Modify"</formula>
    </cfRule>
  </conditionalFormatting>
  <conditionalFormatting sqref="C1462">
    <cfRule type="cellIs" dxfId="1717" priority="4382" stopIfTrue="1" operator="equal">
      <formula>"2 Add"</formula>
    </cfRule>
  </conditionalFormatting>
  <conditionalFormatting sqref="C1462">
    <cfRule type="cellIs" dxfId="1716" priority="4383" stopIfTrue="1" operator="equal">
      <formula>"3 Delete"</formula>
    </cfRule>
  </conditionalFormatting>
  <conditionalFormatting sqref="C1463">
    <cfRule type="cellIs" dxfId="1715" priority="4384" stopIfTrue="1" operator="equal">
      <formula>"1 Modify"</formula>
    </cfRule>
  </conditionalFormatting>
  <conditionalFormatting sqref="C1463">
    <cfRule type="cellIs" dxfId="1714" priority="4385" stopIfTrue="1" operator="equal">
      <formula>"2 Add"</formula>
    </cfRule>
  </conditionalFormatting>
  <conditionalFormatting sqref="C1463">
    <cfRule type="cellIs" dxfId="1713" priority="4386" stopIfTrue="1" operator="equal">
      <formula>"3 Delete"</formula>
    </cfRule>
  </conditionalFormatting>
  <conditionalFormatting sqref="C1464">
    <cfRule type="cellIs" dxfId="1712" priority="4387" stopIfTrue="1" operator="equal">
      <formula>"1 Modify"</formula>
    </cfRule>
  </conditionalFormatting>
  <conditionalFormatting sqref="C1464">
    <cfRule type="cellIs" dxfId="1711" priority="4388" stopIfTrue="1" operator="equal">
      <formula>"2 Add"</formula>
    </cfRule>
  </conditionalFormatting>
  <conditionalFormatting sqref="C1464">
    <cfRule type="cellIs" dxfId="1710" priority="4389" stopIfTrue="1" operator="equal">
      <formula>"3 Delete"</formula>
    </cfRule>
  </conditionalFormatting>
  <conditionalFormatting sqref="C1465">
    <cfRule type="cellIs" dxfId="1709" priority="4390" stopIfTrue="1" operator="equal">
      <formula>"1 Modify"</formula>
    </cfRule>
  </conditionalFormatting>
  <conditionalFormatting sqref="C1465">
    <cfRule type="cellIs" dxfId="1708" priority="4391" stopIfTrue="1" operator="equal">
      <formula>"2 Add"</formula>
    </cfRule>
  </conditionalFormatting>
  <conditionalFormatting sqref="C1465">
    <cfRule type="cellIs" dxfId="1707" priority="4392" stopIfTrue="1" operator="equal">
      <formula>"3 Delete"</formula>
    </cfRule>
  </conditionalFormatting>
  <conditionalFormatting sqref="C1466">
    <cfRule type="cellIs" dxfId="1706" priority="4393" stopIfTrue="1" operator="equal">
      <formula>"1 Modify"</formula>
    </cfRule>
  </conditionalFormatting>
  <conditionalFormatting sqref="C1466">
    <cfRule type="cellIs" dxfId="1705" priority="4394" stopIfTrue="1" operator="equal">
      <formula>"2 Add"</formula>
    </cfRule>
  </conditionalFormatting>
  <conditionalFormatting sqref="C1466">
    <cfRule type="cellIs" dxfId="1704" priority="4395" stopIfTrue="1" operator="equal">
      <formula>"3 Delete"</formula>
    </cfRule>
  </conditionalFormatting>
  <conditionalFormatting sqref="C1467">
    <cfRule type="cellIs" dxfId="1703" priority="4396" stopIfTrue="1" operator="equal">
      <formula>"1 Modify"</formula>
    </cfRule>
  </conditionalFormatting>
  <conditionalFormatting sqref="C1467">
    <cfRule type="cellIs" dxfId="1702" priority="4397" stopIfTrue="1" operator="equal">
      <formula>"2 Add"</formula>
    </cfRule>
  </conditionalFormatting>
  <conditionalFormatting sqref="C1467">
    <cfRule type="cellIs" dxfId="1701" priority="4398" stopIfTrue="1" operator="equal">
      <formula>"3 Delete"</formula>
    </cfRule>
  </conditionalFormatting>
  <conditionalFormatting sqref="C1468">
    <cfRule type="cellIs" dxfId="1700" priority="4399" stopIfTrue="1" operator="equal">
      <formula>"1 Modify"</formula>
    </cfRule>
  </conditionalFormatting>
  <conditionalFormatting sqref="C1468">
    <cfRule type="cellIs" dxfId="1699" priority="4400" stopIfTrue="1" operator="equal">
      <formula>"2 Add"</formula>
    </cfRule>
  </conditionalFormatting>
  <conditionalFormatting sqref="C1468">
    <cfRule type="cellIs" dxfId="1698" priority="4401" stopIfTrue="1" operator="equal">
      <formula>"3 Delete"</formula>
    </cfRule>
  </conditionalFormatting>
  <conditionalFormatting sqref="C1469">
    <cfRule type="cellIs" dxfId="1697" priority="4402" stopIfTrue="1" operator="equal">
      <formula>"1 Modify"</formula>
    </cfRule>
  </conditionalFormatting>
  <conditionalFormatting sqref="C1469">
    <cfRule type="cellIs" dxfId="1696" priority="4403" stopIfTrue="1" operator="equal">
      <formula>"2 Add"</formula>
    </cfRule>
  </conditionalFormatting>
  <conditionalFormatting sqref="C1469">
    <cfRule type="cellIs" dxfId="1695" priority="4404" stopIfTrue="1" operator="equal">
      <formula>"3 Delete"</formula>
    </cfRule>
  </conditionalFormatting>
  <conditionalFormatting sqref="C1470">
    <cfRule type="cellIs" dxfId="1694" priority="4405" stopIfTrue="1" operator="equal">
      <formula>"1 Modify"</formula>
    </cfRule>
  </conditionalFormatting>
  <conditionalFormatting sqref="C1470">
    <cfRule type="cellIs" dxfId="1693" priority="4406" stopIfTrue="1" operator="equal">
      <formula>"2 Add"</formula>
    </cfRule>
  </conditionalFormatting>
  <conditionalFormatting sqref="C1470">
    <cfRule type="cellIs" dxfId="1692" priority="4407" stopIfTrue="1" operator="equal">
      <formula>"3 Delete"</formula>
    </cfRule>
  </conditionalFormatting>
  <conditionalFormatting sqref="C1471">
    <cfRule type="cellIs" dxfId="1691" priority="4408" stopIfTrue="1" operator="equal">
      <formula>"1 Modify"</formula>
    </cfRule>
  </conditionalFormatting>
  <conditionalFormatting sqref="C1471">
    <cfRule type="cellIs" dxfId="1690" priority="4409" stopIfTrue="1" operator="equal">
      <formula>"2 Add"</formula>
    </cfRule>
  </conditionalFormatting>
  <conditionalFormatting sqref="C1471">
    <cfRule type="cellIs" dxfId="1689" priority="4410" stopIfTrue="1" operator="equal">
      <formula>"3 Delete"</formula>
    </cfRule>
  </conditionalFormatting>
  <conditionalFormatting sqref="C1472">
    <cfRule type="cellIs" dxfId="1688" priority="4411" stopIfTrue="1" operator="equal">
      <formula>"1 Modify"</formula>
    </cfRule>
  </conditionalFormatting>
  <conditionalFormatting sqref="C1472">
    <cfRule type="cellIs" dxfId="1687" priority="4412" stopIfTrue="1" operator="equal">
      <formula>"2 Add"</formula>
    </cfRule>
  </conditionalFormatting>
  <conditionalFormatting sqref="C1472">
    <cfRule type="cellIs" dxfId="1686" priority="4413" stopIfTrue="1" operator="equal">
      <formula>"3 Delete"</formula>
    </cfRule>
  </conditionalFormatting>
  <conditionalFormatting sqref="C1473">
    <cfRule type="cellIs" dxfId="1685" priority="4414" stopIfTrue="1" operator="equal">
      <formula>"1 Modify"</formula>
    </cfRule>
  </conditionalFormatting>
  <conditionalFormatting sqref="C1473">
    <cfRule type="cellIs" dxfId="1684" priority="4415" stopIfTrue="1" operator="equal">
      <formula>"2 Add"</formula>
    </cfRule>
  </conditionalFormatting>
  <conditionalFormatting sqref="C1473">
    <cfRule type="cellIs" dxfId="1683" priority="4416" stopIfTrue="1" operator="equal">
      <formula>"3 Delete"</formula>
    </cfRule>
  </conditionalFormatting>
  <conditionalFormatting sqref="C1474">
    <cfRule type="cellIs" dxfId="1682" priority="4417" stopIfTrue="1" operator="equal">
      <formula>"1 Modify"</formula>
    </cfRule>
  </conditionalFormatting>
  <conditionalFormatting sqref="C1474">
    <cfRule type="cellIs" dxfId="1681" priority="4418" stopIfTrue="1" operator="equal">
      <formula>"2 Add"</formula>
    </cfRule>
  </conditionalFormatting>
  <conditionalFormatting sqref="C1474">
    <cfRule type="cellIs" dxfId="1680" priority="4419" stopIfTrue="1" operator="equal">
      <formula>"3 Delete"</formula>
    </cfRule>
  </conditionalFormatting>
  <conditionalFormatting sqref="C1475">
    <cfRule type="cellIs" dxfId="1679" priority="4420" stopIfTrue="1" operator="equal">
      <formula>"1 Modify"</formula>
    </cfRule>
  </conditionalFormatting>
  <conditionalFormatting sqref="C1475">
    <cfRule type="cellIs" dxfId="1678" priority="4421" stopIfTrue="1" operator="equal">
      <formula>"2 Add"</formula>
    </cfRule>
  </conditionalFormatting>
  <conditionalFormatting sqref="C1475">
    <cfRule type="cellIs" dxfId="1677" priority="4422" stopIfTrue="1" operator="equal">
      <formula>"3 Delete"</formula>
    </cfRule>
  </conditionalFormatting>
  <conditionalFormatting sqref="C1476">
    <cfRule type="cellIs" dxfId="1676" priority="4423" stopIfTrue="1" operator="equal">
      <formula>"1 Modify"</formula>
    </cfRule>
  </conditionalFormatting>
  <conditionalFormatting sqref="C1476">
    <cfRule type="cellIs" dxfId="1675" priority="4424" stopIfTrue="1" operator="equal">
      <formula>"2 Add"</formula>
    </cfRule>
  </conditionalFormatting>
  <conditionalFormatting sqref="C1476">
    <cfRule type="cellIs" dxfId="1674" priority="4425" stopIfTrue="1" operator="equal">
      <formula>"3 Delete"</formula>
    </cfRule>
  </conditionalFormatting>
  <conditionalFormatting sqref="C1477">
    <cfRule type="cellIs" dxfId="1673" priority="4426" stopIfTrue="1" operator="equal">
      <formula>"1 Modify"</formula>
    </cfRule>
  </conditionalFormatting>
  <conditionalFormatting sqref="C1477">
    <cfRule type="cellIs" dxfId="1672" priority="4427" stopIfTrue="1" operator="equal">
      <formula>"2 Add"</formula>
    </cfRule>
  </conditionalFormatting>
  <conditionalFormatting sqref="C1477">
    <cfRule type="cellIs" dxfId="1671" priority="4428" stopIfTrue="1" operator="equal">
      <formula>"3 Delete"</formula>
    </cfRule>
  </conditionalFormatting>
  <conditionalFormatting sqref="C1478">
    <cfRule type="cellIs" dxfId="1670" priority="4429" stopIfTrue="1" operator="equal">
      <formula>"1 Modify"</formula>
    </cfRule>
  </conditionalFormatting>
  <conditionalFormatting sqref="C1478">
    <cfRule type="cellIs" dxfId="1669" priority="4430" stopIfTrue="1" operator="equal">
      <formula>"2 Add"</formula>
    </cfRule>
  </conditionalFormatting>
  <conditionalFormatting sqref="C1478">
    <cfRule type="cellIs" dxfId="1668" priority="4431" stopIfTrue="1" operator="equal">
      <formula>"3 Delete"</formula>
    </cfRule>
  </conditionalFormatting>
  <conditionalFormatting sqref="C1479">
    <cfRule type="cellIs" dxfId="1667" priority="4432" stopIfTrue="1" operator="equal">
      <formula>"1 Modify"</formula>
    </cfRule>
  </conditionalFormatting>
  <conditionalFormatting sqref="C1479">
    <cfRule type="cellIs" dxfId="1666" priority="4433" stopIfTrue="1" operator="equal">
      <formula>"2 Add"</formula>
    </cfRule>
  </conditionalFormatting>
  <conditionalFormatting sqref="C1479">
    <cfRule type="cellIs" dxfId="1665" priority="4434" stopIfTrue="1" operator="equal">
      <formula>"3 Delete"</formula>
    </cfRule>
  </conditionalFormatting>
  <conditionalFormatting sqref="C1480">
    <cfRule type="cellIs" dxfId="1664" priority="4435" stopIfTrue="1" operator="equal">
      <formula>"1 Modify"</formula>
    </cfRule>
  </conditionalFormatting>
  <conditionalFormatting sqref="C1480">
    <cfRule type="cellIs" dxfId="1663" priority="4436" stopIfTrue="1" operator="equal">
      <formula>"2 Add"</formula>
    </cfRule>
  </conditionalFormatting>
  <conditionalFormatting sqref="C1480">
    <cfRule type="cellIs" dxfId="1662" priority="4437" stopIfTrue="1" operator="equal">
      <formula>"3 Delete"</formula>
    </cfRule>
  </conditionalFormatting>
  <conditionalFormatting sqref="C1481">
    <cfRule type="cellIs" dxfId="1661" priority="4438" stopIfTrue="1" operator="equal">
      <formula>"1 Modify"</formula>
    </cfRule>
  </conditionalFormatting>
  <conditionalFormatting sqref="C1481">
    <cfRule type="cellIs" dxfId="1660" priority="4439" stopIfTrue="1" operator="equal">
      <formula>"2 Add"</formula>
    </cfRule>
  </conditionalFormatting>
  <conditionalFormatting sqref="C1481">
    <cfRule type="cellIs" dxfId="1659" priority="4440" stopIfTrue="1" operator="equal">
      <formula>"3 Delete"</formula>
    </cfRule>
  </conditionalFormatting>
  <conditionalFormatting sqref="C1482">
    <cfRule type="cellIs" dxfId="1658" priority="4441" stopIfTrue="1" operator="equal">
      <formula>"1 Modify"</formula>
    </cfRule>
  </conditionalFormatting>
  <conditionalFormatting sqref="C1482">
    <cfRule type="cellIs" dxfId="1657" priority="4442" stopIfTrue="1" operator="equal">
      <formula>"2 Add"</formula>
    </cfRule>
  </conditionalFormatting>
  <conditionalFormatting sqref="C1482">
    <cfRule type="cellIs" dxfId="1656" priority="4443" stopIfTrue="1" operator="equal">
      <formula>"3 Delete"</formula>
    </cfRule>
  </conditionalFormatting>
  <conditionalFormatting sqref="C1483">
    <cfRule type="cellIs" dxfId="1655" priority="4444" stopIfTrue="1" operator="equal">
      <formula>"1 Modify"</formula>
    </cfRule>
  </conditionalFormatting>
  <conditionalFormatting sqref="C1483">
    <cfRule type="cellIs" dxfId="1654" priority="4445" stopIfTrue="1" operator="equal">
      <formula>"2 Add"</formula>
    </cfRule>
  </conditionalFormatting>
  <conditionalFormatting sqref="C1483">
    <cfRule type="cellIs" dxfId="1653" priority="4446" stopIfTrue="1" operator="equal">
      <formula>"3 Delete"</formula>
    </cfRule>
  </conditionalFormatting>
  <conditionalFormatting sqref="C1484">
    <cfRule type="cellIs" dxfId="1652" priority="4447" stopIfTrue="1" operator="equal">
      <formula>"1 Modify"</formula>
    </cfRule>
  </conditionalFormatting>
  <conditionalFormatting sqref="C1484">
    <cfRule type="cellIs" dxfId="1651" priority="4448" stopIfTrue="1" operator="equal">
      <formula>"2 Add"</formula>
    </cfRule>
  </conditionalFormatting>
  <conditionalFormatting sqref="C1484">
    <cfRule type="cellIs" dxfId="1650" priority="4449" stopIfTrue="1" operator="equal">
      <formula>"3 Delete"</formula>
    </cfRule>
  </conditionalFormatting>
  <conditionalFormatting sqref="C1485">
    <cfRule type="cellIs" dxfId="1649" priority="4450" stopIfTrue="1" operator="equal">
      <formula>"1 Modify"</formula>
    </cfRule>
  </conditionalFormatting>
  <conditionalFormatting sqref="C1485">
    <cfRule type="cellIs" dxfId="1648" priority="4451" stopIfTrue="1" operator="equal">
      <formula>"2 Add"</formula>
    </cfRule>
  </conditionalFormatting>
  <conditionalFormatting sqref="C1485">
    <cfRule type="cellIs" dxfId="1647" priority="4452" stopIfTrue="1" operator="equal">
      <formula>"3 Delete"</formula>
    </cfRule>
  </conditionalFormatting>
  <conditionalFormatting sqref="C1486">
    <cfRule type="cellIs" dxfId="1646" priority="4453" stopIfTrue="1" operator="equal">
      <formula>"1 Modify"</formula>
    </cfRule>
  </conditionalFormatting>
  <conditionalFormatting sqref="C1486">
    <cfRule type="cellIs" dxfId="1645" priority="4454" stopIfTrue="1" operator="equal">
      <formula>"2 Add"</formula>
    </cfRule>
  </conditionalFormatting>
  <conditionalFormatting sqref="C1486">
    <cfRule type="cellIs" dxfId="1644" priority="4455" stopIfTrue="1" operator="equal">
      <formula>"3 Delete"</formula>
    </cfRule>
  </conditionalFormatting>
  <conditionalFormatting sqref="C1487">
    <cfRule type="cellIs" dxfId="1643" priority="4456" stopIfTrue="1" operator="equal">
      <formula>"1 Modify"</formula>
    </cfRule>
  </conditionalFormatting>
  <conditionalFormatting sqref="C1487">
    <cfRule type="cellIs" dxfId="1642" priority="4457" stopIfTrue="1" operator="equal">
      <formula>"2 Add"</formula>
    </cfRule>
  </conditionalFormatting>
  <conditionalFormatting sqref="C1487">
    <cfRule type="cellIs" dxfId="1641" priority="4458" stopIfTrue="1" operator="equal">
      <formula>"3 Delete"</formula>
    </cfRule>
  </conditionalFormatting>
  <conditionalFormatting sqref="C1488">
    <cfRule type="cellIs" dxfId="1640" priority="4459" stopIfTrue="1" operator="equal">
      <formula>"1 Modify"</formula>
    </cfRule>
  </conditionalFormatting>
  <conditionalFormatting sqref="C1488">
    <cfRule type="cellIs" dxfId="1639" priority="4460" stopIfTrue="1" operator="equal">
      <formula>"2 Add"</formula>
    </cfRule>
  </conditionalFormatting>
  <conditionalFormatting sqref="C1488">
    <cfRule type="cellIs" dxfId="1638" priority="4461" stopIfTrue="1" operator="equal">
      <formula>"3 Delete"</formula>
    </cfRule>
  </conditionalFormatting>
  <conditionalFormatting sqref="C1489">
    <cfRule type="cellIs" dxfId="1637" priority="4462" stopIfTrue="1" operator="equal">
      <formula>"1 Modify"</formula>
    </cfRule>
  </conditionalFormatting>
  <conditionalFormatting sqref="C1489">
    <cfRule type="cellIs" dxfId="1636" priority="4463" stopIfTrue="1" operator="equal">
      <formula>"2 Add"</formula>
    </cfRule>
  </conditionalFormatting>
  <conditionalFormatting sqref="C1489">
    <cfRule type="cellIs" dxfId="1635" priority="4464" stopIfTrue="1" operator="equal">
      <formula>"3 Delete"</formula>
    </cfRule>
  </conditionalFormatting>
  <conditionalFormatting sqref="C1490">
    <cfRule type="cellIs" dxfId="1634" priority="4465" stopIfTrue="1" operator="equal">
      <formula>"1 Modify"</formula>
    </cfRule>
  </conditionalFormatting>
  <conditionalFormatting sqref="C1490">
    <cfRule type="cellIs" dxfId="1633" priority="4466" stopIfTrue="1" operator="equal">
      <formula>"2 Add"</formula>
    </cfRule>
  </conditionalFormatting>
  <conditionalFormatting sqref="C1490">
    <cfRule type="cellIs" dxfId="1632" priority="4467" stopIfTrue="1" operator="equal">
      <formula>"3 Delete"</formula>
    </cfRule>
  </conditionalFormatting>
  <conditionalFormatting sqref="C1491">
    <cfRule type="cellIs" dxfId="1631" priority="4468" stopIfTrue="1" operator="equal">
      <formula>"1 Modify"</formula>
    </cfRule>
  </conditionalFormatting>
  <conditionalFormatting sqref="C1491">
    <cfRule type="cellIs" dxfId="1630" priority="4469" stopIfTrue="1" operator="equal">
      <formula>"2 Add"</formula>
    </cfRule>
  </conditionalFormatting>
  <conditionalFormatting sqref="C1491">
    <cfRule type="cellIs" dxfId="1629" priority="4470" stopIfTrue="1" operator="equal">
      <formula>"3 Delete"</formula>
    </cfRule>
  </conditionalFormatting>
  <conditionalFormatting sqref="C1492">
    <cfRule type="cellIs" dxfId="1628" priority="4471" stopIfTrue="1" operator="equal">
      <formula>"1 Modify"</formula>
    </cfRule>
  </conditionalFormatting>
  <conditionalFormatting sqref="C1492">
    <cfRule type="cellIs" dxfId="1627" priority="4472" stopIfTrue="1" operator="equal">
      <formula>"2 Add"</formula>
    </cfRule>
  </conditionalFormatting>
  <conditionalFormatting sqref="C1492">
    <cfRule type="cellIs" dxfId="1626" priority="4473" stopIfTrue="1" operator="equal">
      <formula>"3 Delete"</formula>
    </cfRule>
  </conditionalFormatting>
  <conditionalFormatting sqref="C1493">
    <cfRule type="cellIs" dxfId="1625" priority="4474" stopIfTrue="1" operator="equal">
      <formula>"1 Modify"</formula>
    </cfRule>
  </conditionalFormatting>
  <conditionalFormatting sqref="C1493">
    <cfRule type="cellIs" dxfId="1624" priority="4475" stopIfTrue="1" operator="equal">
      <formula>"2 Add"</formula>
    </cfRule>
  </conditionalFormatting>
  <conditionalFormatting sqref="C1493">
    <cfRule type="cellIs" dxfId="1623" priority="4476" stopIfTrue="1" operator="equal">
      <formula>"3 Delete"</formula>
    </cfRule>
  </conditionalFormatting>
  <conditionalFormatting sqref="C1494">
    <cfRule type="cellIs" dxfId="1622" priority="4477" stopIfTrue="1" operator="equal">
      <formula>"1 Modify"</formula>
    </cfRule>
  </conditionalFormatting>
  <conditionalFormatting sqref="C1494">
    <cfRule type="cellIs" dxfId="1621" priority="4478" stopIfTrue="1" operator="equal">
      <formula>"2 Add"</formula>
    </cfRule>
  </conditionalFormatting>
  <conditionalFormatting sqref="C1494">
    <cfRule type="cellIs" dxfId="1620" priority="4479" stopIfTrue="1" operator="equal">
      <formula>"3 Delete"</formula>
    </cfRule>
  </conditionalFormatting>
  <conditionalFormatting sqref="C1495">
    <cfRule type="cellIs" dxfId="1619" priority="4480" stopIfTrue="1" operator="equal">
      <formula>"1 Modify"</formula>
    </cfRule>
  </conditionalFormatting>
  <conditionalFormatting sqref="C1495">
    <cfRule type="cellIs" dxfId="1618" priority="4481" stopIfTrue="1" operator="equal">
      <formula>"2 Add"</formula>
    </cfRule>
  </conditionalFormatting>
  <conditionalFormatting sqref="C1495">
    <cfRule type="cellIs" dxfId="1617" priority="4482" stopIfTrue="1" operator="equal">
      <formula>"3 Delete"</formula>
    </cfRule>
  </conditionalFormatting>
  <conditionalFormatting sqref="C1496">
    <cfRule type="cellIs" dxfId="1616" priority="4483" stopIfTrue="1" operator="equal">
      <formula>"1 Modify"</formula>
    </cfRule>
  </conditionalFormatting>
  <conditionalFormatting sqref="C1496">
    <cfRule type="cellIs" dxfId="1615" priority="4484" stopIfTrue="1" operator="equal">
      <formula>"2 Add"</formula>
    </cfRule>
  </conditionalFormatting>
  <conditionalFormatting sqref="C1496">
    <cfRule type="cellIs" dxfId="1614" priority="4485" stopIfTrue="1" operator="equal">
      <formula>"3 Delete"</formula>
    </cfRule>
  </conditionalFormatting>
  <conditionalFormatting sqref="C1497">
    <cfRule type="cellIs" dxfId="1613" priority="4486" stopIfTrue="1" operator="equal">
      <formula>"1 Modify"</formula>
    </cfRule>
  </conditionalFormatting>
  <conditionalFormatting sqref="C1497">
    <cfRule type="cellIs" dxfId="1612" priority="4487" stopIfTrue="1" operator="equal">
      <formula>"2 Add"</formula>
    </cfRule>
  </conditionalFormatting>
  <conditionalFormatting sqref="C1497">
    <cfRule type="cellIs" dxfId="1611" priority="4488" stopIfTrue="1" operator="equal">
      <formula>"3 Delete"</formula>
    </cfRule>
  </conditionalFormatting>
  <conditionalFormatting sqref="C1498">
    <cfRule type="cellIs" dxfId="1610" priority="4489" stopIfTrue="1" operator="equal">
      <formula>"1 Modify"</formula>
    </cfRule>
  </conditionalFormatting>
  <conditionalFormatting sqref="C1498">
    <cfRule type="cellIs" dxfId="1609" priority="4490" stopIfTrue="1" operator="equal">
      <formula>"2 Add"</formula>
    </cfRule>
  </conditionalFormatting>
  <conditionalFormatting sqref="C1498">
    <cfRule type="cellIs" dxfId="1608" priority="4491" stopIfTrue="1" operator="equal">
      <formula>"3 Delete"</formula>
    </cfRule>
  </conditionalFormatting>
  <conditionalFormatting sqref="C1499">
    <cfRule type="cellIs" dxfId="1607" priority="4492" stopIfTrue="1" operator="equal">
      <formula>"1 Modify"</formula>
    </cfRule>
  </conditionalFormatting>
  <conditionalFormatting sqref="C1499">
    <cfRule type="cellIs" dxfId="1606" priority="4493" stopIfTrue="1" operator="equal">
      <formula>"2 Add"</formula>
    </cfRule>
  </conditionalFormatting>
  <conditionalFormatting sqref="C1499">
    <cfRule type="cellIs" dxfId="1605" priority="4494" stopIfTrue="1" operator="equal">
      <formula>"3 Delete"</formula>
    </cfRule>
  </conditionalFormatting>
  <conditionalFormatting sqref="C1500">
    <cfRule type="cellIs" dxfId="1604" priority="4495" stopIfTrue="1" operator="equal">
      <formula>"1 Modify"</formula>
    </cfRule>
  </conditionalFormatting>
  <conditionalFormatting sqref="C1500">
    <cfRule type="cellIs" dxfId="1603" priority="4496" stopIfTrue="1" operator="equal">
      <formula>"2 Add"</formula>
    </cfRule>
  </conditionalFormatting>
  <conditionalFormatting sqref="C1500">
    <cfRule type="cellIs" dxfId="1602" priority="4497" stopIfTrue="1" operator="equal">
      <formula>"3 Delete"</formula>
    </cfRule>
  </conditionalFormatting>
  <conditionalFormatting sqref="C1501">
    <cfRule type="cellIs" dxfId="1601" priority="4498" stopIfTrue="1" operator="equal">
      <formula>"1 Modify"</formula>
    </cfRule>
  </conditionalFormatting>
  <conditionalFormatting sqref="C1501">
    <cfRule type="cellIs" dxfId="1600" priority="4499" stopIfTrue="1" operator="equal">
      <formula>"2 Add"</formula>
    </cfRule>
  </conditionalFormatting>
  <conditionalFormatting sqref="C1501">
    <cfRule type="cellIs" dxfId="1599" priority="4500" stopIfTrue="1" operator="equal">
      <formula>"3 Delete"</formula>
    </cfRule>
  </conditionalFormatting>
  <conditionalFormatting sqref="C1502">
    <cfRule type="cellIs" dxfId="1598" priority="4501" stopIfTrue="1" operator="equal">
      <formula>"1 Modify"</formula>
    </cfRule>
  </conditionalFormatting>
  <conditionalFormatting sqref="C1502">
    <cfRule type="cellIs" dxfId="1597" priority="4502" stopIfTrue="1" operator="equal">
      <formula>"2 Add"</formula>
    </cfRule>
  </conditionalFormatting>
  <conditionalFormatting sqref="C1502">
    <cfRule type="cellIs" dxfId="1596" priority="4503" stopIfTrue="1" operator="equal">
      <formula>"3 Delete"</formula>
    </cfRule>
  </conditionalFormatting>
  <conditionalFormatting sqref="C1503">
    <cfRule type="cellIs" dxfId="1595" priority="4504" stopIfTrue="1" operator="equal">
      <formula>"1 Modify"</formula>
    </cfRule>
  </conditionalFormatting>
  <conditionalFormatting sqref="C1503">
    <cfRule type="cellIs" dxfId="1594" priority="4505" stopIfTrue="1" operator="equal">
      <formula>"2 Add"</formula>
    </cfRule>
  </conditionalFormatting>
  <conditionalFormatting sqref="C1503">
    <cfRule type="cellIs" dxfId="1593" priority="4506" stopIfTrue="1" operator="equal">
      <formula>"3 Delete"</formula>
    </cfRule>
  </conditionalFormatting>
  <conditionalFormatting sqref="C1504">
    <cfRule type="cellIs" dxfId="1592" priority="4507" stopIfTrue="1" operator="equal">
      <formula>"1 Modify"</formula>
    </cfRule>
  </conditionalFormatting>
  <conditionalFormatting sqref="C1504">
    <cfRule type="cellIs" dxfId="1591" priority="4508" stopIfTrue="1" operator="equal">
      <formula>"2 Add"</formula>
    </cfRule>
  </conditionalFormatting>
  <conditionalFormatting sqref="C1504">
    <cfRule type="cellIs" dxfId="1590" priority="4509" stopIfTrue="1" operator="equal">
      <formula>"3 Delete"</formula>
    </cfRule>
  </conditionalFormatting>
  <conditionalFormatting sqref="C1505">
    <cfRule type="cellIs" dxfId="1589" priority="4510" stopIfTrue="1" operator="equal">
      <formula>"1 Modify"</formula>
    </cfRule>
  </conditionalFormatting>
  <conditionalFormatting sqref="C1505">
    <cfRule type="cellIs" dxfId="1588" priority="4511" stopIfTrue="1" operator="equal">
      <formula>"2 Add"</formula>
    </cfRule>
  </conditionalFormatting>
  <conditionalFormatting sqref="C1505">
    <cfRule type="cellIs" dxfId="1587" priority="4512" stopIfTrue="1" operator="equal">
      <formula>"3 Delete"</formula>
    </cfRule>
  </conditionalFormatting>
  <conditionalFormatting sqref="C1506">
    <cfRule type="cellIs" dxfId="1586" priority="4513" stopIfTrue="1" operator="equal">
      <formula>"1 Modify"</formula>
    </cfRule>
  </conditionalFormatting>
  <conditionalFormatting sqref="C1506">
    <cfRule type="cellIs" dxfId="1585" priority="4514" stopIfTrue="1" operator="equal">
      <formula>"2 Add"</formula>
    </cfRule>
  </conditionalFormatting>
  <conditionalFormatting sqref="C1506">
    <cfRule type="cellIs" dxfId="1584" priority="4515" stopIfTrue="1" operator="equal">
      <formula>"3 Delete"</formula>
    </cfRule>
  </conditionalFormatting>
  <conditionalFormatting sqref="C1507">
    <cfRule type="cellIs" dxfId="1583" priority="4516" stopIfTrue="1" operator="equal">
      <formula>"1 Modify"</formula>
    </cfRule>
  </conditionalFormatting>
  <conditionalFormatting sqref="C1507">
    <cfRule type="cellIs" dxfId="1582" priority="4517" stopIfTrue="1" operator="equal">
      <formula>"2 Add"</formula>
    </cfRule>
  </conditionalFormatting>
  <conditionalFormatting sqref="C1507">
    <cfRule type="cellIs" dxfId="1581" priority="4518" stopIfTrue="1" operator="equal">
      <formula>"3 Delete"</formula>
    </cfRule>
  </conditionalFormatting>
  <conditionalFormatting sqref="C1508">
    <cfRule type="cellIs" dxfId="1580" priority="4519" stopIfTrue="1" operator="equal">
      <formula>"1 Modify"</formula>
    </cfRule>
  </conditionalFormatting>
  <conditionalFormatting sqref="C1508">
    <cfRule type="cellIs" dxfId="1579" priority="4520" stopIfTrue="1" operator="equal">
      <formula>"2 Add"</formula>
    </cfRule>
  </conditionalFormatting>
  <conditionalFormatting sqref="C1508">
    <cfRule type="cellIs" dxfId="1578" priority="4521" stopIfTrue="1" operator="equal">
      <formula>"3 Delete"</formula>
    </cfRule>
  </conditionalFormatting>
  <conditionalFormatting sqref="C1509">
    <cfRule type="cellIs" dxfId="1577" priority="4522" stopIfTrue="1" operator="equal">
      <formula>"1 Modify"</formula>
    </cfRule>
  </conditionalFormatting>
  <conditionalFormatting sqref="C1509">
    <cfRule type="cellIs" dxfId="1576" priority="4523" stopIfTrue="1" operator="equal">
      <formula>"2 Add"</formula>
    </cfRule>
  </conditionalFormatting>
  <conditionalFormatting sqref="C1509">
    <cfRule type="cellIs" dxfId="1575" priority="4524" stopIfTrue="1" operator="equal">
      <formula>"3 Delete"</formula>
    </cfRule>
  </conditionalFormatting>
  <conditionalFormatting sqref="C1510">
    <cfRule type="cellIs" dxfId="1574" priority="4525" stopIfTrue="1" operator="equal">
      <formula>"1 Modify"</formula>
    </cfRule>
  </conditionalFormatting>
  <conditionalFormatting sqref="C1510">
    <cfRule type="cellIs" dxfId="1573" priority="4526" stopIfTrue="1" operator="equal">
      <formula>"2 Add"</formula>
    </cfRule>
  </conditionalFormatting>
  <conditionalFormatting sqref="C1510">
    <cfRule type="cellIs" dxfId="1572" priority="4527" stopIfTrue="1" operator="equal">
      <formula>"3 Delete"</formula>
    </cfRule>
  </conditionalFormatting>
  <conditionalFormatting sqref="C1511">
    <cfRule type="cellIs" dxfId="1571" priority="4528" stopIfTrue="1" operator="equal">
      <formula>"1 Modify"</formula>
    </cfRule>
  </conditionalFormatting>
  <conditionalFormatting sqref="C1511">
    <cfRule type="cellIs" dxfId="1570" priority="4529" stopIfTrue="1" operator="equal">
      <formula>"2 Add"</formula>
    </cfRule>
  </conditionalFormatting>
  <conditionalFormatting sqref="C1511">
    <cfRule type="cellIs" dxfId="1569" priority="4530" stopIfTrue="1" operator="equal">
      <formula>"3 Delete"</formula>
    </cfRule>
  </conditionalFormatting>
  <conditionalFormatting sqref="C1512">
    <cfRule type="cellIs" dxfId="1568" priority="4531" stopIfTrue="1" operator="equal">
      <formula>"1 Modify"</formula>
    </cfRule>
  </conditionalFormatting>
  <conditionalFormatting sqref="C1512">
    <cfRule type="cellIs" dxfId="1567" priority="4532" stopIfTrue="1" operator="equal">
      <formula>"2 Add"</formula>
    </cfRule>
  </conditionalFormatting>
  <conditionalFormatting sqref="C1512">
    <cfRule type="cellIs" dxfId="1566" priority="4533" stopIfTrue="1" operator="equal">
      <formula>"3 Delete"</formula>
    </cfRule>
  </conditionalFormatting>
  <conditionalFormatting sqref="C1513">
    <cfRule type="cellIs" dxfId="1565" priority="4534" stopIfTrue="1" operator="equal">
      <formula>"1 Modify"</formula>
    </cfRule>
  </conditionalFormatting>
  <conditionalFormatting sqref="C1513">
    <cfRule type="cellIs" dxfId="1564" priority="4535" stopIfTrue="1" operator="equal">
      <formula>"2 Add"</formula>
    </cfRule>
  </conditionalFormatting>
  <conditionalFormatting sqref="C1513">
    <cfRule type="cellIs" dxfId="1563" priority="4536" stopIfTrue="1" operator="equal">
      <formula>"3 Delete"</formula>
    </cfRule>
  </conditionalFormatting>
  <conditionalFormatting sqref="C1514">
    <cfRule type="cellIs" dxfId="1562" priority="4537" stopIfTrue="1" operator="equal">
      <formula>"1 Modify"</formula>
    </cfRule>
  </conditionalFormatting>
  <conditionalFormatting sqref="C1514">
    <cfRule type="cellIs" dxfId="1561" priority="4538" stopIfTrue="1" operator="equal">
      <formula>"2 Add"</formula>
    </cfRule>
  </conditionalFormatting>
  <conditionalFormatting sqref="C1514">
    <cfRule type="cellIs" dxfId="1560" priority="4539" stopIfTrue="1" operator="equal">
      <formula>"3 Delete"</formula>
    </cfRule>
  </conditionalFormatting>
  <conditionalFormatting sqref="C1515">
    <cfRule type="cellIs" dxfId="1559" priority="4540" stopIfTrue="1" operator="equal">
      <formula>"1 Modify"</formula>
    </cfRule>
  </conditionalFormatting>
  <conditionalFormatting sqref="C1515">
    <cfRule type="cellIs" dxfId="1558" priority="4541" stopIfTrue="1" operator="equal">
      <formula>"2 Add"</formula>
    </cfRule>
  </conditionalFormatting>
  <conditionalFormatting sqref="C1515">
    <cfRule type="cellIs" dxfId="1557" priority="4542" stopIfTrue="1" operator="equal">
      <formula>"3 Delete"</formula>
    </cfRule>
  </conditionalFormatting>
  <conditionalFormatting sqref="C1516">
    <cfRule type="cellIs" dxfId="1556" priority="4543" stopIfTrue="1" operator="equal">
      <formula>"1 Modify"</formula>
    </cfRule>
  </conditionalFormatting>
  <conditionalFormatting sqref="C1516">
    <cfRule type="cellIs" dxfId="1555" priority="4544" stopIfTrue="1" operator="equal">
      <formula>"2 Add"</formula>
    </cfRule>
  </conditionalFormatting>
  <conditionalFormatting sqref="C1516">
    <cfRule type="cellIs" dxfId="1554" priority="4545" stopIfTrue="1" operator="equal">
      <formula>"3 Delete"</formula>
    </cfRule>
  </conditionalFormatting>
  <conditionalFormatting sqref="C1517">
    <cfRule type="cellIs" dxfId="1553" priority="4546" stopIfTrue="1" operator="equal">
      <formula>"1 Modify"</formula>
    </cfRule>
  </conditionalFormatting>
  <conditionalFormatting sqref="C1517">
    <cfRule type="cellIs" dxfId="1552" priority="4547" stopIfTrue="1" operator="equal">
      <formula>"2 Add"</formula>
    </cfRule>
  </conditionalFormatting>
  <conditionalFormatting sqref="C1517">
    <cfRule type="cellIs" dxfId="1551" priority="4548" stopIfTrue="1" operator="equal">
      <formula>"3 Delete"</formula>
    </cfRule>
  </conditionalFormatting>
  <conditionalFormatting sqref="C1518">
    <cfRule type="cellIs" dxfId="1550" priority="4549" stopIfTrue="1" operator="equal">
      <formula>"1 Modify"</formula>
    </cfRule>
  </conditionalFormatting>
  <conditionalFormatting sqref="C1518">
    <cfRule type="cellIs" dxfId="1549" priority="4550" stopIfTrue="1" operator="equal">
      <formula>"2 Add"</formula>
    </cfRule>
  </conditionalFormatting>
  <conditionalFormatting sqref="C1518">
    <cfRule type="cellIs" dxfId="1548" priority="4551" stopIfTrue="1" operator="equal">
      <formula>"3 Delete"</formula>
    </cfRule>
  </conditionalFormatting>
  <conditionalFormatting sqref="C1519">
    <cfRule type="cellIs" dxfId="1547" priority="4552" stopIfTrue="1" operator="equal">
      <formula>"1 Modify"</formula>
    </cfRule>
  </conditionalFormatting>
  <conditionalFormatting sqref="C1519">
    <cfRule type="cellIs" dxfId="1546" priority="4553" stopIfTrue="1" operator="equal">
      <formula>"2 Add"</formula>
    </cfRule>
  </conditionalFormatting>
  <conditionalFormatting sqref="C1519">
    <cfRule type="cellIs" dxfId="1545" priority="4554" stopIfTrue="1" operator="equal">
      <formula>"3 Delete"</formula>
    </cfRule>
  </conditionalFormatting>
  <conditionalFormatting sqref="C1520">
    <cfRule type="cellIs" dxfId="1544" priority="4555" stopIfTrue="1" operator="equal">
      <formula>"1 Modify"</formula>
    </cfRule>
  </conditionalFormatting>
  <conditionalFormatting sqref="C1520">
    <cfRule type="cellIs" dxfId="1543" priority="4556" stopIfTrue="1" operator="equal">
      <formula>"2 Add"</formula>
    </cfRule>
  </conditionalFormatting>
  <conditionalFormatting sqref="C1520">
    <cfRule type="cellIs" dxfId="1542" priority="4557" stopIfTrue="1" operator="equal">
      <formula>"3 Delete"</formula>
    </cfRule>
  </conditionalFormatting>
  <conditionalFormatting sqref="C1521">
    <cfRule type="cellIs" dxfId="1541" priority="4558" stopIfTrue="1" operator="equal">
      <formula>"1 Modify"</formula>
    </cfRule>
  </conditionalFormatting>
  <conditionalFormatting sqref="C1521">
    <cfRule type="cellIs" dxfId="1540" priority="4559" stopIfTrue="1" operator="equal">
      <formula>"2 Add"</formula>
    </cfRule>
  </conditionalFormatting>
  <conditionalFormatting sqref="C1521">
    <cfRule type="cellIs" dxfId="1539" priority="4560" stopIfTrue="1" operator="equal">
      <formula>"3 Delete"</formula>
    </cfRule>
  </conditionalFormatting>
  <conditionalFormatting sqref="C1522">
    <cfRule type="cellIs" dxfId="1538" priority="4561" stopIfTrue="1" operator="equal">
      <formula>"1 Modify"</formula>
    </cfRule>
  </conditionalFormatting>
  <conditionalFormatting sqref="C1522">
    <cfRule type="cellIs" dxfId="1537" priority="4562" stopIfTrue="1" operator="equal">
      <formula>"2 Add"</formula>
    </cfRule>
  </conditionalFormatting>
  <conditionalFormatting sqref="C1522">
    <cfRule type="cellIs" dxfId="1536" priority="4563" stopIfTrue="1" operator="equal">
      <formula>"3 Delete"</formula>
    </cfRule>
  </conditionalFormatting>
  <conditionalFormatting sqref="C1523">
    <cfRule type="cellIs" dxfId="1535" priority="4564" stopIfTrue="1" operator="equal">
      <formula>"1 Modify"</formula>
    </cfRule>
  </conditionalFormatting>
  <conditionalFormatting sqref="C1523">
    <cfRule type="cellIs" dxfId="1534" priority="4565" stopIfTrue="1" operator="equal">
      <formula>"2 Add"</formula>
    </cfRule>
  </conditionalFormatting>
  <conditionalFormatting sqref="C1523">
    <cfRule type="cellIs" dxfId="1533" priority="4566" stopIfTrue="1" operator="equal">
      <formula>"3 Delete"</formula>
    </cfRule>
  </conditionalFormatting>
  <conditionalFormatting sqref="C1524">
    <cfRule type="cellIs" dxfId="1532" priority="4567" stopIfTrue="1" operator="equal">
      <formula>"1 Modify"</formula>
    </cfRule>
  </conditionalFormatting>
  <conditionalFormatting sqref="C1524">
    <cfRule type="cellIs" dxfId="1531" priority="4568" stopIfTrue="1" operator="equal">
      <formula>"2 Add"</formula>
    </cfRule>
  </conditionalFormatting>
  <conditionalFormatting sqref="C1524">
    <cfRule type="cellIs" dxfId="1530" priority="4569" stopIfTrue="1" operator="equal">
      <formula>"3 Delete"</formula>
    </cfRule>
  </conditionalFormatting>
  <conditionalFormatting sqref="C1525">
    <cfRule type="cellIs" dxfId="1529" priority="4570" stopIfTrue="1" operator="equal">
      <formula>"1 Modify"</formula>
    </cfRule>
  </conditionalFormatting>
  <conditionalFormatting sqref="C1525">
    <cfRule type="cellIs" dxfId="1528" priority="4571" stopIfTrue="1" operator="equal">
      <formula>"2 Add"</formula>
    </cfRule>
  </conditionalFormatting>
  <conditionalFormatting sqref="C1525">
    <cfRule type="cellIs" dxfId="1527" priority="4572" stopIfTrue="1" operator="equal">
      <formula>"3 Delete"</formula>
    </cfRule>
  </conditionalFormatting>
  <conditionalFormatting sqref="C1526">
    <cfRule type="cellIs" dxfId="1526" priority="4573" stopIfTrue="1" operator="equal">
      <formula>"1 Modify"</formula>
    </cfRule>
  </conditionalFormatting>
  <conditionalFormatting sqref="C1526">
    <cfRule type="cellIs" dxfId="1525" priority="4574" stopIfTrue="1" operator="equal">
      <formula>"2 Add"</formula>
    </cfRule>
  </conditionalFormatting>
  <conditionalFormatting sqref="C1526">
    <cfRule type="cellIs" dxfId="1524" priority="4575" stopIfTrue="1" operator="equal">
      <formula>"3 Delete"</formula>
    </cfRule>
  </conditionalFormatting>
  <conditionalFormatting sqref="C1527">
    <cfRule type="cellIs" dxfId="1523" priority="4576" stopIfTrue="1" operator="equal">
      <formula>"1 Modify"</formula>
    </cfRule>
  </conditionalFormatting>
  <conditionalFormatting sqref="C1527">
    <cfRule type="cellIs" dxfId="1522" priority="4577" stopIfTrue="1" operator="equal">
      <formula>"2 Add"</formula>
    </cfRule>
  </conditionalFormatting>
  <conditionalFormatting sqref="C1527">
    <cfRule type="cellIs" dxfId="1521" priority="4578" stopIfTrue="1" operator="equal">
      <formula>"3 Delete"</formula>
    </cfRule>
  </conditionalFormatting>
  <conditionalFormatting sqref="C1528">
    <cfRule type="cellIs" dxfId="1520" priority="4579" stopIfTrue="1" operator="equal">
      <formula>"1 Modify"</formula>
    </cfRule>
  </conditionalFormatting>
  <conditionalFormatting sqref="C1528">
    <cfRule type="cellIs" dxfId="1519" priority="4580" stopIfTrue="1" operator="equal">
      <formula>"2 Add"</formula>
    </cfRule>
  </conditionalFormatting>
  <conditionalFormatting sqref="C1528">
    <cfRule type="cellIs" dxfId="1518" priority="4581" stopIfTrue="1" operator="equal">
      <formula>"3 Delete"</formula>
    </cfRule>
  </conditionalFormatting>
  <conditionalFormatting sqref="C1529">
    <cfRule type="cellIs" dxfId="1517" priority="4582" stopIfTrue="1" operator="equal">
      <formula>"1 Modify"</formula>
    </cfRule>
  </conditionalFormatting>
  <conditionalFormatting sqref="C1529">
    <cfRule type="cellIs" dxfId="1516" priority="4583" stopIfTrue="1" operator="equal">
      <formula>"2 Add"</formula>
    </cfRule>
  </conditionalFormatting>
  <conditionalFormatting sqref="C1529">
    <cfRule type="cellIs" dxfId="1515" priority="4584" stopIfTrue="1" operator="equal">
      <formula>"3 Delete"</formula>
    </cfRule>
  </conditionalFormatting>
  <conditionalFormatting sqref="C1530">
    <cfRule type="cellIs" dxfId="1514" priority="4585" stopIfTrue="1" operator="equal">
      <formula>"1 Modify"</formula>
    </cfRule>
  </conditionalFormatting>
  <conditionalFormatting sqref="C1530">
    <cfRule type="cellIs" dxfId="1513" priority="4586" stopIfTrue="1" operator="equal">
      <formula>"2 Add"</formula>
    </cfRule>
  </conditionalFormatting>
  <conditionalFormatting sqref="C1530">
    <cfRule type="cellIs" dxfId="1512" priority="4587" stopIfTrue="1" operator="equal">
      <formula>"3 Delete"</formula>
    </cfRule>
  </conditionalFormatting>
  <conditionalFormatting sqref="C1531">
    <cfRule type="cellIs" dxfId="1511" priority="4588" stopIfTrue="1" operator="equal">
      <formula>"1 Modify"</formula>
    </cfRule>
  </conditionalFormatting>
  <conditionalFormatting sqref="C1531">
    <cfRule type="cellIs" dxfId="1510" priority="4589" stopIfTrue="1" operator="equal">
      <formula>"2 Add"</formula>
    </cfRule>
  </conditionalFormatting>
  <conditionalFormatting sqref="C1531">
    <cfRule type="cellIs" dxfId="1509" priority="4590" stopIfTrue="1" operator="equal">
      <formula>"3 Delete"</formula>
    </cfRule>
  </conditionalFormatting>
  <conditionalFormatting sqref="C1532">
    <cfRule type="cellIs" dxfId="1508" priority="4591" stopIfTrue="1" operator="equal">
      <formula>"1 Modify"</formula>
    </cfRule>
  </conditionalFormatting>
  <conditionalFormatting sqref="C1532">
    <cfRule type="cellIs" dxfId="1507" priority="4592" stopIfTrue="1" operator="equal">
      <formula>"2 Add"</formula>
    </cfRule>
  </conditionalFormatting>
  <conditionalFormatting sqref="C1532">
    <cfRule type="cellIs" dxfId="1506" priority="4593" stopIfTrue="1" operator="equal">
      <formula>"3 Delete"</formula>
    </cfRule>
  </conditionalFormatting>
  <conditionalFormatting sqref="C1533">
    <cfRule type="cellIs" dxfId="1505" priority="4594" stopIfTrue="1" operator="equal">
      <formula>"1 Modify"</formula>
    </cfRule>
  </conditionalFormatting>
  <conditionalFormatting sqref="C1533">
    <cfRule type="cellIs" dxfId="1504" priority="4595" stopIfTrue="1" operator="equal">
      <formula>"2 Add"</formula>
    </cfRule>
  </conditionalFormatting>
  <conditionalFormatting sqref="C1533">
    <cfRule type="cellIs" dxfId="1503" priority="4596" stopIfTrue="1" operator="equal">
      <formula>"3 Delete"</formula>
    </cfRule>
  </conditionalFormatting>
  <conditionalFormatting sqref="C1534">
    <cfRule type="cellIs" dxfId="1502" priority="4597" stopIfTrue="1" operator="equal">
      <formula>"1 Modify"</formula>
    </cfRule>
  </conditionalFormatting>
  <conditionalFormatting sqref="C1534">
    <cfRule type="cellIs" dxfId="1501" priority="4598" stopIfTrue="1" operator="equal">
      <formula>"2 Add"</formula>
    </cfRule>
  </conditionalFormatting>
  <conditionalFormatting sqref="C1534">
    <cfRule type="cellIs" dxfId="1500" priority="4599" stopIfTrue="1" operator="equal">
      <formula>"3 Delete"</formula>
    </cfRule>
  </conditionalFormatting>
  <conditionalFormatting sqref="C1535">
    <cfRule type="cellIs" dxfId="1499" priority="4600" stopIfTrue="1" operator="equal">
      <formula>"1 Modify"</formula>
    </cfRule>
  </conditionalFormatting>
  <conditionalFormatting sqref="C1535">
    <cfRule type="cellIs" dxfId="1498" priority="4601" stopIfTrue="1" operator="equal">
      <formula>"2 Add"</formula>
    </cfRule>
  </conditionalFormatting>
  <conditionalFormatting sqref="C1535">
    <cfRule type="cellIs" dxfId="1497" priority="4602" stopIfTrue="1" operator="equal">
      <formula>"3 Delete"</formula>
    </cfRule>
  </conditionalFormatting>
  <conditionalFormatting sqref="C1536">
    <cfRule type="cellIs" dxfId="1496" priority="4603" stopIfTrue="1" operator="equal">
      <formula>"1 Modify"</formula>
    </cfRule>
  </conditionalFormatting>
  <conditionalFormatting sqref="C1536">
    <cfRule type="cellIs" dxfId="1495" priority="4604" stopIfTrue="1" operator="equal">
      <formula>"2 Add"</formula>
    </cfRule>
  </conditionalFormatting>
  <conditionalFormatting sqref="C1536">
    <cfRule type="cellIs" dxfId="1494" priority="4605" stopIfTrue="1" operator="equal">
      <formula>"3 Delete"</formula>
    </cfRule>
  </conditionalFormatting>
  <conditionalFormatting sqref="C1537">
    <cfRule type="cellIs" dxfId="1493" priority="4606" stopIfTrue="1" operator="equal">
      <formula>"1 Modify"</formula>
    </cfRule>
  </conditionalFormatting>
  <conditionalFormatting sqref="C1537">
    <cfRule type="cellIs" dxfId="1492" priority="4607" stopIfTrue="1" operator="equal">
      <formula>"2 Add"</formula>
    </cfRule>
  </conditionalFormatting>
  <conditionalFormatting sqref="C1537">
    <cfRule type="cellIs" dxfId="1491" priority="4608" stopIfTrue="1" operator="equal">
      <formula>"3 Delete"</formula>
    </cfRule>
  </conditionalFormatting>
  <conditionalFormatting sqref="C1538">
    <cfRule type="cellIs" dxfId="1490" priority="4609" stopIfTrue="1" operator="equal">
      <formula>"1 Modify"</formula>
    </cfRule>
  </conditionalFormatting>
  <conditionalFormatting sqref="C1538">
    <cfRule type="cellIs" dxfId="1489" priority="4610" stopIfTrue="1" operator="equal">
      <formula>"2 Add"</formula>
    </cfRule>
  </conditionalFormatting>
  <conditionalFormatting sqref="C1538">
    <cfRule type="cellIs" dxfId="1488" priority="4611" stopIfTrue="1" operator="equal">
      <formula>"3 Delete"</formula>
    </cfRule>
  </conditionalFormatting>
  <conditionalFormatting sqref="C1539">
    <cfRule type="cellIs" dxfId="1487" priority="4612" stopIfTrue="1" operator="equal">
      <formula>"1 Modify"</formula>
    </cfRule>
  </conditionalFormatting>
  <conditionalFormatting sqref="C1539">
    <cfRule type="cellIs" dxfId="1486" priority="4613" stopIfTrue="1" operator="equal">
      <formula>"2 Add"</formula>
    </cfRule>
  </conditionalFormatting>
  <conditionalFormatting sqref="C1539">
    <cfRule type="cellIs" dxfId="1485" priority="4614" stopIfTrue="1" operator="equal">
      <formula>"3 Delete"</formula>
    </cfRule>
  </conditionalFormatting>
  <conditionalFormatting sqref="C1540">
    <cfRule type="cellIs" dxfId="1484" priority="4615" stopIfTrue="1" operator="equal">
      <formula>"1 Modify"</formula>
    </cfRule>
  </conditionalFormatting>
  <conditionalFormatting sqref="C1540">
    <cfRule type="cellIs" dxfId="1483" priority="4616" stopIfTrue="1" operator="equal">
      <formula>"2 Add"</formula>
    </cfRule>
  </conditionalFormatting>
  <conditionalFormatting sqref="C1540">
    <cfRule type="cellIs" dxfId="1482" priority="4617" stopIfTrue="1" operator="equal">
      <formula>"3 Delete"</formula>
    </cfRule>
  </conditionalFormatting>
  <conditionalFormatting sqref="C1541">
    <cfRule type="cellIs" dxfId="1481" priority="4618" stopIfTrue="1" operator="equal">
      <formula>"1 Modify"</formula>
    </cfRule>
  </conditionalFormatting>
  <conditionalFormatting sqref="C1541">
    <cfRule type="cellIs" dxfId="1480" priority="4619" stopIfTrue="1" operator="equal">
      <formula>"2 Add"</formula>
    </cfRule>
  </conditionalFormatting>
  <conditionalFormatting sqref="C1541">
    <cfRule type="cellIs" dxfId="1479" priority="4620" stopIfTrue="1" operator="equal">
      <formula>"3 Delete"</formula>
    </cfRule>
  </conditionalFormatting>
  <conditionalFormatting sqref="C1542">
    <cfRule type="cellIs" dxfId="1478" priority="4621" stopIfTrue="1" operator="equal">
      <formula>"1 Modify"</formula>
    </cfRule>
  </conditionalFormatting>
  <conditionalFormatting sqref="C1542">
    <cfRule type="cellIs" dxfId="1477" priority="4622" stopIfTrue="1" operator="equal">
      <formula>"2 Add"</formula>
    </cfRule>
  </conditionalFormatting>
  <conditionalFormatting sqref="C1542">
    <cfRule type="cellIs" dxfId="1476" priority="4623" stopIfTrue="1" operator="equal">
      <formula>"3 Delete"</formula>
    </cfRule>
  </conditionalFormatting>
  <conditionalFormatting sqref="C1543">
    <cfRule type="cellIs" dxfId="1475" priority="4624" stopIfTrue="1" operator="equal">
      <formula>"1 Modify"</formula>
    </cfRule>
  </conditionalFormatting>
  <conditionalFormatting sqref="C1543">
    <cfRule type="cellIs" dxfId="1474" priority="4625" stopIfTrue="1" operator="equal">
      <formula>"2 Add"</formula>
    </cfRule>
  </conditionalFormatting>
  <conditionalFormatting sqref="C1543">
    <cfRule type="cellIs" dxfId="1473" priority="4626" stopIfTrue="1" operator="equal">
      <formula>"3 Delete"</formula>
    </cfRule>
  </conditionalFormatting>
  <conditionalFormatting sqref="C1544">
    <cfRule type="cellIs" dxfId="1472" priority="4627" stopIfTrue="1" operator="equal">
      <formula>"1 Modify"</formula>
    </cfRule>
  </conditionalFormatting>
  <conditionalFormatting sqref="C1544">
    <cfRule type="cellIs" dxfId="1471" priority="4628" stopIfTrue="1" operator="equal">
      <formula>"2 Add"</formula>
    </cfRule>
  </conditionalFormatting>
  <conditionalFormatting sqref="C1544">
    <cfRule type="cellIs" dxfId="1470" priority="4629" stopIfTrue="1" operator="equal">
      <formula>"3 Delete"</formula>
    </cfRule>
  </conditionalFormatting>
  <conditionalFormatting sqref="C1545">
    <cfRule type="cellIs" dxfId="1469" priority="4630" stopIfTrue="1" operator="equal">
      <formula>"1 Modify"</formula>
    </cfRule>
  </conditionalFormatting>
  <conditionalFormatting sqref="C1545">
    <cfRule type="cellIs" dxfId="1468" priority="4631" stopIfTrue="1" operator="equal">
      <formula>"2 Add"</formula>
    </cfRule>
  </conditionalFormatting>
  <conditionalFormatting sqref="C1545">
    <cfRule type="cellIs" dxfId="1467" priority="4632" stopIfTrue="1" operator="equal">
      <formula>"3 Delete"</formula>
    </cfRule>
  </conditionalFormatting>
  <conditionalFormatting sqref="C1546">
    <cfRule type="cellIs" dxfId="1466" priority="4633" stopIfTrue="1" operator="equal">
      <formula>"1 Modify"</formula>
    </cfRule>
  </conditionalFormatting>
  <conditionalFormatting sqref="C1546">
    <cfRule type="cellIs" dxfId="1465" priority="4634" stopIfTrue="1" operator="equal">
      <formula>"2 Add"</formula>
    </cfRule>
  </conditionalFormatting>
  <conditionalFormatting sqref="C1546">
    <cfRule type="cellIs" dxfId="1464" priority="4635" stopIfTrue="1" operator="equal">
      <formula>"3 Delete"</formula>
    </cfRule>
  </conditionalFormatting>
  <conditionalFormatting sqref="C1547">
    <cfRule type="cellIs" dxfId="1463" priority="4636" stopIfTrue="1" operator="equal">
      <formula>"1 Modify"</formula>
    </cfRule>
  </conditionalFormatting>
  <conditionalFormatting sqref="C1547">
    <cfRule type="cellIs" dxfId="1462" priority="4637" stopIfTrue="1" operator="equal">
      <formula>"2 Add"</formula>
    </cfRule>
  </conditionalFormatting>
  <conditionalFormatting sqref="C1547">
    <cfRule type="cellIs" dxfId="1461" priority="4638" stopIfTrue="1" operator="equal">
      <formula>"3 Delete"</formula>
    </cfRule>
  </conditionalFormatting>
  <conditionalFormatting sqref="C1548">
    <cfRule type="cellIs" dxfId="1460" priority="4639" stopIfTrue="1" operator="equal">
      <formula>"1 Modify"</formula>
    </cfRule>
  </conditionalFormatting>
  <conditionalFormatting sqref="C1548">
    <cfRule type="cellIs" dxfId="1459" priority="4640" stopIfTrue="1" operator="equal">
      <formula>"2 Add"</formula>
    </cfRule>
  </conditionalFormatting>
  <conditionalFormatting sqref="C1548">
    <cfRule type="cellIs" dxfId="1458" priority="4641" stopIfTrue="1" operator="equal">
      <formula>"3 Delete"</formula>
    </cfRule>
  </conditionalFormatting>
  <conditionalFormatting sqref="C1549">
    <cfRule type="cellIs" dxfId="1457" priority="4642" stopIfTrue="1" operator="equal">
      <formula>"1 Modify"</formula>
    </cfRule>
  </conditionalFormatting>
  <conditionalFormatting sqref="C1549">
    <cfRule type="cellIs" dxfId="1456" priority="4643" stopIfTrue="1" operator="equal">
      <formula>"2 Add"</formula>
    </cfRule>
  </conditionalFormatting>
  <conditionalFormatting sqref="C1549">
    <cfRule type="cellIs" dxfId="1455" priority="4644" stopIfTrue="1" operator="equal">
      <formula>"3 Delete"</formula>
    </cfRule>
  </conditionalFormatting>
  <conditionalFormatting sqref="C1550">
    <cfRule type="cellIs" dxfId="1454" priority="4645" stopIfTrue="1" operator="equal">
      <formula>"1 Modify"</formula>
    </cfRule>
  </conditionalFormatting>
  <conditionalFormatting sqref="C1550">
    <cfRule type="cellIs" dxfId="1453" priority="4646" stopIfTrue="1" operator="equal">
      <formula>"2 Add"</formula>
    </cfRule>
  </conditionalFormatting>
  <conditionalFormatting sqref="C1550">
    <cfRule type="cellIs" dxfId="1452" priority="4647" stopIfTrue="1" operator="equal">
      <formula>"3 Delete"</formula>
    </cfRule>
  </conditionalFormatting>
  <conditionalFormatting sqref="C1551">
    <cfRule type="cellIs" dxfId="1451" priority="4648" stopIfTrue="1" operator="equal">
      <formula>"1 Modify"</formula>
    </cfRule>
  </conditionalFormatting>
  <conditionalFormatting sqref="C1551">
    <cfRule type="cellIs" dxfId="1450" priority="4649" stopIfTrue="1" operator="equal">
      <formula>"2 Add"</formula>
    </cfRule>
  </conditionalFormatting>
  <conditionalFormatting sqref="C1551">
    <cfRule type="cellIs" dxfId="1449" priority="4650" stopIfTrue="1" operator="equal">
      <formula>"3 Delete"</formula>
    </cfRule>
  </conditionalFormatting>
  <conditionalFormatting sqref="C1552">
    <cfRule type="cellIs" dxfId="1448" priority="4651" stopIfTrue="1" operator="equal">
      <formula>"1 Modify"</formula>
    </cfRule>
  </conditionalFormatting>
  <conditionalFormatting sqref="C1552">
    <cfRule type="cellIs" dxfId="1447" priority="4652" stopIfTrue="1" operator="equal">
      <formula>"2 Add"</formula>
    </cfRule>
  </conditionalFormatting>
  <conditionalFormatting sqref="C1552">
    <cfRule type="cellIs" dxfId="1446" priority="4653" stopIfTrue="1" operator="equal">
      <formula>"3 Delete"</formula>
    </cfRule>
  </conditionalFormatting>
  <conditionalFormatting sqref="C1553">
    <cfRule type="cellIs" dxfId="1445" priority="4654" stopIfTrue="1" operator="equal">
      <formula>"1 Modify"</formula>
    </cfRule>
  </conditionalFormatting>
  <conditionalFormatting sqref="C1553">
    <cfRule type="cellIs" dxfId="1444" priority="4655" stopIfTrue="1" operator="equal">
      <formula>"2 Add"</formula>
    </cfRule>
  </conditionalFormatting>
  <conditionalFormatting sqref="C1553">
    <cfRule type="cellIs" dxfId="1443" priority="4656" stopIfTrue="1" operator="equal">
      <formula>"3 Delete"</formula>
    </cfRule>
  </conditionalFormatting>
  <conditionalFormatting sqref="C1554">
    <cfRule type="cellIs" dxfId="1442" priority="4657" stopIfTrue="1" operator="equal">
      <formula>"1 Modify"</formula>
    </cfRule>
  </conditionalFormatting>
  <conditionalFormatting sqref="C1554">
    <cfRule type="cellIs" dxfId="1441" priority="4658" stopIfTrue="1" operator="equal">
      <formula>"2 Add"</formula>
    </cfRule>
  </conditionalFormatting>
  <conditionalFormatting sqref="C1554">
    <cfRule type="cellIs" dxfId="1440" priority="4659" stopIfTrue="1" operator="equal">
      <formula>"3 Delete"</formula>
    </cfRule>
  </conditionalFormatting>
  <conditionalFormatting sqref="C1555">
    <cfRule type="cellIs" dxfId="1439" priority="4660" stopIfTrue="1" operator="equal">
      <formula>"1 Modify"</formula>
    </cfRule>
  </conditionalFormatting>
  <conditionalFormatting sqref="C1555">
    <cfRule type="cellIs" dxfId="1438" priority="4661" stopIfTrue="1" operator="equal">
      <formula>"2 Add"</formula>
    </cfRule>
  </conditionalFormatting>
  <conditionalFormatting sqref="C1555">
    <cfRule type="cellIs" dxfId="1437" priority="4662" stopIfTrue="1" operator="equal">
      <formula>"3 Delete"</formula>
    </cfRule>
  </conditionalFormatting>
  <conditionalFormatting sqref="C1556">
    <cfRule type="cellIs" dxfId="1436" priority="4663" stopIfTrue="1" operator="equal">
      <formula>"1 Modify"</formula>
    </cfRule>
  </conditionalFormatting>
  <conditionalFormatting sqref="C1556">
    <cfRule type="cellIs" dxfId="1435" priority="4664" stopIfTrue="1" operator="equal">
      <formula>"2 Add"</formula>
    </cfRule>
  </conditionalFormatting>
  <conditionalFormatting sqref="C1556">
    <cfRule type="cellIs" dxfId="1434" priority="4665" stopIfTrue="1" operator="equal">
      <formula>"3 Delete"</formula>
    </cfRule>
  </conditionalFormatting>
  <conditionalFormatting sqref="C1557">
    <cfRule type="cellIs" dxfId="1433" priority="4666" stopIfTrue="1" operator="equal">
      <formula>"1 Modify"</formula>
    </cfRule>
  </conditionalFormatting>
  <conditionalFormatting sqref="C1557">
    <cfRule type="cellIs" dxfId="1432" priority="4667" stopIfTrue="1" operator="equal">
      <formula>"2 Add"</formula>
    </cfRule>
  </conditionalFormatting>
  <conditionalFormatting sqref="C1557">
    <cfRule type="cellIs" dxfId="1431" priority="4668" stopIfTrue="1" operator="equal">
      <formula>"3 Delete"</formula>
    </cfRule>
  </conditionalFormatting>
  <conditionalFormatting sqref="C1558">
    <cfRule type="cellIs" dxfId="1430" priority="4669" stopIfTrue="1" operator="equal">
      <formula>"1 Modify"</formula>
    </cfRule>
  </conditionalFormatting>
  <conditionalFormatting sqref="C1558">
    <cfRule type="cellIs" dxfId="1429" priority="4670" stopIfTrue="1" operator="equal">
      <formula>"2 Add"</formula>
    </cfRule>
  </conditionalFormatting>
  <conditionalFormatting sqref="C1558">
    <cfRule type="cellIs" dxfId="1428" priority="4671" stopIfTrue="1" operator="equal">
      <formula>"3 Delete"</formula>
    </cfRule>
  </conditionalFormatting>
  <conditionalFormatting sqref="C1559">
    <cfRule type="cellIs" dxfId="1427" priority="4672" stopIfTrue="1" operator="equal">
      <formula>"1 Modify"</formula>
    </cfRule>
  </conditionalFormatting>
  <conditionalFormatting sqref="C1559">
    <cfRule type="cellIs" dxfId="1426" priority="4673" stopIfTrue="1" operator="equal">
      <formula>"2 Add"</formula>
    </cfRule>
  </conditionalFormatting>
  <conditionalFormatting sqref="C1559">
    <cfRule type="cellIs" dxfId="1425" priority="4674" stopIfTrue="1" operator="equal">
      <formula>"3 Delete"</formula>
    </cfRule>
  </conditionalFormatting>
  <conditionalFormatting sqref="C1560">
    <cfRule type="cellIs" dxfId="1424" priority="4675" stopIfTrue="1" operator="equal">
      <formula>"1 Modify"</formula>
    </cfRule>
  </conditionalFormatting>
  <conditionalFormatting sqref="C1560">
    <cfRule type="cellIs" dxfId="1423" priority="4676" stopIfTrue="1" operator="equal">
      <formula>"2 Add"</formula>
    </cfRule>
  </conditionalFormatting>
  <conditionalFormatting sqref="C1560">
    <cfRule type="cellIs" dxfId="1422" priority="4677" stopIfTrue="1" operator="equal">
      <formula>"3 Delete"</formula>
    </cfRule>
  </conditionalFormatting>
  <conditionalFormatting sqref="C1561">
    <cfRule type="cellIs" dxfId="1421" priority="4678" stopIfTrue="1" operator="equal">
      <formula>"1 Modify"</formula>
    </cfRule>
  </conditionalFormatting>
  <conditionalFormatting sqref="C1561">
    <cfRule type="cellIs" dxfId="1420" priority="4679" stopIfTrue="1" operator="equal">
      <formula>"2 Add"</formula>
    </cfRule>
  </conditionalFormatting>
  <conditionalFormatting sqref="C1561">
    <cfRule type="cellIs" dxfId="1419" priority="4680" stopIfTrue="1" operator="equal">
      <formula>"3 Delete"</formula>
    </cfRule>
  </conditionalFormatting>
  <conditionalFormatting sqref="C1562">
    <cfRule type="cellIs" dxfId="1418" priority="4681" stopIfTrue="1" operator="equal">
      <formula>"1 Modify"</formula>
    </cfRule>
  </conditionalFormatting>
  <conditionalFormatting sqref="C1562">
    <cfRule type="cellIs" dxfId="1417" priority="4682" stopIfTrue="1" operator="equal">
      <formula>"2 Add"</formula>
    </cfRule>
  </conditionalFormatting>
  <conditionalFormatting sqref="C1562">
    <cfRule type="cellIs" dxfId="1416" priority="4683" stopIfTrue="1" operator="equal">
      <formula>"3 Delete"</formula>
    </cfRule>
  </conditionalFormatting>
  <conditionalFormatting sqref="C1563">
    <cfRule type="cellIs" dxfId="1415" priority="4684" stopIfTrue="1" operator="equal">
      <formula>"1 Modify"</formula>
    </cfRule>
  </conditionalFormatting>
  <conditionalFormatting sqref="C1563">
    <cfRule type="cellIs" dxfId="1414" priority="4685" stopIfTrue="1" operator="equal">
      <formula>"2 Add"</formula>
    </cfRule>
  </conditionalFormatting>
  <conditionalFormatting sqref="C1563">
    <cfRule type="cellIs" dxfId="1413" priority="4686" stopIfTrue="1" operator="equal">
      <formula>"3 Delete"</formula>
    </cfRule>
  </conditionalFormatting>
  <conditionalFormatting sqref="C1564">
    <cfRule type="cellIs" dxfId="1412" priority="4687" stopIfTrue="1" operator="equal">
      <formula>"1 Modify"</formula>
    </cfRule>
  </conditionalFormatting>
  <conditionalFormatting sqref="C1564">
    <cfRule type="cellIs" dxfId="1411" priority="4688" stopIfTrue="1" operator="equal">
      <formula>"2 Add"</formula>
    </cfRule>
  </conditionalFormatting>
  <conditionalFormatting sqref="C1564">
    <cfRule type="cellIs" dxfId="1410" priority="4689" stopIfTrue="1" operator="equal">
      <formula>"3 Delete"</formula>
    </cfRule>
  </conditionalFormatting>
  <conditionalFormatting sqref="C1565">
    <cfRule type="cellIs" dxfId="1409" priority="4690" stopIfTrue="1" operator="equal">
      <formula>"1 Modify"</formula>
    </cfRule>
  </conditionalFormatting>
  <conditionalFormatting sqref="C1565">
    <cfRule type="cellIs" dxfId="1408" priority="4691" stopIfTrue="1" operator="equal">
      <formula>"2 Add"</formula>
    </cfRule>
  </conditionalFormatting>
  <conditionalFormatting sqref="C1565">
    <cfRule type="cellIs" dxfId="1407" priority="4692" stopIfTrue="1" operator="equal">
      <formula>"3 Delete"</formula>
    </cfRule>
  </conditionalFormatting>
  <conditionalFormatting sqref="C1566">
    <cfRule type="cellIs" dxfId="1406" priority="4693" stopIfTrue="1" operator="equal">
      <formula>"1 Modify"</formula>
    </cfRule>
  </conditionalFormatting>
  <conditionalFormatting sqref="C1566">
    <cfRule type="cellIs" dxfId="1405" priority="4694" stopIfTrue="1" operator="equal">
      <formula>"2 Add"</formula>
    </cfRule>
  </conditionalFormatting>
  <conditionalFormatting sqref="C1566">
    <cfRule type="cellIs" dxfId="1404" priority="4695" stopIfTrue="1" operator="equal">
      <formula>"3 Delete"</formula>
    </cfRule>
  </conditionalFormatting>
  <conditionalFormatting sqref="C1567">
    <cfRule type="cellIs" dxfId="1403" priority="4696" stopIfTrue="1" operator="equal">
      <formula>"1 Modify"</formula>
    </cfRule>
  </conditionalFormatting>
  <conditionalFormatting sqref="C1567">
    <cfRule type="cellIs" dxfId="1402" priority="4697" stopIfTrue="1" operator="equal">
      <formula>"2 Add"</formula>
    </cfRule>
  </conditionalFormatting>
  <conditionalFormatting sqref="C1567">
    <cfRule type="cellIs" dxfId="1401" priority="4698" stopIfTrue="1" operator="equal">
      <formula>"3 Delete"</formula>
    </cfRule>
  </conditionalFormatting>
  <conditionalFormatting sqref="C1568">
    <cfRule type="cellIs" dxfId="1400" priority="4699" stopIfTrue="1" operator="equal">
      <formula>"1 Modify"</formula>
    </cfRule>
  </conditionalFormatting>
  <conditionalFormatting sqref="C1568">
    <cfRule type="cellIs" dxfId="1399" priority="4700" stopIfTrue="1" operator="equal">
      <formula>"2 Add"</formula>
    </cfRule>
  </conditionalFormatting>
  <conditionalFormatting sqref="C1568">
    <cfRule type="cellIs" dxfId="1398" priority="4701" stopIfTrue="1" operator="equal">
      <formula>"3 Delete"</formula>
    </cfRule>
  </conditionalFormatting>
  <conditionalFormatting sqref="C1569">
    <cfRule type="cellIs" dxfId="1397" priority="4702" stopIfTrue="1" operator="equal">
      <formula>"1 Modify"</formula>
    </cfRule>
  </conditionalFormatting>
  <conditionalFormatting sqref="C1569">
    <cfRule type="cellIs" dxfId="1396" priority="4703" stopIfTrue="1" operator="equal">
      <formula>"2 Add"</formula>
    </cfRule>
  </conditionalFormatting>
  <conditionalFormatting sqref="C1569">
    <cfRule type="cellIs" dxfId="1395" priority="4704" stopIfTrue="1" operator="equal">
      <formula>"3 Delete"</formula>
    </cfRule>
  </conditionalFormatting>
  <conditionalFormatting sqref="C1570">
    <cfRule type="cellIs" dxfId="1394" priority="4705" stopIfTrue="1" operator="equal">
      <formula>"1 Modify"</formula>
    </cfRule>
  </conditionalFormatting>
  <conditionalFormatting sqref="C1570">
    <cfRule type="cellIs" dxfId="1393" priority="4706" stopIfTrue="1" operator="equal">
      <formula>"2 Add"</formula>
    </cfRule>
  </conditionalFormatting>
  <conditionalFormatting sqref="C1570">
    <cfRule type="cellIs" dxfId="1392" priority="4707" stopIfTrue="1" operator="equal">
      <formula>"3 Delete"</formula>
    </cfRule>
  </conditionalFormatting>
  <conditionalFormatting sqref="C1571">
    <cfRule type="cellIs" dxfId="1391" priority="4708" stopIfTrue="1" operator="equal">
      <formula>"1 Modify"</formula>
    </cfRule>
  </conditionalFormatting>
  <conditionalFormatting sqref="C1571">
    <cfRule type="cellIs" dxfId="1390" priority="4709" stopIfTrue="1" operator="equal">
      <formula>"2 Add"</formula>
    </cfRule>
  </conditionalFormatting>
  <conditionalFormatting sqref="C1571">
    <cfRule type="cellIs" dxfId="1389" priority="4710" stopIfTrue="1" operator="equal">
      <formula>"3 Delete"</formula>
    </cfRule>
  </conditionalFormatting>
  <conditionalFormatting sqref="C1572">
    <cfRule type="cellIs" dxfId="1388" priority="4711" stopIfTrue="1" operator="equal">
      <formula>"1 Modify"</formula>
    </cfRule>
  </conditionalFormatting>
  <conditionalFormatting sqref="C1572">
    <cfRule type="cellIs" dxfId="1387" priority="4712" stopIfTrue="1" operator="equal">
      <formula>"2 Add"</formula>
    </cfRule>
  </conditionalFormatting>
  <conditionalFormatting sqref="C1572">
    <cfRule type="cellIs" dxfId="1386" priority="4713" stopIfTrue="1" operator="equal">
      <formula>"3 Delete"</formula>
    </cfRule>
  </conditionalFormatting>
  <conditionalFormatting sqref="C1573">
    <cfRule type="cellIs" dxfId="1385" priority="4714" stopIfTrue="1" operator="equal">
      <formula>"1 Modify"</formula>
    </cfRule>
  </conditionalFormatting>
  <conditionalFormatting sqref="C1573">
    <cfRule type="cellIs" dxfId="1384" priority="4715" stopIfTrue="1" operator="equal">
      <formula>"2 Add"</formula>
    </cfRule>
  </conditionalFormatting>
  <conditionalFormatting sqref="C1573">
    <cfRule type="cellIs" dxfId="1383" priority="4716" stopIfTrue="1" operator="equal">
      <formula>"3 Delete"</formula>
    </cfRule>
  </conditionalFormatting>
  <conditionalFormatting sqref="C1574">
    <cfRule type="cellIs" dxfId="1382" priority="4717" stopIfTrue="1" operator="equal">
      <formula>"1 Modify"</formula>
    </cfRule>
  </conditionalFormatting>
  <conditionalFormatting sqref="C1574">
    <cfRule type="cellIs" dxfId="1381" priority="4718" stopIfTrue="1" operator="equal">
      <formula>"2 Add"</formula>
    </cfRule>
  </conditionalFormatting>
  <conditionalFormatting sqref="C1574">
    <cfRule type="cellIs" dxfId="1380" priority="4719" stopIfTrue="1" operator="equal">
      <formula>"3 Delete"</formula>
    </cfRule>
  </conditionalFormatting>
  <conditionalFormatting sqref="C1575">
    <cfRule type="cellIs" dxfId="1379" priority="4720" stopIfTrue="1" operator="equal">
      <formula>"1 Modify"</formula>
    </cfRule>
  </conditionalFormatting>
  <conditionalFormatting sqref="C1575">
    <cfRule type="cellIs" dxfId="1378" priority="4721" stopIfTrue="1" operator="equal">
      <formula>"2 Add"</formula>
    </cfRule>
  </conditionalFormatting>
  <conditionalFormatting sqref="C1575">
    <cfRule type="cellIs" dxfId="1377" priority="4722" stopIfTrue="1" operator="equal">
      <formula>"3 Delete"</formula>
    </cfRule>
  </conditionalFormatting>
  <conditionalFormatting sqref="C1576">
    <cfRule type="cellIs" dxfId="1376" priority="4723" stopIfTrue="1" operator="equal">
      <formula>"1 Modify"</formula>
    </cfRule>
  </conditionalFormatting>
  <conditionalFormatting sqref="C1576">
    <cfRule type="cellIs" dxfId="1375" priority="4724" stopIfTrue="1" operator="equal">
      <formula>"2 Add"</formula>
    </cfRule>
  </conditionalFormatting>
  <conditionalFormatting sqref="C1576">
    <cfRule type="cellIs" dxfId="1374" priority="4725" stopIfTrue="1" operator="equal">
      <formula>"3 Delete"</formula>
    </cfRule>
  </conditionalFormatting>
  <conditionalFormatting sqref="C1577">
    <cfRule type="cellIs" dxfId="1373" priority="4726" stopIfTrue="1" operator="equal">
      <formula>"1 Modify"</formula>
    </cfRule>
  </conditionalFormatting>
  <conditionalFormatting sqref="C1577">
    <cfRule type="cellIs" dxfId="1372" priority="4727" stopIfTrue="1" operator="equal">
      <formula>"2 Add"</formula>
    </cfRule>
  </conditionalFormatting>
  <conditionalFormatting sqref="C1577">
    <cfRule type="cellIs" dxfId="1371" priority="4728" stopIfTrue="1" operator="equal">
      <formula>"3 Delete"</formula>
    </cfRule>
  </conditionalFormatting>
  <conditionalFormatting sqref="C1578">
    <cfRule type="cellIs" dxfId="1370" priority="4729" stopIfTrue="1" operator="equal">
      <formula>"1 Modify"</formula>
    </cfRule>
  </conditionalFormatting>
  <conditionalFormatting sqref="C1578">
    <cfRule type="cellIs" dxfId="1369" priority="4730" stopIfTrue="1" operator="equal">
      <formula>"2 Add"</formula>
    </cfRule>
  </conditionalFormatting>
  <conditionalFormatting sqref="C1578">
    <cfRule type="cellIs" dxfId="1368" priority="4731" stopIfTrue="1" operator="equal">
      <formula>"3 Delete"</formula>
    </cfRule>
  </conditionalFormatting>
  <conditionalFormatting sqref="C1579">
    <cfRule type="cellIs" dxfId="1367" priority="4732" stopIfTrue="1" operator="equal">
      <formula>"1 Modify"</formula>
    </cfRule>
  </conditionalFormatting>
  <conditionalFormatting sqref="C1579">
    <cfRule type="cellIs" dxfId="1366" priority="4733" stopIfTrue="1" operator="equal">
      <formula>"2 Add"</formula>
    </cfRule>
  </conditionalFormatting>
  <conditionalFormatting sqref="C1579">
    <cfRule type="cellIs" dxfId="1365" priority="4734" stopIfTrue="1" operator="equal">
      <formula>"3 Delete"</formula>
    </cfRule>
  </conditionalFormatting>
  <conditionalFormatting sqref="C1580">
    <cfRule type="cellIs" dxfId="1364" priority="4735" stopIfTrue="1" operator="equal">
      <formula>"1 Modify"</formula>
    </cfRule>
  </conditionalFormatting>
  <conditionalFormatting sqref="C1580">
    <cfRule type="cellIs" dxfId="1363" priority="4736" stopIfTrue="1" operator="equal">
      <formula>"2 Add"</formula>
    </cfRule>
  </conditionalFormatting>
  <conditionalFormatting sqref="C1580">
    <cfRule type="cellIs" dxfId="1362" priority="4737" stopIfTrue="1" operator="equal">
      <formula>"3 Delete"</formula>
    </cfRule>
  </conditionalFormatting>
  <conditionalFormatting sqref="C1581">
    <cfRule type="cellIs" dxfId="1361" priority="4738" stopIfTrue="1" operator="equal">
      <formula>"1 Modify"</formula>
    </cfRule>
  </conditionalFormatting>
  <conditionalFormatting sqref="C1581">
    <cfRule type="cellIs" dxfId="1360" priority="4739" stopIfTrue="1" operator="equal">
      <formula>"2 Add"</formula>
    </cfRule>
  </conditionalFormatting>
  <conditionalFormatting sqref="C1581">
    <cfRule type="cellIs" dxfId="1359" priority="4740" stopIfTrue="1" operator="equal">
      <formula>"3 Delete"</formula>
    </cfRule>
  </conditionalFormatting>
  <conditionalFormatting sqref="C1582">
    <cfRule type="cellIs" dxfId="1358" priority="4741" stopIfTrue="1" operator="equal">
      <formula>"1 Modify"</formula>
    </cfRule>
  </conditionalFormatting>
  <conditionalFormatting sqref="C1582">
    <cfRule type="cellIs" dxfId="1357" priority="4742" stopIfTrue="1" operator="equal">
      <formula>"2 Add"</formula>
    </cfRule>
  </conditionalFormatting>
  <conditionalFormatting sqref="C1582">
    <cfRule type="cellIs" dxfId="1356" priority="4743" stopIfTrue="1" operator="equal">
      <formula>"3 Delete"</formula>
    </cfRule>
  </conditionalFormatting>
  <conditionalFormatting sqref="C1583">
    <cfRule type="cellIs" dxfId="1355" priority="4744" stopIfTrue="1" operator="equal">
      <formula>"1 Modify"</formula>
    </cfRule>
  </conditionalFormatting>
  <conditionalFormatting sqref="C1583">
    <cfRule type="cellIs" dxfId="1354" priority="4745" stopIfTrue="1" operator="equal">
      <formula>"2 Add"</formula>
    </cfRule>
  </conditionalFormatting>
  <conditionalFormatting sqref="C1583">
    <cfRule type="cellIs" dxfId="1353" priority="4746" stopIfTrue="1" operator="equal">
      <formula>"3 Delete"</formula>
    </cfRule>
  </conditionalFormatting>
  <conditionalFormatting sqref="C1584">
    <cfRule type="cellIs" dxfId="1352" priority="4747" stopIfTrue="1" operator="equal">
      <formula>"1 Modify"</formula>
    </cfRule>
  </conditionalFormatting>
  <conditionalFormatting sqref="C1584">
    <cfRule type="cellIs" dxfId="1351" priority="4748" stopIfTrue="1" operator="equal">
      <formula>"2 Add"</formula>
    </cfRule>
  </conditionalFormatting>
  <conditionalFormatting sqref="C1584">
    <cfRule type="cellIs" dxfId="1350" priority="4749" stopIfTrue="1" operator="equal">
      <formula>"3 Delete"</formula>
    </cfRule>
  </conditionalFormatting>
  <conditionalFormatting sqref="C1585">
    <cfRule type="cellIs" dxfId="1349" priority="4750" stopIfTrue="1" operator="equal">
      <formula>"1 Modify"</formula>
    </cfRule>
  </conditionalFormatting>
  <conditionalFormatting sqref="C1585">
    <cfRule type="cellIs" dxfId="1348" priority="4751" stopIfTrue="1" operator="equal">
      <formula>"2 Add"</formula>
    </cfRule>
  </conditionalFormatting>
  <conditionalFormatting sqref="C1585">
    <cfRule type="cellIs" dxfId="1347" priority="4752" stopIfTrue="1" operator="equal">
      <formula>"3 Delete"</formula>
    </cfRule>
  </conditionalFormatting>
  <conditionalFormatting sqref="C1586">
    <cfRule type="cellIs" dxfId="1346" priority="4753" stopIfTrue="1" operator="equal">
      <formula>"1 Modify"</formula>
    </cfRule>
  </conditionalFormatting>
  <conditionalFormatting sqref="C1586">
    <cfRule type="cellIs" dxfId="1345" priority="4754" stopIfTrue="1" operator="equal">
      <formula>"2 Add"</formula>
    </cfRule>
  </conditionalFormatting>
  <conditionalFormatting sqref="C1586">
    <cfRule type="cellIs" dxfId="1344" priority="4755" stopIfTrue="1" operator="equal">
      <formula>"3 Delete"</formula>
    </cfRule>
  </conditionalFormatting>
  <conditionalFormatting sqref="C1587">
    <cfRule type="cellIs" dxfId="1343" priority="4756" stopIfTrue="1" operator="equal">
      <formula>"1 Modify"</formula>
    </cfRule>
  </conditionalFormatting>
  <conditionalFormatting sqref="C1587">
    <cfRule type="cellIs" dxfId="1342" priority="4757" stopIfTrue="1" operator="equal">
      <formula>"2 Add"</formula>
    </cfRule>
  </conditionalFormatting>
  <conditionalFormatting sqref="C1587">
    <cfRule type="cellIs" dxfId="1341" priority="4758" stopIfTrue="1" operator="equal">
      <formula>"3 Delete"</formula>
    </cfRule>
  </conditionalFormatting>
  <conditionalFormatting sqref="C1588">
    <cfRule type="cellIs" dxfId="1340" priority="4759" stopIfTrue="1" operator="equal">
      <formula>"1 Modify"</formula>
    </cfRule>
  </conditionalFormatting>
  <conditionalFormatting sqref="C1588">
    <cfRule type="cellIs" dxfId="1339" priority="4760" stopIfTrue="1" operator="equal">
      <formula>"2 Add"</formula>
    </cfRule>
  </conditionalFormatting>
  <conditionalFormatting sqref="C1588">
    <cfRule type="cellIs" dxfId="1338" priority="4761" stopIfTrue="1" operator="equal">
      <formula>"3 Delete"</formula>
    </cfRule>
  </conditionalFormatting>
  <conditionalFormatting sqref="C1589">
    <cfRule type="cellIs" dxfId="1337" priority="4762" stopIfTrue="1" operator="equal">
      <formula>"1 Modify"</formula>
    </cfRule>
  </conditionalFormatting>
  <conditionalFormatting sqref="C1589">
    <cfRule type="cellIs" dxfId="1336" priority="4763" stopIfTrue="1" operator="equal">
      <formula>"2 Add"</formula>
    </cfRule>
  </conditionalFormatting>
  <conditionalFormatting sqref="C1589">
    <cfRule type="cellIs" dxfId="1335" priority="4764" stopIfTrue="1" operator="equal">
      <formula>"3 Delete"</formula>
    </cfRule>
  </conditionalFormatting>
  <conditionalFormatting sqref="C1590">
    <cfRule type="cellIs" dxfId="1334" priority="4765" stopIfTrue="1" operator="equal">
      <formula>"1 Modify"</formula>
    </cfRule>
  </conditionalFormatting>
  <conditionalFormatting sqref="C1590">
    <cfRule type="cellIs" dxfId="1333" priority="4766" stopIfTrue="1" operator="equal">
      <formula>"2 Add"</formula>
    </cfRule>
  </conditionalFormatting>
  <conditionalFormatting sqref="C1590">
    <cfRule type="cellIs" dxfId="1332" priority="4767" stopIfTrue="1" operator="equal">
      <formula>"3 Delete"</formula>
    </cfRule>
  </conditionalFormatting>
  <conditionalFormatting sqref="C1591">
    <cfRule type="cellIs" dxfId="1331" priority="4768" stopIfTrue="1" operator="equal">
      <formula>"1 Modify"</formula>
    </cfRule>
  </conditionalFormatting>
  <conditionalFormatting sqref="C1591">
    <cfRule type="cellIs" dxfId="1330" priority="4769" stopIfTrue="1" operator="equal">
      <formula>"2 Add"</formula>
    </cfRule>
  </conditionalFormatting>
  <conditionalFormatting sqref="C1591">
    <cfRule type="cellIs" dxfId="1329" priority="4770" stopIfTrue="1" operator="equal">
      <formula>"3 Delete"</formula>
    </cfRule>
  </conditionalFormatting>
  <conditionalFormatting sqref="C1592">
    <cfRule type="cellIs" dxfId="1328" priority="4771" stopIfTrue="1" operator="equal">
      <formula>"1 Modify"</formula>
    </cfRule>
  </conditionalFormatting>
  <conditionalFormatting sqref="C1592">
    <cfRule type="cellIs" dxfId="1327" priority="4772" stopIfTrue="1" operator="equal">
      <formula>"2 Add"</formula>
    </cfRule>
  </conditionalFormatting>
  <conditionalFormatting sqref="C1592">
    <cfRule type="cellIs" dxfId="1326" priority="4773" stopIfTrue="1" operator="equal">
      <formula>"3 Delete"</formula>
    </cfRule>
  </conditionalFormatting>
  <conditionalFormatting sqref="C1593">
    <cfRule type="cellIs" dxfId="1325" priority="4774" stopIfTrue="1" operator="equal">
      <formula>"1 Modify"</formula>
    </cfRule>
  </conditionalFormatting>
  <conditionalFormatting sqref="C1593">
    <cfRule type="cellIs" dxfId="1324" priority="4775" stopIfTrue="1" operator="equal">
      <formula>"2 Add"</formula>
    </cfRule>
  </conditionalFormatting>
  <conditionalFormatting sqref="C1593">
    <cfRule type="cellIs" dxfId="1323" priority="4776" stopIfTrue="1" operator="equal">
      <formula>"3 Delete"</formula>
    </cfRule>
  </conditionalFormatting>
  <conditionalFormatting sqref="C1594">
    <cfRule type="cellIs" dxfId="1322" priority="4777" stopIfTrue="1" operator="equal">
      <formula>"1 Modify"</formula>
    </cfRule>
  </conditionalFormatting>
  <conditionalFormatting sqref="C1594">
    <cfRule type="cellIs" dxfId="1321" priority="4778" stopIfTrue="1" operator="equal">
      <formula>"2 Add"</formula>
    </cfRule>
  </conditionalFormatting>
  <conditionalFormatting sqref="C1594">
    <cfRule type="cellIs" dxfId="1320" priority="4779" stopIfTrue="1" operator="equal">
      <formula>"3 Delete"</formula>
    </cfRule>
  </conditionalFormatting>
  <conditionalFormatting sqref="C1595">
    <cfRule type="cellIs" dxfId="1319" priority="4780" stopIfTrue="1" operator="equal">
      <formula>"1 Modify"</formula>
    </cfRule>
  </conditionalFormatting>
  <conditionalFormatting sqref="C1595">
    <cfRule type="cellIs" dxfId="1318" priority="4781" stopIfTrue="1" operator="equal">
      <formula>"2 Add"</formula>
    </cfRule>
  </conditionalFormatting>
  <conditionalFormatting sqref="C1595">
    <cfRule type="cellIs" dxfId="1317" priority="4782" stopIfTrue="1" operator="equal">
      <formula>"3 Delete"</formula>
    </cfRule>
  </conditionalFormatting>
  <conditionalFormatting sqref="C1596">
    <cfRule type="cellIs" dxfId="1316" priority="4783" stopIfTrue="1" operator="equal">
      <formula>"1 Modify"</formula>
    </cfRule>
  </conditionalFormatting>
  <conditionalFormatting sqref="C1596">
    <cfRule type="cellIs" dxfId="1315" priority="4784" stopIfTrue="1" operator="equal">
      <formula>"2 Add"</formula>
    </cfRule>
  </conditionalFormatting>
  <conditionalFormatting sqref="C1596">
    <cfRule type="cellIs" dxfId="1314" priority="4785" stopIfTrue="1" operator="equal">
      <formula>"3 Delete"</formula>
    </cfRule>
  </conditionalFormatting>
  <conditionalFormatting sqref="C1597">
    <cfRule type="cellIs" dxfId="1313" priority="4786" stopIfTrue="1" operator="equal">
      <formula>"1 Modify"</formula>
    </cfRule>
  </conditionalFormatting>
  <conditionalFormatting sqref="C1597">
    <cfRule type="cellIs" dxfId="1312" priority="4787" stopIfTrue="1" operator="equal">
      <formula>"2 Add"</formula>
    </cfRule>
  </conditionalFormatting>
  <conditionalFormatting sqref="C1597">
    <cfRule type="cellIs" dxfId="1311" priority="4788" stopIfTrue="1" operator="equal">
      <formula>"3 Delete"</formula>
    </cfRule>
  </conditionalFormatting>
  <conditionalFormatting sqref="C1598">
    <cfRule type="cellIs" dxfId="1310" priority="4789" stopIfTrue="1" operator="equal">
      <formula>"1 Modify"</formula>
    </cfRule>
  </conditionalFormatting>
  <conditionalFormatting sqref="C1598">
    <cfRule type="cellIs" dxfId="1309" priority="4790" stopIfTrue="1" operator="equal">
      <formula>"2 Add"</formula>
    </cfRule>
  </conditionalFormatting>
  <conditionalFormatting sqref="C1598">
    <cfRule type="cellIs" dxfId="1308" priority="4791" stopIfTrue="1" operator="equal">
      <formula>"3 Delete"</formula>
    </cfRule>
  </conditionalFormatting>
  <conditionalFormatting sqref="C1599">
    <cfRule type="cellIs" dxfId="1307" priority="4792" stopIfTrue="1" operator="equal">
      <formula>"1 Modify"</formula>
    </cfRule>
  </conditionalFormatting>
  <conditionalFormatting sqref="C1599">
    <cfRule type="cellIs" dxfId="1306" priority="4793" stopIfTrue="1" operator="equal">
      <formula>"2 Add"</formula>
    </cfRule>
  </conditionalFormatting>
  <conditionalFormatting sqref="C1599">
    <cfRule type="cellIs" dxfId="1305" priority="4794" stopIfTrue="1" operator="equal">
      <formula>"3 Delete"</formula>
    </cfRule>
  </conditionalFormatting>
  <conditionalFormatting sqref="C1600">
    <cfRule type="cellIs" dxfId="1304" priority="4795" stopIfTrue="1" operator="equal">
      <formula>"1 Modify"</formula>
    </cfRule>
  </conditionalFormatting>
  <conditionalFormatting sqref="C1600">
    <cfRule type="cellIs" dxfId="1303" priority="4796" stopIfTrue="1" operator="equal">
      <formula>"2 Add"</formula>
    </cfRule>
  </conditionalFormatting>
  <conditionalFormatting sqref="C1600">
    <cfRule type="cellIs" dxfId="1302" priority="4797" stopIfTrue="1" operator="equal">
      <formula>"3 Delete"</formula>
    </cfRule>
  </conditionalFormatting>
  <conditionalFormatting sqref="C1601">
    <cfRule type="cellIs" dxfId="1301" priority="4798" stopIfTrue="1" operator="equal">
      <formula>"1 Modify"</formula>
    </cfRule>
  </conditionalFormatting>
  <conditionalFormatting sqref="C1601">
    <cfRule type="cellIs" dxfId="1300" priority="4799" stopIfTrue="1" operator="equal">
      <formula>"2 Add"</formula>
    </cfRule>
  </conditionalFormatting>
  <conditionalFormatting sqref="C1601">
    <cfRule type="cellIs" dxfId="1299" priority="4800" stopIfTrue="1" operator="equal">
      <formula>"3 Delete"</formula>
    </cfRule>
  </conditionalFormatting>
  <conditionalFormatting sqref="C1602">
    <cfRule type="cellIs" dxfId="1298" priority="4801" stopIfTrue="1" operator="equal">
      <formula>"1 Modify"</formula>
    </cfRule>
  </conditionalFormatting>
  <conditionalFormatting sqref="C1602">
    <cfRule type="cellIs" dxfId="1297" priority="4802" stopIfTrue="1" operator="equal">
      <formula>"2 Add"</formula>
    </cfRule>
  </conditionalFormatting>
  <conditionalFormatting sqref="C1602">
    <cfRule type="cellIs" dxfId="1296" priority="4803" stopIfTrue="1" operator="equal">
      <formula>"3 Delete"</formula>
    </cfRule>
  </conditionalFormatting>
  <conditionalFormatting sqref="C1603">
    <cfRule type="cellIs" dxfId="1295" priority="4804" stopIfTrue="1" operator="equal">
      <formula>"1 Modify"</formula>
    </cfRule>
  </conditionalFormatting>
  <conditionalFormatting sqref="C1603">
    <cfRule type="cellIs" dxfId="1294" priority="4805" stopIfTrue="1" operator="equal">
      <formula>"2 Add"</formula>
    </cfRule>
  </conditionalFormatting>
  <conditionalFormatting sqref="C1603">
    <cfRule type="cellIs" dxfId="1293" priority="4806" stopIfTrue="1" operator="equal">
      <formula>"3 Delete"</formula>
    </cfRule>
  </conditionalFormatting>
  <conditionalFormatting sqref="C1604">
    <cfRule type="cellIs" dxfId="1292" priority="4807" stopIfTrue="1" operator="equal">
      <formula>"1 Modify"</formula>
    </cfRule>
  </conditionalFormatting>
  <conditionalFormatting sqref="C1604">
    <cfRule type="cellIs" dxfId="1291" priority="4808" stopIfTrue="1" operator="equal">
      <formula>"2 Add"</formula>
    </cfRule>
  </conditionalFormatting>
  <conditionalFormatting sqref="C1604">
    <cfRule type="cellIs" dxfId="1290" priority="4809" stopIfTrue="1" operator="equal">
      <formula>"3 Delete"</formula>
    </cfRule>
  </conditionalFormatting>
  <conditionalFormatting sqref="C1605">
    <cfRule type="cellIs" dxfId="1289" priority="4810" stopIfTrue="1" operator="equal">
      <formula>"1 Modify"</formula>
    </cfRule>
  </conditionalFormatting>
  <conditionalFormatting sqref="C1605">
    <cfRule type="cellIs" dxfId="1288" priority="4811" stopIfTrue="1" operator="equal">
      <formula>"2 Add"</formula>
    </cfRule>
  </conditionalFormatting>
  <conditionalFormatting sqref="C1605">
    <cfRule type="cellIs" dxfId="1287" priority="4812" stopIfTrue="1" operator="equal">
      <formula>"3 Delete"</formula>
    </cfRule>
  </conditionalFormatting>
  <conditionalFormatting sqref="C1606">
    <cfRule type="cellIs" dxfId="1286" priority="4813" stopIfTrue="1" operator="equal">
      <formula>"1 Modify"</formula>
    </cfRule>
  </conditionalFormatting>
  <conditionalFormatting sqref="C1606">
    <cfRule type="cellIs" dxfId="1285" priority="4814" stopIfTrue="1" operator="equal">
      <formula>"2 Add"</formula>
    </cfRule>
  </conditionalFormatting>
  <conditionalFormatting sqref="C1606">
    <cfRule type="cellIs" dxfId="1284" priority="4815" stopIfTrue="1" operator="equal">
      <formula>"3 Delete"</formula>
    </cfRule>
  </conditionalFormatting>
  <conditionalFormatting sqref="C1607">
    <cfRule type="cellIs" dxfId="1283" priority="4816" stopIfTrue="1" operator="equal">
      <formula>"1 Modify"</formula>
    </cfRule>
  </conditionalFormatting>
  <conditionalFormatting sqref="C1607">
    <cfRule type="cellIs" dxfId="1282" priority="4817" stopIfTrue="1" operator="equal">
      <formula>"2 Add"</formula>
    </cfRule>
  </conditionalFormatting>
  <conditionalFormatting sqref="C1607">
    <cfRule type="cellIs" dxfId="1281" priority="4818" stopIfTrue="1" operator="equal">
      <formula>"3 Delete"</formula>
    </cfRule>
  </conditionalFormatting>
  <conditionalFormatting sqref="C1608">
    <cfRule type="cellIs" dxfId="1280" priority="4819" stopIfTrue="1" operator="equal">
      <formula>"1 Modify"</formula>
    </cfRule>
  </conditionalFormatting>
  <conditionalFormatting sqref="C1608">
    <cfRule type="cellIs" dxfId="1279" priority="4820" stopIfTrue="1" operator="equal">
      <formula>"2 Add"</formula>
    </cfRule>
  </conditionalFormatting>
  <conditionalFormatting sqref="C1608">
    <cfRule type="cellIs" dxfId="1278" priority="4821" stopIfTrue="1" operator="equal">
      <formula>"3 Delete"</formula>
    </cfRule>
  </conditionalFormatting>
  <conditionalFormatting sqref="C1609">
    <cfRule type="cellIs" dxfId="1277" priority="4822" stopIfTrue="1" operator="equal">
      <formula>"1 Modify"</formula>
    </cfRule>
  </conditionalFormatting>
  <conditionalFormatting sqref="C1609">
    <cfRule type="cellIs" dxfId="1276" priority="4823" stopIfTrue="1" operator="equal">
      <formula>"2 Add"</formula>
    </cfRule>
  </conditionalFormatting>
  <conditionalFormatting sqref="C1609">
    <cfRule type="cellIs" dxfId="1275" priority="4824" stopIfTrue="1" operator="equal">
      <formula>"3 Delete"</formula>
    </cfRule>
  </conditionalFormatting>
  <conditionalFormatting sqref="C1610">
    <cfRule type="cellIs" dxfId="1274" priority="4825" stopIfTrue="1" operator="equal">
      <formula>"1 Modify"</formula>
    </cfRule>
  </conditionalFormatting>
  <conditionalFormatting sqref="C1610">
    <cfRule type="cellIs" dxfId="1273" priority="4826" stopIfTrue="1" operator="equal">
      <formula>"2 Add"</formula>
    </cfRule>
  </conditionalFormatting>
  <conditionalFormatting sqref="C1610">
    <cfRule type="cellIs" dxfId="1272" priority="4827" stopIfTrue="1" operator="equal">
      <formula>"3 Delete"</formula>
    </cfRule>
  </conditionalFormatting>
  <conditionalFormatting sqref="C1611">
    <cfRule type="cellIs" dxfId="1271" priority="4828" stopIfTrue="1" operator="equal">
      <formula>"1 Modify"</formula>
    </cfRule>
  </conditionalFormatting>
  <conditionalFormatting sqref="C1611">
    <cfRule type="cellIs" dxfId="1270" priority="4829" stopIfTrue="1" operator="equal">
      <formula>"2 Add"</formula>
    </cfRule>
  </conditionalFormatting>
  <conditionalFormatting sqref="C1611">
    <cfRule type="cellIs" dxfId="1269" priority="4830" stopIfTrue="1" operator="equal">
      <formula>"3 Delete"</formula>
    </cfRule>
  </conditionalFormatting>
  <conditionalFormatting sqref="C1612">
    <cfRule type="cellIs" dxfId="1268" priority="4831" stopIfTrue="1" operator="equal">
      <formula>"1 Modify"</formula>
    </cfRule>
  </conditionalFormatting>
  <conditionalFormatting sqref="C1612">
    <cfRule type="cellIs" dxfId="1267" priority="4832" stopIfTrue="1" operator="equal">
      <formula>"2 Add"</formula>
    </cfRule>
  </conditionalFormatting>
  <conditionalFormatting sqref="C1612">
    <cfRule type="cellIs" dxfId="1266" priority="4833" stopIfTrue="1" operator="equal">
      <formula>"3 Delete"</formula>
    </cfRule>
  </conditionalFormatting>
  <conditionalFormatting sqref="C1613">
    <cfRule type="cellIs" dxfId="1265" priority="4834" stopIfTrue="1" operator="equal">
      <formula>"1 Modify"</formula>
    </cfRule>
  </conditionalFormatting>
  <conditionalFormatting sqref="C1613">
    <cfRule type="cellIs" dxfId="1264" priority="4835" stopIfTrue="1" operator="equal">
      <formula>"2 Add"</formula>
    </cfRule>
  </conditionalFormatting>
  <conditionalFormatting sqref="C1613">
    <cfRule type="cellIs" dxfId="1263" priority="4836" stopIfTrue="1" operator="equal">
      <formula>"3 Delete"</formula>
    </cfRule>
  </conditionalFormatting>
  <conditionalFormatting sqref="C1614">
    <cfRule type="cellIs" dxfId="1262" priority="4837" stopIfTrue="1" operator="equal">
      <formula>"1 Modify"</formula>
    </cfRule>
  </conditionalFormatting>
  <conditionalFormatting sqref="C1614">
    <cfRule type="cellIs" dxfId="1261" priority="4838" stopIfTrue="1" operator="equal">
      <formula>"2 Add"</formula>
    </cfRule>
  </conditionalFormatting>
  <conditionalFormatting sqref="C1614">
    <cfRule type="cellIs" dxfId="1260" priority="4839" stopIfTrue="1" operator="equal">
      <formula>"3 Delete"</formula>
    </cfRule>
  </conditionalFormatting>
  <conditionalFormatting sqref="C1615">
    <cfRule type="cellIs" dxfId="1259" priority="4840" stopIfTrue="1" operator="equal">
      <formula>"1 Modify"</formula>
    </cfRule>
  </conditionalFormatting>
  <conditionalFormatting sqref="C1615">
    <cfRule type="cellIs" dxfId="1258" priority="4841" stopIfTrue="1" operator="equal">
      <formula>"2 Add"</formula>
    </cfRule>
  </conditionalFormatting>
  <conditionalFormatting sqref="C1615">
    <cfRule type="cellIs" dxfId="1257" priority="4842" stopIfTrue="1" operator="equal">
      <formula>"3 Delete"</formula>
    </cfRule>
  </conditionalFormatting>
  <conditionalFormatting sqref="C1616">
    <cfRule type="cellIs" dxfId="1256" priority="4843" stopIfTrue="1" operator="equal">
      <formula>"1 Modify"</formula>
    </cfRule>
  </conditionalFormatting>
  <conditionalFormatting sqref="C1616">
    <cfRule type="cellIs" dxfId="1255" priority="4844" stopIfTrue="1" operator="equal">
      <formula>"2 Add"</formula>
    </cfRule>
  </conditionalFormatting>
  <conditionalFormatting sqref="C1616">
    <cfRule type="cellIs" dxfId="1254" priority="4845" stopIfTrue="1" operator="equal">
      <formula>"3 Delete"</formula>
    </cfRule>
  </conditionalFormatting>
  <conditionalFormatting sqref="C1617">
    <cfRule type="cellIs" dxfId="1253" priority="4846" stopIfTrue="1" operator="equal">
      <formula>"1 Modify"</formula>
    </cfRule>
  </conditionalFormatting>
  <conditionalFormatting sqref="C1617">
    <cfRule type="cellIs" dxfId="1252" priority="4847" stopIfTrue="1" operator="equal">
      <formula>"2 Add"</formula>
    </cfRule>
  </conditionalFormatting>
  <conditionalFormatting sqref="C1617">
    <cfRule type="cellIs" dxfId="1251" priority="4848" stopIfTrue="1" operator="equal">
      <formula>"3 Delete"</formula>
    </cfRule>
  </conditionalFormatting>
  <conditionalFormatting sqref="C1618">
    <cfRule type="cellIs" dxfId="1250" priority="4849" stopIfTrue="1" operator="equal">
      <formula>"1 Modify"</formula>
    </cfRule>
  </conditionalFormatting>
  <conditionalFormatting sqref="C1618">
    <cfRule type="cellIs" dxfId="1249" priority="4850" stopIfTrue="1" operator="equal">
      <formula>"2 Add"</formula>
    </cfRule>
  </conditionalFormatting>
  <conditionalFormatting sqref="C1618">
    <cfRule type="cellIs" dxfId="1248" priority="4851" stopIfTrue="1" operator="equal">
      <formula>"3 Delete"</formula>
    </cfRule>
  </conditionalFormatting>
  <conditionalFormatting sqref="C1619">
    <cfRule type="cellIs" dxfId="1247" priority="4852" stopIfTrue="1" operator="equal">
      <formula>"1 Modify"</formula>
    </cfRule>
  </conditionalFormatting>
  <conditionalFormatting sqref="C1619">
    <cfRule type="cellIs" dxfId="1246" priority="4853" stopIfTrue="1" operator="equal">
      <formula>"2 Add"</formula>
    </cfRule>
  </conditionalFormatting>
  <conditionalFormatting sqref="C1619">
    <cfRule type="cellIs" dxfId="1245" priority="4854" stopIfTrue="1" operator="equal">
      <formula>"3 Delete"</formula>
    </cfRule>
  </conditionalFormatting>
  <conditionalFormatting sqref="C1620">
    <cfRule type="cellIs" dxfId="1244" priority="4855" stopIfTrue="1" operator="equal">
      <formula>"1 Modify"</formula>
    </cfRule>
  </conditionalFormatting>
  <conditionalFormatting sqref="C1620">
    <cfRule type="cellIs" dxfId="1243" priority="4856" stopIfTrue="1" operator="equal">
      <formula>"2 Add"</formula>
    </cfRule>
  </conditionalFormatting>
  <conditionalFormatting sqref="C1620">
    <cfRule type="cellIs" dxfId="1242" priority="4857" stopIfTrue="1" operator="equal">
      <formula>"3 Delete"</formula>
    </cfRule>
  </conditionalFormatting>
  <conditionalFormatting sqref="C1621">
    <cfRule type="cellIs" dxfId="1241" priority="4858" stopIfTrue="1" operator="equal">
      <formula>"1 Modify"</formula>
    </cfRule>
  </conditionalFormatting>
  <conditionalFormatting sqref="C1621">
    <cfRule type="cellIs" dxfId="1240" priority="4859" stopIfTrue="1" operator="equal">
      <formula>"2 Add"</formula>
    </cfRule>
  </conditionalFormatting>
  <conditionalFormatting sqref="C1621">
    <cfRule type="cellIs" dxfId="1239" priority="4860" stopIfTrue="1" operator="equal">
      <formula>"3 Delete"</formula>
    </cfRule>
  </conditionalFormatting>
  <conditionalFormatting sqref="C1622">
    <cfRule type="cellIs" dxfId="1238" priority="4861" stopIfTrue="1" operator="equal">
      <formula>"1 Modify"</formula>
    </cfRule>
  </conditionalFormatting>
  <conditionalFormatting sqref="C1622">
    <cfRule type="cellIs" dxfId="1237" priority="4862" stopIfTrue="1" operator="equal">
      <formula>"2 Add"</formula>
    </cfRule>
  </conditionalFormatting>
  <conditionalFormatting sqref="C1622">
    <cfRule type="cellIs" dxfId="1236" priority="4863" stopIfTrue="1" operator="equal">
      <formula>"3 Delete"</formula>
    </cfRule>
  </conditionalFormatting>
  <conditionalFormatting sqref="C1623">
    <cfRule type="cellIs" dxfId="1235" priority="4864" stopIfTrue="1" operator="equal">
      <formula>"1 Modify"</formula>
    </cfRule>
  </conditionalFormatting>
  <conditionalFormatting sqref="C1623">
    <cfRule type="cellIs" dxfId="1234" priority="4865" stopIfTrue="1" operator="equal">
      <formula>"2 Add"</formula>
    </cfRule>
  </conditionalFormatting>
  <conditionalFormatting sqref="C1623">
    <cfRule type="cellIs" dxfId="1233" priority="4866" stopIfTrue="1" operator="equal">
      <formula>"3 Delete"</formula>
    </cfRule>
  </conditionalFormatting>
  <conditionalFormatting sqref="C1624">
    <cfRule type="cellIs" dxfId="1232" priority="4867" stopIfTrue="1" operator="equal">
      <formula>"1 Modify"</formula>
    </cfRule>
  </conditionalFormatting>
  <conditionalFormatting sqref="C1624">
    <cfRule type="cellIs" dxfId="1231" priority="4868" stopIfTrue="1" operator="equal">
      <formula>"2 Add"</formula>
    </cfRule>
  </conditionalFormatting>
  <conditionalFormatting sqref="C1624">
    <cfRule type="cellIs" dxfId="1230" priority="4869" stopIfTrue="1" operator="equal">
      <formula>"3 Delete"</formula>
    </cfRule>
  </conditionalFormatting>
  <conditionalFormatting sqref="C1625">
    <cfRule type="cellIs" dxfId="1229" priority="4870" stopIfTrue="1" operator="equal">
      <formula>"1 Modify"</formula>
    </cfRule>
  </conditionalFormatting>
  <conditionalFormatting sqref="C1625">
    <cfRule type="cellIs" dxfId="1228" priority="4871" stopIfTrue="1" operator="equal">
      <formula>"2 Add"</formula>
    </cfRule>
  </conditionalFormatting>
  <conditionalFormatting sqref="C1625">
    <cfRule type="cellIs" dxfId="1227" priority="4872" stopIfTrue="1" operator="equal">
      <formula>"3 Delete"</formula>
    </cfRule>
  </conditionalFormatting>
  <conditionalFormatting sqref="C1626">
    <cfRule type="cellIs" dxfId="1226" priority="4873" stopIfTrue="1" operator="equal">
      <formula>"1 Modify"</formula>
    </cfRule>
  </conditionalFormatting>
  <conditionalFormatting sqref="C1626">
    <cfRule type="cellIs" dxfId="1225" priority="4874" stopIfTrue="1" operator="equal">
      <formula>"2 Add"</formula>
    </cfRule>
  </conditionalFormatting>
  <conditionalFormatting sqref="C1626">
    <cfRule type="cellIs" dxfId="1224" priority="4875" stopIfTrue="1" operator="equal">
      <formula>"3 Delete"</formula>
    </cfRule>
  </conditionalFormatting>
  <conditionalFormatting sqref="C1627">
    <cfRule type="cellIs" dxfId="1223" priority="4876" stopIfTrue="1" operator="equal">
      <formula>"1 Modify"</formula>
    </cfRule>
  </conditionalFormatting>
  <conditionalFormatting sqref="C1627">
    <cfRule type="cellIs" dxfId="1222" priority="4877" stopIfTrue="1" operator="equal">
      <formula>"2 Add"</formula>
    </cfRule>
  </conditionalFormatting>
  <conditionalFormatting sqref="C1627">
    <cfRule type="cellIs" dxfId="1221" priority="4878" stopIfTrue="1" operator="equal">
      <formula>"3 Delete"</formula>
    </cfRule>
  </conditionalFormatting>
  <conditionalFormatting sqref="C1628">
    <cfRule type="cellIs" dxfId="1220" priority="4879" stopIfTrue="1" operator="equal">
      <formula>"1 Modify"</formula>
    </cfRule>
  </conditionalFormatting>
  <conditionalFormatting sqref="C1628">
    <cfRule type="cellIs" dxfId="1219" priority="4880" stopIfTrue="1" operator="equal">
      <formula>"2 Add"</formula>
    </cfRule>
  </conditionalFormatting>
  <conditionalFormatting sqref="C1628">
    <cfRule type="cellIs" dxfId="1218" priority="4881" stopIfTrue="1" operator="equal">
      <formula>"3 Delete"</formula>
    </cfRule>
  </conditionalFormatting>
  <conditionalFormatting sqref="C1629">
    <cfRule type="cellIs" dxfId="1217" priority="4882" stopIfTrue="1" operator="equal">
      <formula>"1 Modify"</formula>
    </cfRule>
  </conditionalFormatting>
  <conditionalFormatting sqref="C1629">
    <cfRule type="cellIs" dxfId="1216" priority="4883" stopIfTrue="1" operator="equal">
      <formula>"2 Add"</formula>
    </cfRule>
  </conditionalFormatting>
  <conditionalFormatting sqref="C1629">
    <cfRule type="cellIs" dxfId="1215" priority="4884" stopIfTrue="1" operator="equal">
      <formula>"3 Delete"</formula>
    </cfRule>
  </conditionalFormatting>
  <conditionalFormatting sqref="C1630">
    <cfRule type="cellIs" dxfId="1214" priority="4885" stopIfTrue="1" operator="equal">
      <formula>"1 Modify"</formula>
    </cfRule>
  </conditionalFormatting>
  <conditionalFormatting sqref="C1630">
    <cfRule type="cellIs" dxfId="1213" priority="4886" stopIfTrue="1" operator="equal">
      <formula>"2 Add"</formula>
    </cfRule>
  </conditionalFormatting>
  <conditionalFormatting sqref="C1630">
    <cfRule type="cellIs" dxfId="1212" priority="4887" stopIfTrue="1" operator="equal">
      <formula>"3 Delete"</formula>
    </cfRule>
  </conditionalFormatting>
  <conditionalFormatting sqref="C1631">
    <cfRule type="cellIs" dxfId="1211" priority="4888" stopIfTrue="1" operator="equal">
      <formula>"1 Modify"</formula>
    </cfRule>
  </conditionalFormatting>
  <conditionalFormatting sqref="C1631">
    <cfRule type="cellIs" dxfId="1210" priority="4889" stopIfTrue="1" operator="equal">
      <formula>"2 Add"</formula>
    </cfRule>
  </conditionalFormatting>
  <conditionalFormatting sqref="C1631">
    <cfRule type="cellIs" dxfId="1209" priority="4890" stopIfTrue="1" operator="equal">
      <formula>"3 Delete"</formula>
    </cfRule>
  </conditionalFormatting>
  <conditionalFormatting sqref="C1632">
    <cfRule type="cellIs" dxfId="1208" priority="4891" stopIfTrue="1" operator="equal">
      <formula>"1 Modify"</formula>
    </cfRule>
  </conditionalFormatting>
  <conditionalFormatting sqref="C1632">
    <cfRule type="cellIs" dxfId="1207" priority="4892" stopIfTrue="1" operator="equal">
      <formula>"2 Add"</formula>
    </cfRule>
  </conditionalFormatting>
  <conditionalFormatting sqref="C1632">
    <cfRule type="cellIs" dxfId="1206" priority="4893" stopIfTrue="1" operator="equal">
      <formula>"3 Delete"</formula>
    </cfRule>
  </conditionalFormatting>
  <conditionalFormatting sqref="C1633">
    <cfRule type="cellIs" dxfId="1205" priority="4894" stopIfTrue="1" operator="equal">
      <formula>"1 Modify"</formula>
    </cfRule>
  </conditionalFormatting>
  <conditionalFormatting sqref="C1633">
    <cfRule type="cellIs" dxfId="1204" priority="4895" stopIfTrue="1" operator="equal">
      <formula>"2 Add"</formula>
    </cfRule>
  </conditionalFormatting>
  <conditionalFormatting sqref="C1633">
    <cfRule type="cellIs" dxfId="1203" priority="4896" stopIfTrue="1" operator="equal">
      <formula>"3 Delete"</formula>
    </cfRule>
  </conditionalFormatting>
  <conditionalFormatting sqref="C1634">
    <cfRule type="cellIs" dxfId="1202" priority="4897" stopIfTrue="1" operator="equal">
      <formula>"1 Modify"</formula>
    </cfRule>
  </conditionalFormatting>
  <conditionalFormatting sqref="C1634">
    <cfRule type="cellIs" dxfId="1201" priority="4898" stopIfTrue="1" operator="equal">
      <formula>"2 Add"</formula>
    </cfRule>
  </conditionalFormatting>
  <conditionalFormatting sqref="C1634">
    <cfRule type="cellIs" dxfId="1200" priority="4899" stopIfTrue="1" operator="equal">
      <formula>"3 Delete"</formula>
    </cfRule>
  </conditionalFormatting>
  <conditionalFormatting sqref="C1635">
    <cfRule type="cellIs" dxfId="1199" priority="4900" stopIfTrue="1" operator="equal">
      <formula>"1 Modify"</formula>
    </cfRule>
  </conditionalFormatting>
  <conditionalFormatting sqref="C1635">
    <cfRule type="cellIs" dxfId="1198" priority="4901" stopIfTrue="1" operator="equal">
      <formula>"2 Add"</formula>
    </cfRule>
  </conditionalFormatting>
  <conditionalFormatting sqref="C1635">
    <cfRule type="cellIs" dxfId="1197" priority="4902" stopIfTrue="1" operator="equal">
      <formula>"3 Delete"</formula>
    </cfRule>
  </conditionalFormatting>
  <conditionalFormatting sqref="C1636">
    <cfRule type="cellIs" dxfId="1196" priority="4903" stopIfTrue="1" operator="equal">
      <formula>"1 Modify"</formula>
    </cfRule>
  </conditionalFormatting>
  <conditionalFormatting sqref="C1636">
    <cfRule type="cellIs" dxfId="1195" priority="4904" stopIfTrue="1" operator="equal">
      <formula>"2 Add"</formula>
    </cfRule>
  </conditionalFormatting>
  <conditionalFormatting sqref="C1636">
    <cfRule type="cellIs" dxfId="1194" priority="4905" stopIfTrue="1" operator="equal">
      <formula>"3 Delete"</formula>
    </cfRule>
  </conditionalFormatting>
  <conditionalFormatting sqref="C1637">
    <cfRule type="cellIs" dxfId="1193" priority="4906" stopIfTrue="1" operator="equal">
      <formula>"1 Modify"</formula>
    </cfRule>
  </conditionalFormatting>
  <conditionalFormatting sqref="C1637">
    <cfRule type="cellIs" dxfId="1192" priority="4907" stopIfTrue="1" operator="equal">
      <formula>"2 Add"</formula>
    </cfRule>
  </conditionalFormatting>
  <conditionalFormatting sqref="C1637">
    <cfRule type="cellIs" dxfId="1191" priority="4908" stopIfTrue="1" operator="equal">
      <formula>"3 Delete"</formula>
    </cfRule>
  </conditionalFormatting>
  <conditionalFormatting sqref="C1638">
    <cfRule type="cellIs" dxfId="1190" priority="4909" stopIfTrue="1" operator="equal">
      <formula>"1 Modify"</formula>
    </cfRule>
  </conditionalFormatting>
  <conditionalFormatting sqref="C1638">
    <cfRule type="cellIs" dxfId="1189" priority="4910" stopIfTrue="1" operator="equal">
      <formula>"2 Add"</formula>
    </cfRule>
  </conditionalFormatting>
  <conditionalFormatting sqref="C1638">
    <cfRule type="cellIs" dxfId="1188" priority="4911" stopIfTrue="1" operator="equal">
      <formula>"3 Delete"</formula>
    </cfRule>
  </conditionalFormatting>
  <conditionalFormatting sqref="C1639">
    <cfRule type="cellIs" dxfId="1187" priority="4912" stopIfTrue="1" operator="equal">
      <formula>"1 Modify"</formula>
    </cfRule>
  </conditionalFormatting>
  <conditionalFormatting sqref="C1639">
    <cfRule type="cellIs" dxfId="1186" priority="4913" stopIfTrue="1" operator="equal">
      <formula>"2 Add"</formula>
    </cfRule>
  </conditionalFormatting>
  <conditionalFormatting sqref="C1639">
    <cfRule type="cellIs" dxfId="1185" priority="4914" stopIfTrue="1" operator="equal">
      <formula>"3 Delete"</formula>
    </cfRule>
  </conditionalFormatting>
  <conditionalFormatting sqref="C1640">
    <cfRule type="cellIs" dxfId="1184" priority="4915" stopIfTrue="1" operator="equal">
      <formula>"1 Modify"</formula>
    </cfRule>
  </conditionalFormatting>
  <conditionalFormatting sqref="C1640">
    <cfRule type="cellIs" dxfId="1183" priority="4916" stopIfTrue="1" operator="equal">
      <formula>"2 Add"</formula>
    </cfRule>
  </conditionalFormatting>
  <conditionalFormatting sqref="C1640">
    <cfRule type="cellIs" dxfId="1182" priority="4917" stopIfTrue="1" operator="equal">
      <formula>"3 Delete"</formula>
    </cfRule>
  </conditionalFormatting>
  <conditionalFormatting sqref="C1641">
    <cfRule type="cellIs" dxfId="1181" priority="4918" stopIfTrue="1" operator="equal">
      <formula>"1 Modify"</formula>
    </cfRule>
  </conditionalFormatting>
  <conditionalFormatting sqref="C1641">
    <cfRule type="cellIs" dxfId="1180" priority="4919" stopIfTrue="1" operator="equal">
      <formula>"2 Add"</formula>
    </cfRule>
  </conditionalFormatting>
  <conditionalFormatting sqref="C1641">
    <cfRule type="cellIs" dxfId="1179" priority="4920" stopIfTrue="1" operator="equal">
      <formula>"3 Delete"</formula>
    </cfRule>
  </conditionalFormatting>
  <conditionalFormatting sqref="C1642">
    <cfRule type="cellIs" dxfId="1178" priority="4921" stopIfTrue="1" operator="equal">
      <formula>"1 Modify"</formula>
    </cfRule>
  </conditionalFormatting>
  <conditionalFormatting sqref="C1642">
    <cfRule type="cellIs" dxfId="1177" priority="4922" stopIfTrue="1" operator="equal">
      <formula>"2 Add"</formula>
    </cfRule>
  </conditionalFormatting>
  <conditionalFormatting sqref="C1642">
    <cfRule type="cellIs" dxfId="1176" priority="4923" stopIfTrue="1" operator="equal">
      <formula>"3 Delete"</formula>
    </cfRule>
  </conditionalFormatting>
  <conditionalFormatting sqref="C1643">
    <cfRule type="cellIs" dxfId="1175" priority="4924" stopIfTrue="1" operator="equal">
      <formula>"1 Modify"</formula>
    </cfRule>
  </conditionalFormatting>
  <conditionalFormatting sqref="C1643">
    <cfRule type="cellIs" dxfId="1174" priority="4925" stopIfTrue="1" operator="equal">
      <formula>"2 Add"</formula>
    </cfRule>
  </conditionalFormatting>
  <conditionalFormatting sqref="C1643">
    <cfRule type="cellIs" dxfId="1173" priority="4926" stopIfTrue="1" operator="equal">
      <formula>"3 Delete"</formula>
    </cfRule>
  </conditionalFormatting>
  <conditionalFormatting sqref="C1644">
    <cfRule type="cellIs" dxfId="1172" priority="4927" stopIfTrue="1" operator="equal">
      <formula>"1 Modify"</formula>
    </cfRule>
  </conditionalFormatting>
  <conditionalFormatting sqref="C1644">
    <cfRule type="cellIs" dxfId="1171" priority="4928" stopIfTrue="1" operator="equal">
      <formula>"2 Add"</formula>
    </cfRule>
  </conditionalFormatting>
  <conditionalFormatting sqref="C1644">
    <cfRule type="cellIs" dxfId="1170" priority="4929" stopIfTrue="1" operator="equal">
      <formula>"3 Delete"</formula>
    </cfRule>
  </conditionalFormatting>
  <conditionalFormatting sqref="C1645">
    <cfRule type="cellIs" dxfId="1169" priority="4930" stopIfTrue="1" operator="equal">
      <formula>"1 Modify"</formula>
    </cfRule>
  </conditionalFormatting>
  <conditionalFormatting sqref="C1645">
    <cfRule type="cellIs" dxfId="1168" priority="4931" stopIfTrue="1" operator="equal">
      <formula>"2 Add"</formula>
    </cfRule>
  </conditionalFormatting>
  <conditionalFormatting sqref="C1645">
    <cfRule type="cellIs" dxfId="1167" priority="4932" stopIfTrue="1" operator="equal">
      <formula>"3 Delete"</formula>
    </cfRule>
  </conditionalFormatting>
  <conditionalFormatting sqref="C1646">
    <cfRule type="cellIs" dxfId="1166" priority="4933" stopIfTrue="1" operator="equal">
      <formula>"1 Modify"</formula>
    </cfRule>
  </conditionalFormatting>
  <conditionalFormatting sqref="C1646">
    <cfRule type="cellIs" dxfId="1165" priority="4934" stopIfTrue="1" operator="equal">
      <formula>"2 Add"</formula>
    </cfRule>
  </conditionalFormatting>
  <conditionalFormatting sqref="C1646">
    <cfRule type="cellIs" dxfId="1164" priority="4935" stopIfTrue="1" operator="equal">
      <formula>"3 Delete"</formula>
    </cfRule>
  </conditionalFormatting>
  <conditionalFormatting sqref="C1647">
    <cfRule type="cellIs" dxfId="1163" priority="4936" stopIfTrue="1" operator="equal">
      <formula>"1 Modify"</formula>
    </cfRule>
  </conditionalFormatting>
  <conditionalFormatting sqref="C1647">
    <cfRule type="cellIs" dxfId="1162" priority="4937" stopIfTrue="1" operator="equal">
      <formula>"2 Add"</formula>
    </cfRule>
  </conditionalFormatting>
  <conditionalFormatting sqref="C1647">
    <cfRule type="cellIs" dxfId="1161" priority="4938" stopIfTrue="1" operator="equal">
      <formula>"3 Delete"</formula>
    </cfRule>
  </conditionalFormatting>
  <conditionalFormatting sqref="C1648">
    <cfRule type="cellIs" dxfId="1160" priority="4939" stopIfTrue="1" operator="equal">
      <formula>"1 Modify"</formula>
    </cfRule>
  </conditionalFormatting>
  <conditionalFormatting sqref="C1648">
    <cfRule type="cellIs" dxfId="1159" priority="4940" stopIfTrue="1" operator="equal">
      <formula>"2 Add"</formula>
    </cfRule>
  </conditionalFormatting>
  <conditionalFormatting sqref="C1648">
    <cfRule type="cellIs" dxfId="1158" priority="4941" stopIfTrue="1" operator="equal">
      <formula>"3 Delete"</formula>
    </cfRule>
  </conditionalFormatting>
  <conditionalFormatting sqref="C1649">
    <cfRule type="cellIs" dxfId="1157" priority="4942" stopIfTrue="1" operator="equal">
      <formula>"1 Modify"</formula>
    </cfRule>
  </conditionalFormatting>
  <conditionalFormatting sqref="C1649">
    <cfRule type="cellIs" dxfId="1156" priority="4943" stopIfTrue="1" operator="equal">
      <formula>"2 Add"</formula>
    </cfRule>
  </conditionalFormatting>
  <conditionalFormatting sqref="C1649">
    <cfRule type="cellIs" dxfId="1155" priority="4944" stopIfTrue="1" operator="equal">
      <formula>"3 Delete"</formula>
    </cfRule>
  </conditionalFormatting>
  <conditionalFormatting sqref="C1650">
    <cfRule type="cellIs" dxfId="1154" priority="4945" stopIfTrue="1" operator="equal">
      <formula>"1 Modify"</formula>
    </cfRule>
  </conditionalFormatting>
  <conditionalFormatting sqref="C1650">
    <cfRule type="cellIs" dxfId="1153" priority="4946" stopIfTrue="1" operator="equal">
      <formula>"2 Add"</formula>
    </cfRule>
  </conditionalFormatting>
  <conditionalFormatting sqref="C1650">
    <cfRule type="cellIs" dxfId="1152" priority="4947" stopIfTrue="1" operator="equal">
      <formula>"3 Delete"</formula>
    </cfRule>
  </conditionalFormatting>
  <conditionalFormatting sqref="C1651">
    <cfRule type="cellIs" dxfId="1151" priority="4948" stopIfTrue="1" operator="equal">
      <formula>"1 Modify"</formula>
    </cfRule>
  </conditionalFormatting>
  <conditionalFormatting sqref="C1651">
    <cfRule type="cellIs" dxfId="1150" priority="4949" stopIfTrue="1" operator="equal">
      <formula>"2 Add"</formula>
    </cfRule>
  </conditionalFormatting>
  <conditionalFormatting sqref="C1651">
    <cfRule type="cellIs" dxfId="1149" priority="4950" stopIfTrue="1" operator="equal">
      <formula>"3 Delete"</formula>
    </cfRule>
  </conditionalFormatting>
  <conditionalFormatting sqref="C1652">
    <cfRule type="cellIs" dxfId="1148" priority="4951" stopIfTrue="1" operator="equal">
      <formula>"1 Modify"</formula>
    </cfRule>
  </conditionalFormatting>
  <conditionalFormatting sqref="C1652">
    <cfRule type="cellIs" dxfId="1147" priority="4952" stopIfTrue="1" operator="equal">
      <formula>"2 Add"</formula>
    </cfRule>
  </conditionalFormatting>
  <conditionalFormatting sqref="C1652">
    <cfRule type="cellIs" dxfId="1146" priority="4953" stopIfTrue="1" operator="equal">
      <formula>"3 Delete"</formula>
    </cfRule>
  </conditionalFormatting>
  <conditionalFormatting sqref="C1653">
    <cfRule type="cellIs" dxfId="1145" priority="4954" stopIfTrue="1" operator="equal">
      <formula>"1 Modify"</formula>
    </cfRule>
  </conditionalFormatting>
  <conditionalFormatting sqref="C1653">
    <cfRule type="cellIs" dxfId="1144" priority="4955" stopIfTrue="1" operator="equal">
      <formula>"2 Add"</formula>
    </cfRule>
  </conditionalFormatting>
  <conditionalFormatting sqref="C1653">
    <cfRule type="cellIs" dxfId="1143" priority="4956" stopIfTrue="1" operator="equal">
      <formula>"3 Delete"</formula>
    </cfRule>
  </conditionalFormatting>
  <conditionalFormatting sqref="C1654">
    <cfRule type="cellIs" dxfId="1142" priority="4957" stopIfTrue="1" operator="equal">
      <formula>"1 Modify"</formula>
    </cfRule>
  </conditionalFormatting>
  <conditionalFormatting sqref="C1654">
    <cfRule type="cellIs" dxfId="1141" priority="4958" stopIfTrue="1" operator="equal">
      <formula>"2 Add"</formula>
    </cfRule>
  </conditionalFormatting>
  <conditionalFormatting sqref="C1654">
    <cfRule type="cellIs" dxfId="1140" priority="4959" stopIfTrue="1" operator="equal">
      <formula>"3 Delete"</formula>
    </cfRule>
  </conditionalFormatting>
  <conditionalFormatting sqref="C1655">
    <cfRule type="cellIs" dxfId="1139" priority="4960" stopIfTrue="1" operator="equal">
      <formula>"1 Modify"</formula>
    </cfRule>
  </conditionalFormatting>
  <conditionalFormatting sqref="C1655">
    <cfRule type="cellIs" dxfId="1138" priority="4961" stopIfTrue="1" operator="equal">
      <formula>"2 Add"</formula>
    </cfRule>
  </conditionalFormatting>
  <conditionalFormatting sqref="C1655">
    <cfRule type="cellIs" dxfId="1137" priority="4962" stopIfTrue="1" operator="equal">
      <formula>"3 Delete"</formula>
    </cfRule>
  </conditionalFormatting>
  <conditionalFormatting sqref="C1656">
    <cfRule type="cellIs" dxfId="1136" priority="4963" stopIfTrue="1" operator="equal">
      <formula>"1 Modify"</formula>
    </cfRule>
  </conditionalFormatting>
  <conditionalFormatting sqref="C1656">
    <cfRule type="cellIs" dxfId="1135" priority="4964" stopIfTrue="1" operator="equal">
      <formula>"2 Add"</formula>
    </cfRule>
  </conditionalFormatting>
  <conditionalFormatting sqref="C1656">
    <cfRule type="cellIs" dxfId="1134" priority="4965" stopIfTrue="1" operator="equal">
      <formula>"3 Delete"</formula>
    </cfRule>
  </conditionalFormatting>
  <conditionalFormatting sqref="C1657">
    <cfRule type="cellIs" dxfId="1133" priority="4966" stopIfTrue="1" operator="equal">
      <formula>"1 Modify"</formula>
    </cfRule>
  </conditionalFormatting>
  <conditionalFormatting sqref="C1657">
    <cfRule type="cellIs" dxfId="1132" priority="4967" stopIfTrue="1" operator="equal">
      <formula>"2 Add"</formula>
    </cfRule>
  </conditionalFormatting>
  <conditionalFormatting sqref="C1657">
    <cfRule type="cellIs" dxfId="1131" priority="4968" stopIfTrue="1" operator="equal">
      <formula>"3 Delete"</formula>
    </cfRule>
  </conditionalFormatting>
  <conditionalFormatting sqref="C1658">
    <cfRule type="cellIs" dxfId="1130" priority="4969" stopIfTrue="1" operator="equal">
      <formula>"1 Modify"</formula>
    </cfRule>
  </conditionalFormatting>
  <conditionalFormatting sqref="C1658">
    <cfRule type="cellIs" dxfId="1129" priority="4970" stopIfTrue="1" operator="equal">
      <formula>"2 Add"</formula>
    </cfRule>
  </conditionalFormatting>
  <conditionalFormatting sqref="C1658">
    <cfRule type="cellIs" dxfId="1128" priority="4971" stopIfTrue="1" operator="equal">
      <formula>"3 Delete"</formula>
    </cfRule>
  </conditionalFormatting>
  <conditionalFormatting sqref="C1659">
    <cfRule type="cellIs" dxfId="1127" priority="4972" stopIfTrue="1" operator="equal">
      <formula>"1 Modify"</formula>
    </cfRule>
  </conditionalFormatting>
  <conditionalFormatting sqref="C1659">
    <cfRule type="cellIs" dxfId="1126" priority="4973" stopIfTrue="1" operator="equal">
      <formula>"2 Add"</formula>
    </cfRule>
  </conditionalFormatting>
  <conditionalFormatting sqref="C1659">
    <cfRule type="cellIs" dxfId="1125" priority="4974" stopIfTrue="1" operator="equal">
      <formula>"3 Delete"</formula>
    </cfRule>
  </conditionalFormatting>
  <conditionalFormatting sqref="C1660">
    <cfRule type="cellIs" dxfId="1124" priority="4975" stopIfTrue="1" operator="equal">
      <formula>"1 Modify"</formula>
    </cfRule>
  </conditionalFormatting>
  <conditionalFormatting sqref="C1660">
    <cfRule type="cellIs" dxfId="1123" priority="4976" stopIfTrue="1" operator="equal">
      <formula>"2 Add"</formula>
    </cfRule>
  </conditionalFormatting>
  <conditionalFormatting sqref="C1660">
    <cfRule type="cellIs" dxfId="1122" priority="4977" stopIfTrue="1" operator="equal">
      <formula>"3 Delete"</formula>
    </cfRule>
  </conditionalFormatting>
  <conditionalFormatting sqref="C1661">
    <cfRule type="cellIs" dxfId="1121" priority="4978" stopIfTrue="1" operator="equal">
      <formula>"1 Modify"</formula>
    </cfRule>
  </conditionalFormatting>
  <conditionalFormatting sqref="C1661">
    <cfRule type="cellIs" dxfId="1120" priority="4979" stopIfTrue="1" operator="equal">
      <formula>"2 Add"</formula>
    </cfRule>
  </conditionalFormatting>
  <conditionalFormatting sqref="C1661">
    <cfRule type="cellIs" dxfId="1119" priority="4980" stopIfTrue="1" operator="equal">
      <formula>"3 Delete"</formula>
    </cfRule>
  </conditionalFormatting>
  <conditionalFormatting sqref="C1662">
    <cfRule type="cellIs" dxfId="1118" priority="4981" stopIfTrue="1" operator="equal">
      <formula>"1 Modify"</formula>
    </cfRule>
  </conditionalFormatting>
  <conditionalFormatting sqref="C1662">
    <cfRule type="cellIs" dxfId="1117" priority="4982" stopIfTrue="1" operator="equal">
      <formula>"2 Add"</formula>
    </cfRule>
  </conditionalFormatting>
  <conditionalFormatting sqref="C1662">
    <cfRule type="cellIs" dxfId="1116" priority="4983" stopIfTrue="1" operator="equal">
      <formula>"3 Delete"</formula>
    </cfRule>
  </conditionalFormatting>
  <conditionalFormatting sqref="C1663">
    <cfRule type="cellIs" dxfId="1115" priority="4984" stopIfTrue="1" operator="equal">
      <formula>"1 Modify"</formula>
    </cfRule>
  </conditionalFormatting>
  <conditionalFormatting sqref="C1663">
    <cfRule type="cellIs" dxfId="1114" priority="4985" stopIfTrue="1" operator="equal">
      <formula>"2 Add"</formula>
    </cfRule>
  </conditionalFormatting>
  <conditionalFormatting sqref="C1663">
    <cfRule type="cellIs" dxfId="1113" priority="4986" stopIfTrue="1" operator="equal">
      <formula>"3 Delete"</formula>
    </cfRule>
  </conditionalFormatting>
  <conditionalFormatting sqref="C1664">
    <cfRule type="cellIs" dxfId="1112" priority="4987" stopIfTrue="1" operator="equal">
      <formula>"1 Modify"</formula>
    </cfRule>
  </conditionalFormatting>
  <conditionalFormatting sqref="C1664">
    <cfRule type="cellIs" dxfId="1111" priority="4988" stopIfTrue="1" operator="equal">
      <formula>"2 Add"</formula>
    </cfRule>
  </conditionalFormatting>
  <conditionalFormatting sqref="C1664">
    <cfRule type="cellIs" dxfId="1110" priority="4989" stopIfTrue="1" operator="equal">
      <formula>"3 Delete"</formula>
    </cfRule>
  </conditionalFormatting>
  <conditionalFormatting sqref="C1665">
    <cfRule type="cellIs" dxfId="1109" priority="4990" stopIfTrue="1" operator="equal">
      <formula>"1 Modify"</formula>
    </cfRule>
  </conditionalFormatting>
  <conditionalFormatting sqref="C1665">
    <cfRule type="cellIs" dxfId="1108" priority="4991" stopIfTrue="1" operator="equal">
      <formula>"2 Add"</formula>
    </cfRule>
  </conditionalFormatting>
  <conditionalFormatting sqref="C1665">
    <cfRule type="cellIs" dxfId="1107" priority="4992" stopIfTrue="1" operator="equal">
      <formula>"3 Delete"</formula>
    </cfRule>
  </conditionalFormatting>
  <conditionalFormatting sqref="C1666">
    <cfRule type="cellIs" dxfId="1106" priority="4993" stopIfTrue="1" operator="equal">
      <formula>"1 Modify"</formula>
    </cfRule>
  </conditionalFormatting>
  <conditionalFormatting sqref="C1666">
    <cfRule type="cellIs" dxfId="1105" priority="4994" stopIfTrue="1" operator="equal">
      <formula>"2 Add"</formula>
    </cfRule>
  </conditionalFormatting>
  <conditionalFormatting sqref="C1666">
    <cfRule type="cellIs" dxfId="1104" priority="4995" stopIfTrue="1" operator="equal">
      <formula>"3 Delete"</formula>
    </cfRule>
  </conditionalFormatting>
  <conditionalFormatting sqref="C1667">
    <cfRule type="cellIs" dxfId="1103" priority="4996" stopIfTrue="1" operator="equal">
      <formula>"1 Modify"</formula>
    </cfRule>
  </conditionalFormatting>
  <conditionalFormatting sqref="C1667">
    <cfRule type="cellIs" dxfId="1102" priority="4997" stopIfTrue="1" operator="equal">
      <formula>"2 Add"</formula>
    </cfRule>
  </conditionalFormatting>
  <conditionalFormatting sqref="C1667">
    <cfRule type="cellIs" dxfId="1101" priority="4998" stopIfTrue="1" operator="equal">
      <formula>"3 Delete"</formula>
    </cfRule>
  </conditionalFormatting>
  <conditionalFormatting sqref="C1668">
    <cfRule type="cellIs" dxfId="1100" priority="4999" stopIfTrue="1" operator="equal">
      <formula>"1 Modify"</formula>
    </cfRule>
  </conditionalFormatting>
  <conditionalFormatting sqref="C1668">
    <cfRule type="cellIs" dxfId="1099" priority="5000" stopIfTrue="1" operator="equal">
      <formula>"2 Add"</formula>
    </cfRule>
  </conditionalFormatting>
  <conditionalFormatting sqref="C1668">
    <cfRule type="cellIs" dxfId="1098" priority="5001" stopIfTrue="1" operator="equal">
      <formula>"3 Delete"</formula>
    </cfRule>
  </conditionalFormatting>
  <conditionalFormatting sqref="C1669">
    <cfRule type="cellIs" dxfId="1097" priority="5002" stopIfTrue="1" operator="equal">
      <formula>"1 Modify"</formula>
    </cfRule>
  </conditionalFormatting>
  <conditionalFormatting sqref="C1669">
    <cfRule type="cellIs" dxfId="1096" priority="5003" stopIfTrue="1" operator="equal">
      <formula>"2 Add"</formula>
    </cfRule>
  </conditionalFormatting>
  <conditionalFormatting sqref="C1669">
    <cfRule type="cellIs" dxfId="1095" priority="5004" stopIfTrue="1" operator="equal">
      <formula>"3 Delete"</formula>
    </cfRule>
  </conditionalFormatting>
  <conditionalFormatting sqref="C1670">
    <cfRule type="cellIs" dxfId="1094" priority="5005" stopIfTrue="1" operator="equal">
      <formula>"1 Modify"</formula>
    </cfRule>
  </conditionalFormatting>
  <conditionalFormatting sqref="C1670">
    <cfRule type="cellIs" dxfId="1093" priority="5006" stopIfTrue="1" operator="equal">
      <formula>"2 Add"</formula>
    </cfRule>
  </conditionalFormatting>
  <conditionalFormatting sqref="C1670">
    <cfRule type="cellIs" dxfId="1092" priority="5007" stopIfTrue="1" operator="equal">
      <formula>"3 Delete"</formula>
    </cfRule>
  </conditionalFormatting>
  <conditionalFormatting sqref="C1671">
    <cfRule type="cellIs" dxfId="1091" priority="5008" stopIfTrue="1" operator="equal">
      <formula>"1 Modify"</formula>
    </cfRule>
  </conditionalFormatting>
  <conditionalFormatting sqref="C1671">
    <cfRule type="cellIs" dxfId="1090" priority="5009" stopIfTrue="1" operator="equal">
      <formula>"2 Add"</formula>
    </cfRule>
  </conditionalFormatting>
  <conditionalFormatting sqref="C1671">
    <cfRule type="cellIs" dxfId="1089" priority="5010" stopIfTrue="1" operator="equal">
      <formula>"3 Delete"</formula>
    </cfRule>
  </conditionalFormatting>
  <conditionalFormatting sqref="C1672">
    <cfRule type="cellIs" dxfId="1088" priority="5011" stopIfTrue="1" operator="equal">
      <formula>"1 Modify"</formula>
    </cfRule>
  </conditionalFormatting>
  <conditionalFormatting sqref="C1672">
    <cfRule type="cellIs" dxfId="1087" priority="5012" stopIfTrue="1" operator="equal">
      <formula>"2 Add"</formula>
    </cfRule>
  </conditionalFormatting>
  <conditionalFormatting sqref="C1672">
    <cfRule type="cellIs" dxfId="1086" priority="5013" stopIfTrue="1" operator="equal">
      <formula>"3 Delete"</formula>
    </cfRule>
  </conditionalFormatting>
  <conditionalFormatting sqref="C1673">
    <cfRule type="cellIs" dxfId="1085" priority="5014" stopIfTrue="1" operator="equal">
      <formula>"1 Modify"</formula>
    </cfRule>
  </conditionalFormatting>
  <conditionalFormatting sqref="C1673">
    <cfRule type="cellIs" dxfId="1084" priority="5015" stopIfTrue="1" operator="equal">
      <formula>"2 Add"</formula>
    </cfRule>
  </conditionalFormatting>
  <conditionalFormatting sqref="C1673">
    <cfRule type="cellIs" dxfId="1083" priority="5016" stopIfTrue="1" operator="equal">
      <formula>"3 Delete"</formula>
    </cfRule>
  </conditionalFormatting>
  <conditionalFormatting sqref="C1674">
    <cfRule type="cellIs" dxfId="1082" priority="5017" stopIfTrue="1" operator="equal">
      <formula>"1 Modify"</formula>
    </cfRule>
  </conditionalFormatting>
  <conditionalFormatting sqref="C1674">
    <cfRule type="cellIs" dxfId="1081" priority="5018" stopIfTrue="1" operator="equal">
      <formula>"2 Add"</formula>
    </cfRule>
  </conditionalFormatting>
  <conditionalFormatting sqref="C1674">
    <cfRule type="cellIs" dxfId="1080" priority="5019" stopIfTrue="1" operator="equal">
      <formula>"3 Delete"</formula>
    </cfRule>
  </conditionalFormatting>
  <conditionalFormatting sqref="C1675">
    <cfRule type="cellIs" dxfId="1079" priority="5020" stopIfTrue="1" operator="equal">
      <formula>"1 Modify"</formula>
    </cfRule>
  </conditionalFormatting>
  <conditionalFormatting sqref="C1675">
    <cfRule type="cellIs" dxfId="1078" priority="5021" stopIfTrue="1" operator="equal">
      <formula>"2 Add"</formula>
    </cfRule>
  </conditionalFormatting>
  <conditionalFormatting sqref="C1675">
    <cfRule type="cellIs" dxfId="1077" priority="5022" stopIfTrue="1" operator="equal">
      <formula>"3 Delete"</formula>
    </cfRule>
  </conditionalFormatting>
  <conditionalFormatting sqref="C1676">
    <cfRule type="cellIs" dxfId="1076" priority="5023" stopIfTrue="1" operator="equal">
      <formula>"1 Modify"</formula>
    </cfRule>
  </conditionalFormatting>
  <conditionalFormatting sqref="C1676">
    <cfRule type="cellIs" dxfId="1075" priority="5024" stopIfTrue="1" operator="equal">
      <formula>"2 Add"</formula>
    </cfRule>
  </conditionalFormatting>
  <conditionalFormatting sqref="C1676">
    <cfRule type="cellIs" dxfId="1074" priority="5025" stopIfTrue="1" operator="equal">
      <formula>"3 Delete"</formula>
    </cfRule>
  </conditionalFormatting>
  <conditionalFormatting sqref="C1677">
    <cfRule type="cellIs" dxfId="1073" priority="5026" stopIfTrue="1" operator="equal">
      <formula>"1 Modify"</formula>
    </cfRule>
  </conditionalFormatting>
  <conditionalFormatting sqref="C1677">
    <cfRule type="cellIs" dxfId="1072" priority="5027" stopIfTrue="1" operator="equal">
      <formula>"2 Add"</formula>
    </cfRule>
  </conditionalFormatting>
  <conditionalFormatting sqref="C1677">
    <cfRule type="cellIs" dxfId="1071" priority="5028" stopIfTrue="1" operator="equal">
      <formula>"3 Delete"</formula>
    </cfRule>
  </conditionalFormatting>
  <conditionalFormatting sqref="C1678">
    <cfRule type="cellIs" dxfId="1070" priority="5029" stopIfTrue="1" operator="equal">
      <formula>"1 Modify"</formula>
    </cfRule>
  </conditionalFormatting>
  <conditionalFormatting sqref="C1678">
    <cfRule type="cellIs" dxfId="1069" priority="5030" stopIfTrue="1" operator="equal">
      <formula>"2 Add"</formula>
    </cfRule>
  </conditionalFormatting>
  <conditionalFormatting sqref="C1678">
    <cfRule type="cellIs" dxfId="1068" priority="5031" stopIfTrue="1" operator="equal">
      <formula>"3 Delete"</formula>
    </cfRule>
  </conditionalFormatting>
  <conditionalFormatting sqref="C1679">
    <cfRule type="cellIs" dxfId="1067" priority="5032" stopIfTrue="1" operator="equal">
      <formula>"1 Modify"</formula>
    </cfRule>
  </conditionalFormatting>
  <conditionalFormatting sqref="C1679">
    <cfRule type="cellIs" dxfId="1066" priority="5033" stopIfTrue="1" operator="equal">
      <formula>"2 Add"</formula>
    </cfRule>
  </conditionalFormatting>
  <conditionalFormatting sqref="C1679">
    <cfRule type="cellIs" dxfId="1065" priority="5034" stopIfTrue="1" operator="equal">
      <formula>"3 Delete"</formula>
    </cfRule>
  </conditionalFormatting>
  <conditionalFormatting sqref="C1680">
    <cfRule type="cellIs" dxfId="1064" priority="5035" stopIfTrue="1" operator="equal">
      <formula>"1 Modify"</formula>
    </cfRule>
  </conditionalFormatting>
  <conditionalFormatting sqref="C1680">
    <cfRule type="cellIs" dxfId="1063" priority="5036" stopIfTrue="1" operator="equal">
      <formula>"2 Add"</formula>
    </cfRule>
  </conditionalFormatting>
  <conditionalFormatting sqref="C1680">
    <cfRule type="cellIs" dxfId="1062" priority="5037" stopIfTrue="1" operator="equal">
      <formula>"3 Delete"</formula>
    </cfRule>
  </conditionalFormatting>
  <conditionalFormatting sqref="C1681">
    <cfRule type="cellIs" dxfId="1061" priority="5038" stopIfTrue="1" operator="equal">
      <formula>"1 Modify"</formula>
    </cfRule>
  </conditionalFormatting>
  <conditionalFormatting sqref="C1681">
    <cfRule type="cellIs" dxfId="1060" priority="5039" stopIfTrue="1" operator="equal">
      <formula>"2 Add"</formula>
    </cfRule>
  </conditionalFormatting>
  <conditionalFormatting sqref="C1681">
    <cfRule type="cellIs" dxfId="1059" priority="5040" stopIfTrue="1" operator="equal">
      <formula>"3 Delete"</formula>
    </cfRule>
  </conditionalFormatting>
  <conditionalFormatting sqref="C1682">
    <cfRule type="cellIs" dxfId="1058" priority="5041" stopIfTrue="1" operator="equal">
      <formula>"1 Modify"</formula>
    </cfRule>
  </conditionalFormatting>
  <conditionalFormatting sqref="C1682">
    <cfRule type="cellIs" dxfId="1057" priority="5042" stopIfTrue="1" operator="equal">
      <formula>"2 Add"</formula>
    </cfRule>
  </conditionalFormatting>
  <conditionalFormatting sqref="C1682">
    <cfRule type="cellIs" dxfId="1056" priority="5043" stopIfTrue="1" operator="equal">
      <formula>"3 Delete"</formula>
    </cfRule>
  </conditionalFormatting>
  <conditionalFormatting sqref="C1683">
    <cfRule type="cellIs" dxfId="1055" priority="5044" stopIfTrue="1" operator="equal">
      <formula>"1 Modify"</formula>
    </cfRule>
  </conditionalFormatting>
  <conditionalFormatting sqref="C1683">
    <cfRule type="cellIs" dxfId="1054" priority="5045" stopIfTrue="1" operator="equal">
      <formula>"2 Add"</formula>
    </cfRule>
  </conditionalFormatting>
  <conditionalFormatting sqref="C1683">
    <cfRule type="cellIs" dxfId="1053" priority="5046" stopIfTrue="1" operator="equal">
      <formula>"3 Delete"</formula>
    </cfRule>
  </conditionalFormatting>
  <conditionalFormatting sqref="C1684">
    <cfRule type="cellIs" dxfId="1052" priority="5047" stopIfTrue="1" operator="equal">
      <formula>"1 Modify"</formula>
    </cfRule>
  </conditionalFormatting>
  <conditionalFormatting sqref="C1684">
    <cfRule type="cellIs" dxfId="1051" priority="5048" stopIfTrue="1" operator="equal">
      <formula>"2 Add"</formula>
    </cfRule>
  </conditionalFormatting>
  <conditionalFormatting sqref="C1684">
    <cfRule type="cellIs" dxfId="1050" priority="5049" stopIfTrue="1" operator="equal">
      <formula>"3 Delete"</formula>
    </cfRule>
  </conditionalFormatting>
  <conditionalFormatting sqref="C1685">
    <cfRule type="cellIs" dxfId="1049" priority="5050" stopIfTrue="1" operator="equal">
      <formula>"1 Modify"</formula>
    </cfRule>
  </conditionalFormatting>
  <conditionalFormatting sqref="C1685">
    <cfRule type="cellIs" dxfId="1048" priority="5051" stopIfTrue="1" operator="equal">
      <formula>"2 Add"</formula>
    </cfRule>
  </conditionalFormatting>
  <conditionalFormatting sqref="C1685">
    <cfRule type="cellIs" dxfId="1047" priority="5052" stopIfTrue="1" operator="equal">
      <formula>"3 Delete"</formula>
    </cfRule>
  </conditionalFormatting>
  <conditionalFormatting sqref="C1686">
    <cfRule type="cellIs" dxfId="1046" priority="5053" stopIfTrue="1" operator="equal">
      <formula>"1 Modify"</formula>
    </cfRule>
  </conditionalFormatting>
  <conditionalFormatting sqref="C1686">
    <cfRule type="cellIs" dxfId="1045" priority="5054" stopIfTrue="1" operator="equal">
      <formula>"2 Add"</formula>
    </cfRule>
  </conditionalFormatting>
  <conditionalFormatting sqref="C1686">
    <cfRule type="cellIs" dxfId="1044" priority="5055" stopIfTrue="1" operator="equal">
      <formula>"3 Delete"</formula>
    </cfRule>
  </conditionalFormatting>
  <conditionalFormatting sqref="C1687">
    <cfRule type="cellIs" dxfId="1043" priority="5056" stopIfTrue="1" operator="equal">
      <formula>"1 Modify"</formula>
    </cfRule>
  </conditionalFormatting>
  <conditionalFormatting sqref="C1687">
    <cfRule type="cellIs" dxfId="1042" priority="5057" stopIfTrue="1" operator="equal">
      <formula>"2 Add"</formula>
    </cfRule>
  </conditionalFormatting>
  <conditionalFormatting sqref="C1687">
    <cfRule type="cellIs" dxfId="1041" priority="5058" stopIfTrue="1" operator="equal">
      <formula>"3 Delete"</formula>
    </cfRule>
  </conditionalFormatting>
  <conditionalFormatting sqref="C1688">
    <cfRule type="cellIs" dxfId="1040" priority="5059" stopIfTrue="1" operator="equal">
      <formula>"1 Modify"</formula>
    </cfRule>
  </conditionalFormatting>
  <conditionalFormatting sqref="C1688">
    <cfRule type="cellIs" dxfId="1039" priority="5060" stopIfTrue="1" operator="equal">
      <formula>"2 Add"</formula>
    </cfRule>
  </conditionalFormatting>
  <conditionalFormatting sqref="C1688">
    <cfRule type="cellIs" dxfId="1038" priority="5061" stopIfTrue="1" operator="equal">
      <formula>"3 Delete"</formula>
    </cfRule>
  </conditionalFormatting>
  <conditionalFormatting sqref="C1689">
    <cfRule type="cellIs" dxfId="1037" priority="5062" stopIfTrue="1" operator="equal">
      <formula>"1 Modify"</formula>
    </cfRule>
  </conditionalFormatting>
  <conditionalFormatting sqref="C1689">
    <cfRule type="cellIs" dxfId="1036" priority="5063" stopIfTrue="1" operator="equal">
      <formula>"2 Add"</formula>
    </cfRule>
  </conditionalFormatting>
  <conditionalFormatting sqref="C1689">
    <cfRule type="cellIs" dxfId="1035" priority="5064" stopIfTrue="1" operator="equal">
      <formula>"3 Delete"</formula>
    </cfRule>
  </conditionalFormatting>
  <conditionalFormatting sqref="C1690">
    <cfRule type="cellIs" dxfId="1034" priority="5065" stopIfTrue="1" operator="equal">
      <formula>"1 Modify"</formula>
    </cfRule>
  </conditionalFormatting>
  <conditionalFormatting sqref="C1690">
    <cfRule type="cellIs" dxfId="1033" priority="5066" stopIfTrue="1" operator="equal">
      <formula>"2 Add"</formula>
    </cfRule>
  </conditionalFormatting>
  <conditionalFormatting sqref="C1690">
    <cfRule type="cellIs" dxfId="1032" priority="5067" stopIfTrue="1" operator="equal">
      <formula>"3 Delete"</formula>
    </cfRule>
  </conditionalFormatting>
  <conditionalFormatting sqref="C1691">
    <cfRule type="cellIs" dxfId="1031" priority="5068" stopIfTrue="1" operator="equal">
      <formula>"1 Modify"</formula>
    </cfRule>
  </conditionalFormatting>
  <conditionalFormatting sqref="C1691">
    <cfRule type="cellIs" dxfId="1030" priority="5069" stopIfTrue="1" operator="equal">
      <formula>"2 Add"</formula>
    </cfRule>
  </conditionalFormatting>
  <conditionalFormatting sqref="C1691">
    <cfRule type="cellIs" dxfId="1029" priority="5070" stopIfTrue="1" operator="equal">
      <formula>"3 Delete"</formula>
    </cfRule>
  </conditionalFormatting>
  <conditionalFormatting sqref="C1692">
    <cfRule type="cellIs" dxfId="1028" priority="5071" stopIfTrue="1" operator="equal">
      <formula>"1 Modify"</formula>
    </cfRule>
  </conditionalFormatting>
  <conditionalFormatting sqref="C1692">
    <cfRule type="cellIs" dxfId="1027" priority="5072" stopIfTrue="1" operator="equal">
      <formula>"2 Add"</formula>
    </cfRule>
  </conditionalFormatting>
  <conditionalFormatting sqref="C1692">
    <cfRule type="cellIs" dxfId="1026" priority="5073" stopIfTrue="1" operator="equal">
      <formula>"3 Delete"</formula>
    </cfRule>
  </conditionalFormatting>
  <conditionalFormatting sqref="C1693">
    <cfRule type="cellIs" dxfId="1025" priority="5074" stopIfTrue="1" operator="equal">
      <formula>"1 Modify"</formula>
    </cfRule>
  </conditionalFormatting>
  <conditionalFormatting sqref="C1693">
    <cfRule type="cellIs" dxfId="1024" priority="5075" stopIfTrue="1" operator="equal">
      <formula>"2 Add"</formula>
    </cfRule>
  </conditionalFormatting>
  <conditionalFormatting sqref="C1693">
    <cfRule type="cellIs" dxfId="1023" priority="5076" stopIfTrue="1" operator="equal">
      <formula>"3 Delete"</formula>
    </cfRule>
  </conditionalFormatting>
  <conditionalFormatting sqref="C1694">
    <cfRule type="cellIs" dxfId="1022" priority="5077" stopIfTrue="1" operator="equal">
      <formula>"1 Modify"</formula>
    </cfRule>
  </conditionalFormatting>
  <conditionalFormatting sqref="C1694">
    <cfRule type="cellIs" dxfId="1021" priority="5078" stopIfTrue="1" operator="equal">
      <formula>"2 Add"</formula>
    </cfRule>
  </conditionalFormatting>
  <conditionalFormatting sqref="C1694">
    <cfRule type="cellIs" dxfId="1020" priority="5079" stopIfTrue="1" operator="equal">
      <formula>"3 Delete"</formula>
    </cfRule>
  </conditionalFormatting>
  <conditionalFormatting sqref="C1695">
    <cfRule type="cellIs" dxfId="1019" priority="5080" stopIfTrue="1" operator="equal">
      <formula>"1 Modify"</formula>
    </cfRule>
  </conditionalFormatting>
  <conditionalFormatting sqref="C1695">
    <cfRule type="cellIs" dxfId="1018" priority="5081" stopIfTrue="1" operator="equal">
      <formula>"2 Add"</formula>
    </cfRule>
  </conditionalFormatting>
  <conditionalFormatting sqref="C1695">
    <cfRule type="cellIs" dxfId="1017" priority="5082" stopIfTrue="1" operator="equal">
      <formula>"3 Delete"</formula>
    </cfRule>
  </conditionalFormatting>
  <conditionalFormatting sqref="C1696">
    <cfRule type="cellIs" dxfId="1016" priority="5083" stopIfTrue="1" operator="equal">
      <formula>"1 Modify"</formula>
    </cfRule>
  </conditionalFormatting>
  <conditionalFormatting sqref="C1696">
    <cfRule type="cellIs" dxfId="1015" priority="5084" stopIfTrue="1" operator="equal">
      <formula>"2 Add"</formula>
    </cfRule>
  </conditionalFormatting>
  <conditionalFormatting sqref="C1696">
    <cfRule type="cellIs" dxfId="1014" priority="5085" stopIfTrue="1" operator="equal">
      <formula>"3 Delete"</formula>
    </cfRule>
  </conditionalFormatting>
  <conditionalFormatting sqref="C1697">
    <cfRule type="cellIs" dxfId="1013" priority="5086" stopIfTrue="1" operator="equal">
      <formula>"1 Modify"</formula>
    </cfRule>
  </conditionalFormatting>
  <conditionalFormatting sqref="C1697">
    <cfRule type="cellIs" dxfId="1012" priority="5087" stopIfTrue="1" operator="equal">
      <formula>"2 Add"</formula>
    </cfRule>
  </conditionalFormatting>
  <conditionalFormatting sqref="C1697">
    <cfRule type="cellIs" dxfId="1011" priority="5088" stopIfTrue="1" operator="equal">
      <formula>"3 Delete"</formula>
    </cfRule>
  </conditionalFormatting>
  <conditionalFormatting sqref="C1698">
    <cfRule type="cellIs" dxfId="1010" priority="5089" stopIfTrue="1" operator="equal">
      <formula>"1 Modify"</formula>
    </cfRule>
  </conditionalFormatting>
  <conditionalFormatting sqref="C1698">
    <cfRule type="cellIs" dxfId="1009" priority="5090" stopIfTrue="1" operator="equal">
      <formula>"2 Add"</formula>
    </cfRule>
  </conditionalFormatting>
  <conditionalFormatting sqref="C1698">
    <cfRule type="cellIs" dxfId="1008" priority="5091" stopIfTrue="1" operator="equal">
      <formula>"3 Delete"</formula>
    </cfRule>
  </conditionalFormatting>
  <conditionalFormatting sqref="C1699">
    <cfRule type="cellIs" dxfId="1007" priority="5092" stopIfTrue="1" operator="equal">
      <formula>"1 Modify"</formula>
    </cfRule>
  </conditionalFormatting>
  <conditionalFormatting sqref="C1699">
    <cfRule type="cellIs" dxfId="1006" priority="5093" stopIfTrue="1" operator="equal">
      <formula>"2 Add"</formula>
    </cfRule>
  </conditionalFormatting>
  <conditionalFormatting sqref="C1699">
    <cfRule type="cellIs" dxfId="1005" priority="5094" stopIfTrue="1" operator="equal">
      <formula>"3 Delete"</formula>
    </cfRule>
  </conditionalFormatting>
  <conditionalFormatting sqref="C1700">
    <cfRule type="cellIs" dxfId="1004" priority="5095" stopIfTrue="1" operator="equal">
      <formula>"1 Modify"</formula>
    </cfRule>
  </conditionalFormatting>
  <conditionalFormatting sqref="C1700">
    <cfRule type="cellIs" dxfId="1003" priority="5096" stopIfTrue="1" operator="equal">
      <formula>"2 Add"</formula>
    </cfRule>
  </conditionalFormatting>
  <conditionalFormatting sqref="C1700">
    <cfRule type="cellIs" dxfId="1002" priority="5097" stopIfTrue="1" operator="equal">
      <formula>"3 Delete"</formula>
    </cfRule>
  </conditionalFormatting>
  <conditionalFormatting sqref="C1701">
    <cfRule type="cellIs" dxfId="1001" priority="5098" stopIfTrue="1" operator="equal">
      <formula>"1 Modify"</formula>
    </cfRule>
  </conditionalFormatting>
  <conditionalFormatting sqref="C1701">
    <cfRule type="cellIs" dxfId="1000" priority="5099" stopIfTrue="1" operator="equal">
      <formula>"2 Add"</formula>
    </cfRule>
  </conditionalFormatting>
  <conditionalFormatting sqref="C1701">
    <cfRule type="cellIs" dxfId="999" priority="5100" stopIfTrue="1" operator="equal">
      <formula>"3 Delete"</formula>
    </cfRule>
  </conditionalFormatting>
  <conditionalFormatting sqref="C1702">
    <cfRule type="cellIs" dxfId="998" priority="5101" stopIfTrue="1" operator="equal">
      <formula>"1 Modify"</formula>
    </cfRule>
  </conditionalFormatting>
  <conditionalFormatting sqref="C1702">
    <cfRule type="cellIs" dxfId="997" priority="5102" stopIfTrue="1" operator="equal">
      <formula>"2 Add"</formula>
    </cfRule>
  </conditionalFormatting>
  <conditionalFormatting sqref="C1702">
    <cfRule type="cellIs" dxfId="996" priority="5103" stopIfTrue="1" operator="equal">
      <formula>"3 Delete"</formula>
    </cfRule>
  </conditionalFormatting>
  <conditionalFormatting sqref="C1703">
    <cfRule type="cellIs" dxfId="995" priority="5104" stopIfTrue="1" operator="equal">
      <formula>"1 Modify"</formula>
    </cfRule>
  </conditionalFormatting>
  <conditionalFormatting sqref="C1703">
    <cfRule type="cellIs" dxfId="994" priority="5105" stopIfTrue="1" operator="equal">
      <formula>"2 Add"</formula>
    </cfRule>
  </conditionalFormatting>
  <conditionalFormatting sqref="C1703">
    <cfRule type="cellIs" dxfId="993" priority="5106" stopIfTrue="1" operator="equal">
      <formula>"3 Delete"</formula>
    </cfRule>
  </conditionalFormatting>
  <conditionalFormatting sqref="C1704">
    <cfRule type="cellIs" dxfId="992" priority="5107" stopIfTrue="1" operator="equal">
      <formula>"1 Modify"</formula>
    </cfRule>
  </conditionalFormatting>
  <conditionalFormatting sqref="C1704">
    <cfRule type="cellIs" dxfId="991" priority="5108" stopIfTrue="1" operator="equal">
      <formula>"2 Add"</formula>
    </cfRule>
  </conditionalFormatting>
  <conditionalFormatting sqref="C1704">
    <cfRule type="cellIs" dxfId="990" priority="5109" stopIfTrue="1" operator="equal">
      <formula>"3 Delete"</formula>
    </cfRule>
  </conditionalFormatting>
  <conditionalFormatting sqref="C1705">
    <cfRule type="cellIs" dxfId="989" priority="5110" stopIfTrue="1" operator="equal">
      <formula>"1 Modify"</formula>
    </cfRule>
  </conditionalFormatting>
  <conditionalFormatting sqref="C1705">
    <cfRule type="cellIs" dxfId="988" priority="5111" stopIfTrue="1" operator="equal">
      <formula>"2 Add"</formula>
    </cfRule>
  </conditionalFormatting>
  <conditionalFormatting sqref="C1705">
    <cfRule type="cellIs" dxfId="987" priority="5112" stopIfTrue="1" operator="equal">
      <formula>"3 Delete"</formula>
    </cfRule>
  </conditionalFormatting>
  <conditionalFormatting sqref="C1706">
    <cfRule type="cellIs" dxfId="986" priority="5113" stopIfTrue="1" operator="equal">
      <formula>"1 Modify"</formula>
    </cfRule>
  </conditionalFormatting>
  <conditionalFormatting sqref="C1706">
    <cfRule type="cellIs" dxfId="985" priority="5114" stopIfTrue="1" operator="equal">
      <formula>"2 Add"</formula>
    </cfRule>
  </conditionalFormatting>
  <conditionalFormatting sqref="C1706">
    <cfRule type="cellIs" dxfId="984" priority="5115" stopIfTrue="1" operator="equal">
      <formula>"3 Delete"</formula>
    </cfRule>
  </conditionalFormatting>
  <conditionalFormatting sqref="C1707">
    <cfRule type="cellIs" dxfId="983" priority="5116" stopIfTrue="1" operator="equal">
      <formula>"1 Modify"</formula>
    </cfRule>
  </conditionalFormatting>
  <conditionalFormatting sqref="C1707">
    <cfRule type="cellIs" dxfId="982" priority="5117" stopIfTrue="1" operator="equal">
      <formula>"2 Add"</formula>
    </cfRule>
  </conditionalFormatting>
  <conditionalFormatting sqref="C1707">
    <cfRule type="cellIs" dxfId="981" priority="5118" stopIfTrue="1" operator="equal">
      <formula>"3 Delete"</formula>
    </cfRule>
  </conditionalFormatting>
  <conditionalFormatting sqref="C1708">
    <cfRule type="cellIs" dxfId="980" priority="5119" stopIfTrue="1" operator="equal">
      <formula>"1 Modify"</formula>
    </cfRule>
  </conditionalFormatting>
  <conditionalFormatting sqref="C1708">
    <cfRule type="cellIs" dxfId="979" priority="5120" stopIfTrue="1" operator="equal">
      <formula>"2 Add"</formula>
    </cfRule>
  </conditionalFormatting>
  <conditionalFormatting sqref="C1708">
    <cfRule type="cellIs" dxfId="978" priority="5121" stopIfTrue="1" operator="equal">
      <formula>"3 Delete"</formula>
    </cfRule>
  </conditionalFormatting>
  <conditionalFormatting sqref="C1709">
    <cfRule type="cellIs" dxfId="977" priority="5122" stopIfTrue="1" operator="equal">
      <formula>"1 Modify"</formula>
    </cfRule>
  </conditionalFormatting>
  <conditionalFormatting sqref="C1709">
    <cfRule type="cellIs" dxfId="976" priority="5123" stopIfTrue="1" operator="equal">
      <formula>"2 Add"</formula>
    </cfRule>
  </conditionalFormatting>
  <conditionalFormatting sqref="C1709">
    <cfRule type="cellIs" dxfId="975" priority="5124" stopIfTrue="1" operator="equal">
      <formula>"3 Delete"</formula>
    </cfRule>
  </conditionalFormatting>
  <conditionalFormatting sqref="C1710">
    <cfRule type="cellIs" dxfId="974" priority="5125" stopIfTrue="1" operator="equal">
      <formula>"1 Modify"</formula>
    </cfRule>
  </conditionalFormatting>
  <conditionalFormatting sqref="C1710">
    <cfRule type="cellIs" dxfId="973" priority="5126" stopIfTrue="1" operator="equal">
      <formula>"2 Add"</formula>
    </cfRule>
  </conditionalFormatting>
  <conditionalFormatting sqref="C1710">
    <cfRule type="cellIs" dxfId="972" priority="5127" stopIfTrue="1" operator="equal">
      <formula>"3 Delete"</formula>
    </cfRule>
  </conditionalFormatting>
  <conditionalFormatting sqref="C1711">
    <cfRule type="cellIs" dxfId="971" priority="5128" stopIfTrue="1" operator="equal">
      <formula>"1 Modify"</formula>
    </cfRule>
  </conditionalFormatting>
  <conditionalFormatting sqref="C1711">
    <cfRule type="cellIs" dxfId="970" priority="5129" stopIfTrue="1" operator="equal">
      <formula>"2 Add"</formula>
    </cfRule>
  </conditionalFormatting>
  <conditionalFormatting sqref="C1711">
    <cfRule type="cellIs" dxfId="969" priority="5130" stopIfTrue="1" operator="equal">
      <formula>"3 Delete"</formula>
    </cfRule>
  </conditionalFormatting>
  <conditionalFormatting sqref="C1712">
    <cfRule type="cellIs" dxfId="968" priority="5131" stopIfTrue="1" operator="equal">
      <formula>"1 Modify"</formula>
    </cfRule>
  </conditionalFormatting>
  <conditionalFormatting sqref="C1712">
    <cfRule type="cellIs" dxfId="967" priority="5132" stopIfTrue="1" operator="equal">
      <formula>"2 Add"</formula>
    </cfRule>
  </conditionalFormatting>
  <conditionalFormatting sqref="C1712">
    <cfRule type="cellIs" dxfId="966" priority="5133" stopIfTrue="1" operator="equal">
      <formula>"3 Delete"</formula>
    </cfRule>
  </conditionalFormatting>
  <conditionalFormatting sqref="C1713">
    <cfRule type="cellIs" dxfId="965" priority="5134" stopIfTrue="1" operator="equal">
      <formula>"1 Modify"</formula>
    </cfRule>
  </conditionalFormatting>
  <conditionalFormatting sqref="C1713">
    <cfRule type="cellIs" dxfId="964" priority="5135" stopIfTrue="1" operator="equal">
      <formula>"2 Add"</formula>
    </cfRule>
  </conditionalFormatting>
  <conditionalFormatting sqref="C1713">
    <cfRule type="cellIs" dxfId="963" priority="5136" stopIfTrue="1" operator="equal">
      <formula>"3 Delete"</formula>
    </cfRule>
  </conditionalFormatting>
  <conditionalFormatting sqref="C1714">
    <cfRule type="cellIs" dxfId="962" priority="5137" stopIfTrue="1" operator="equal">
      <formula>"1 Modify"</formula>
    </cfRule>
  </conditionalFormatting>
  <conditionalFormatting sqref="C1714">
    <cfRule type="cellIs" dxfId="961" priority="5138" stopIfTrue="1" operator="equal">
      <formula>"2 Add"</formula>
    </cfRule>
  </conditionalFormatting>
  <conditionalFormatting sqref="C1714">
    <cfRule type="cellIs" dxfId="960" priority="5139" stopIfTrue="1" operator="equal">
      <formula>"3 Delete"</formula>
    </cfRule>
  </conditionalFormatting>
  <conditionalFormatting sqref="C1715">
    <cfRule type="cellIs" dxfId="959" priority="5140" stopIfTrue="1" operator="equal">
      <formula>"1 Modify"</formula>
    </cfRule>
  </conditionalFormatting>
  <conditionalFormatting sqref="C1715">
    <cfRule type="cellIs" dxfId="958" priority="5141" stopIfTrue="1" operator="equal">
      <formula>"2 Add"</formula>
    </cfRule>
  </conditionalFormatting>
  <conditionalFormatting sqref="C1715">
    <cfRule type="cellIs" dxfId="957" priority="5142" stopIfTrue="1" operator="equal">
      <formula>"3 Delete"</formula>
    </cfRule>
  </conditionalFormatting>
  <conditionalFormatting sqref="C1716">
    <cfRule type="cellIs" dxfId="956" priority="5143" stopIfTrue="1" operator="equal">
      <formula>"1 Modify"</formula>
    </cfRule>
  </conditionalFormatting>
  <conditionalFormatting sqref="C1716">
    <cfRule type="cellIs" dxfId="955" priority="5144" stopIfTrue="1" operator="equal">
      <formula>"2 Add"</formula>
    </cfRule>
  </conditionalFormatting>
  <conditionalFormatting sqref="C1716">
    <cfRule type="cellIs" dxfId="954" priority="5145" stopIfTrue="1" operator="equal">
      <formula>"3 Delete"</formula>
    </cfRule>
  </conditionalFormatting>
  <conditionalFormatting sqref="C1717">
    <cfRule type="cellIs" dxfId="953" priority="5146" stopIfTrue="1" operator="equal">
      <formula>"1 Modify"</formula>
    </cfRule>
  </conditionalFormatting>
  <conditionalFormatting sqref="C1717">
    <cfRule type="cellIs" dxfId="952" priority="5147" stopIfTrue="1" operator="equal">
      <formula>"2 Add"</formula>
    </cfRule>
  </conditionalFormatting>
  <conditionalFormatting sqref="C1717">
    <cfRule type="cellIs" dxfId="951" priority="5148" stopIfTrue="1" operator="equal">
      <formula>"3 Delete"</formula>
    </cfRule>
  </conditionalFormatting>
  <conditionalFormatting sqref="C1718">
    <cfRule type="cellIs" dxfId="950" priority="5149" stopIfTrue="1" operator="equal">
      <formula>"1 Modify"</formula>
    </cfRule>
  </conditionalFormatting>
  <conditionalFormatting sqref="C1718">
    <cfRule type="cellIs" dxfId="949" priority="5150" stopIfTrue="1" operator="equal">
      <formula>"2 Add"</formula>
    </cfRule>
  </conditionalFormatting>
  <conditionalFormatting sqref="C1718">
    <cfRule type="cellIs" dxfId="948" priority="5151" stopIfTrue="1" operator="equal">
      <formula>"3 Delete"</formula>
    </cfRule>
  </conditionalFormatting>
  <conditionalFormatting sqref="C1719">
    <cfRule type="cellIs" dxfId="947" priority="5152" stopIfTrue="1" operator="equal">
      <formula>"1 Modify"</formula>
    </cfRule>
  </conditionalFormatting>
  <conditionalFormatting sqref="C1719">
    <cfRule type="cellIs" dxfId="946" priority="5153" stopIfTrue="1" operator="equal">
      <formula>"2 Add"</formula>
    </cfRule>
  </conditionalFormatting>
  <conditionalFormatting sqref="C1719">
    <cfRule type="cellIs" dxfId="945" priority="5154" stopIfTrue="1" operator="equal">
      <formula>"3 Delete"</formula>
    </cfRule>
  </conditionalFormatting>
  <conditionalFormatting sqref="C1720">
    <cfRule type="cellIs" dxfId="944" priority="5155" stopIfTrue="1" operator="equal">
      <formula>"1 Modify"</formula>
    </cfRule>
  </conditionalFormatting>
  <conditionalFormatting sqref="C1720">
    <cfRule type="cellIs" dxfId="943" priority="5156" stopIfTrue="1" operator="equal">
      <formula>"2 Add"</formula>
    </cfRule>
  </conditionalFormatting>
  <conditionalFormatting sqref="C1720">
    <cfRule type="cellIs" dxfId="942" priority="5157" stopIfTrue="1" operator="equal">
      <formula>"3 Delete"</formula>
    </cfRule>
  </conditionalFormatting>
  <conditionalFormatting sqref="C1721">
    <cfRule type="cellIs" dxfId="941" priority="5158" stopIfTrue="1" operator="equal">
      <formula>"1 Modify"</formula>
    </cfRule>
  </conditionalFormatting>
  <conditionalFormatting sqref="C1721">
    <cfRule type="cellIs" dxfId="940" priority="5159" stopIfTrue="1" operator="equal">
      <formula>"2 Add"</formula>
    </cfRule>
  </conditionalFormatting>
  <conditionalFormatting sqref="C1721">
    <cfRule type="cellIs" dxfId="939" priority="5160" stopIfTrue="1" operator="equal">
      <formula>"3 Delete"</formula>
    </cfRule>
  </conditionalFormatting>
  <conditionalFormatting sqref="C1722">
    <cfRule type="cellIs" dxfId="938" priority="5161" stopIfTrue="1" operator="equal">
      <formula>"1 Modify"</formula>
    </cfRule>
  </conditionalFormatting>
  <conditionalFormatting sqref="C1722">
    <cfRule type="cellIs" dxfId="937" priority="5162" stopIfTrue="1" operator="equal">
      <formula>"2 Add"</formula>
    </cfRule>
  </conditionalFormatting>
  <conditionalFormatting sqref="C1722">
    <cfRule type="cellIs" dxfId="936" priority="5163" stopIfTrue="1" operator="equal">
      <formula>"3 Delete"</formula>
    </cfRule>
  </conditionalFormatting>
  <conditionalFormatting sqref="C1723">
    <cfRule type="cellIs" dxfId="935" priority="5164" stopIfTrue="1" operator="equal">
      <formula>"1 Modify"</formula>
    </cfRule>
  </conditionalFormatting>
  <conditionalFormatting sqref="C1723">
    <cfRule type="cellIs" dxfId="934" priority="5165" stopIfTrue="1" operator="equal">
      <formula>"2 Add"</formula>
    </cfRule>
  </conditionalFormatting>
  <conditionalFormatting sqref="C1723">
    <cfRule type="cellIs" dxfId="933" priority="5166" stopIfTrue="1" operator="equal">
      <formula>"3 Delete"</formula>
    </cfRule>
  </conditionalFormatting>
  <conditionalFormatting sqref="C1724">
    <cfRule type="cellIs" dxfId="932" priority="5167" stopIfTrue="1" operator="equal">
      <formula>"1 Modify"</formula>
    </cfRule>
  </conditionalFormatting>
  <conditionalFormatting sqref="C1724">
    <cfRule type="cellIs" dxfId="931" priority="5168" stopIfTrue="1" operator="equal">
      <formula>"2 Add"</formula>
    </cfRule>
  </conditionalFormatting>
  <conditionalFormatting sqref="C1724">
    <cfRule type="cellIs" dxfId="930" priority="5169" stopIfTrue="1" operator="equal">
      <formula>"3 Delete"</formula>
    </cfRule>
  </conditionalFormatting>
  <conditionalFormatting sqref="C1725">
    <cfRule type="cellIs" dxfId="929" priority="5170" stopIfTrue="1" operator="equal">
      <formula>"1 Modify"</formula>
    </cfRule>
  </conditionalFormatting>
  <conditionalFormatting sqref="C1725">
    <cfRule type="cellIs" dxfId="928" priority="5171" stopIfTrue="1" operator="equal">
      <formula>"2 Add"</formula>
    </cfRule>
  </conditionalFormatting>
  <conditionalFormatting sqref="C1725">
    <cfRule type="cellIs" dxfId="927" priority="5172" stopIfTrue="1" operator="equal">
      <formula>"3 Delete"</formula>
    </cfRule>
  </conditionalFormatting>
  <conditionalFormatting sqref="C1726">
    <cfRule type="cellIs" dxfId="926" priority="5173" stopIfTrue="1" operator="equal">
      <formula>"1 Modify"</formula>
    </cfRule>
  </conditionalFormatting>
  <conditionalFormatting sqref="C1726">
    <cfRule type="cellIs" dxfId="925" priority="5174" stopIfTrue="1" operator="equal">
      <formula>"2 Add"</formula>
    </cfRule>
  </conditionalFormatting>
  <conditionalFormatting sqref="C1726">
    <cfRule type="cellIs" dxfId="924" priority="5175" stopIfTrue="1" operator="equal">
      <formula>"3 Delete"</formula>
    </cfRule>
  </conditionalFormatting>
  <conditionalFormatting sqref="C1727">
    <cfRule type="cellIs" dxfId="923" priority="5176" stopIfTrue="1" operator="equal">
      <formula>"1 Modify"</formula>
    </cfRule>
  </conditionalFormatting>
  <conditionalFormatting sqref="C1727">
    <cfRule type="cellIs" dxfId="922" priority="5177" stopIfTrue="1" operator="equal">
      <formula>"2 Add"</formula>
    </cfRule>
  </conditionalFormatting>
  <conditionalFormatting sqref="C1727">
    <cfRule type="cellIs" dxfId="921" priority="5178" stopIfTrue="1" operator="equal">
      <formula>"3 Delete"</formula>
    </cfRule>
  </conditionalFormatting>
  <conditionalFormatting sqref="C1728">
    <cfRule type="cellIs" dxfId="920" priority="5179" stopIfTrue="1" operator="equal">
      <formula>"1 Modify"</formula>
    </cfRule>
  </conditionalFormatting>
  <conditionalFormatting sqref="C1728">
    <cfRule type="cellIs" dxfId="919" priority="5180" stopIfTrue="1" operator="equal">
      <formula>"2 Add"</formula>
    </cfRule>
  </conditionalFormatting>
  <conditionalFormatting sqref="C1728">
    <cfRule type="cellIs" dxfId="918" priority="5181" stopIfTrue="1" operator="equal">
      <formula>"3 Delete"</formula>
    </cfRule>
  </conditionalFormatting>
  <conditionalFormatting sqref="C1729">
    <cfRule type="cellIs" dxfId="917" priority="5182" stopIfTrue="1" operator="equal">
      <formula>"1 Modify"</formula>
    </cfRule>
  </conditionalFormatting>
  <conditionalFormatting sqref="C1729">
    <cfRule type="cellIs" dxfId="916" priority="5183" stopIfTrue="1" operator="equal">
      <formula>"2 Add"</formula>
    </cfRule>
  </conditionalFormatting>
  <conditionalFormatting sqref="C1729">
    <cfRule type="cellIs" dxfId="915" priority="5184" stopIfTrue="1" operator="equal">
      <formula>"3 Delete"</formula>
    </cfRule>
  </conditionalFormatting>
  <conditionalFormatting sqref="C1730">
    <cfRule type="cellIs" dxfId="914" priority="5185" stopIfTrue="1" operator="equal">
      <formula>"1 Modify"</formula>
    </cfRule>
  </conditionalFormatting>
  <conditionalFormatting sqref="C1730">
    <cfRule type="cellIs" dxfId="913" priority="5186" stopIfTrue="1" operator="equal">
      <formula>"2 Add"</formula>
    </cfRule>
  </conditionalFormatting>
  <conditionalFormatting sqref="C1730">
    <cfRule type="cellIs" dxfId="912" priority="5187" stopIfTrue="1" operator="equal">
      <formula>"3 Delete"</formula>
    </cfRule>
  </conditionalFormatting>
  <conditionalFormatting sqref="C1731">
    <cfRule type="cellIs" dxfId="911" priority="5188" stopIfTrue="1" operator="equal">
      <formula>"1 Modify"</formula>
    </cfRule>
  </conditionalFormatting>
  <conditionalFormatting sqref="C1731">
    <cfRule type="cellIs" dxfId="910" priority="5189" stopIfTrue="1" operator="equal">
      <formula>"2 Add"</formula>
    </cfRule>
  </conditionalFormatting>
  <conditionalFormatting sqref="C1731">
    <cfRule type="cellIs" dxfId="909" priority="5190" stopIfTrue="1" operator="equal">
      <formula>"3 Delete"</formula>
    </cfRule>
  </conditionalFormatting>
  <conditionalFormatting sqref="C1732">
    <cfRule type="cellIs" dxfId="908" priority="5191" stopIfTrue="1" operator="equal">
      <formula>"1 Modify"</formula>
    </cfRule>
  </conditionalFormatting>
  <conditionalFormatting sqref="C1732">
    <cfRule type="cellIs" dxfId="907" priority="5192" stopIfTrue="1" operator="equal">
      <formula>"2 Add"</formula>
    </cfRule>
  </conditionalFormatting>
  <conditionalFormatting sqref="C1732">
    <cfRule type="cellIs" dxfId="906" priority="5193" stopIfTrue="1" operator="equal">
      <formula>"3 Delete"</formula>
    </cfRule>
  </conditionalFormatting>
  <conditionalFormatting sqref="C1733">
    <cfRule type="cellIs" dxfId="905" priority="5194" stopIfTrue="1" operator="equal">
      <formula>"1 Modify"</formula>
    </cfRule>
  </conditionalFormatting>
  <conditionalFormatting sqref="C1733">
    <cfRule type="cellIs" dxfId="904" priority="5195" stopIfTrue="1" operator="equal">
      <formula>"2 Add"</formula>
    </cfRule>
  </conditionalFormatting>
  <conditionalFormatting sqref="C1733">
    <cfRule type="cellIs" dxfId="903" priority="5196" stopIfTrue="1" operator="equal">
      <formula>"3 Delete"</formula>
    </cfRule>
  </conditionalFormatting>
  <conditionalFormatting sqref="C1734">
    <cfRule type="cellIs" dxfId="902" priority="5197" stopIfTrue="1" operator="equal">
      <formula>"1 Modify"</formula>
    </cfRule>
  </conditionalFormatting>
  <conditionalFormatting sqref="C1734">
    <cfRule type="cellIs" dxfId="901" priority="5198" stopIfTrue="1" operator="equal">
      <formula>"2 Add"</formula>
    </cfRule>
  </conditionalFormatting>
  <conditionalFormatting sqref="C1734">
    <cfRule type="cellIs" dxfId="900" priority="5199" stopIfTrue="1" operator="equal">
      <formula>"3 Delete"</formula>
    </cfRule>
  </conditionalFormatting>
  <conditionalFormatting sqref="C1735">
    <cfRule type="cellIs" dxfId="899" priority="5200" stopIfTrue="1" operator="equal">
      <formula>"1 Modify"</formula>
    </cfRule>
  </conditionalFormatting>
  <conditionalFormatting sqref="C1735">
    <cfRule type="cellIs" dxfId="898" priority="5201" stopIfTrue="1" operator="equal">
      <formula>"2 Add"</formula>
    </cfRule>
  </conditionalFormatting>
  <conditionalFormatting sqref="C1735">
    <cfRule type="cellIs" dxfId="897" priority="5202" stopIfTrue="1" operator="equal">
      <formula>"3 Delete"</formula>
    </cfRule>
  </conditionalFormatting>
  <conditionalFormatting sqref="C1736">
    <cfRule type="cellIs" dxfId="896" priority="5203" stopIfTrue="1" operator="equal">
      <formula>"1 Modify"</formula>
    </cfRule>
  </conditionalFormatting>
  <conditionalFormatting sqref="C1736">
    <cfRule type="cellIs" dxfId="895" priority="5204" stopIfTrue="1" operator="equal">
      <formula>"2 Add"</formula>
    </cfRule>
  </conditionalFormatting>
  <conditionalFormatting sqref="C1736">
    <cfRule type="cellIs" dxfId="894" priority="5205" stopIfTrue="1" operator="equal">
      <formula>"3 Delete"</formula>
    </cfRule>
  </conditionalFormatting>
  <conditionalFormatting sqref="C1737">
    <cfRule type="cellIs" dxfId="893" priority="5206" stopIfTrue="1" operator="equal">
      <formula>"1 Modify"</formula>
    </cfRule>
  </conditionalFormatting>
  <conditionalFormatting sqref="C1737">
    <cfRule type="cellIs" dxfId="892" priority="5207" stopIfTrue="1" operator="equal">
      <formula>"2 Add"</formula>
    </cfRule>
  </conditionalFormatting>
  <conditionalFormatting sqref="C1737">
    <cfRule type="cellIs" dxfId="891" priority="5208" stopIfTrue="1" operator="equal">
      <formula>"3 Delete"</formula>
    </cfRule>
  </conditionalFormatting>
  <conditionalFormatting sqref="C1738">
    <cfRule type="cellIs" dxfId="890" priority="5209" stopIfTrue="1" operator="equal">
      <formula>"1 Modify"</formula>
    </cfRule>
  </conditionalFormatting>
  <conditionalFormatting sqref="C1738">
    <cfRule type="cellIs" dxfId="889" priority="5210" stopIfTrue="1" operator="equal">
      <formula>"2 Add"</formula>
    </cfRule>
  </conditionalFormatting>
  <conditionalFormatting sqref="C1738">
    <cfRule type="cellIs" dxfId="888" priority="5211" stopIfTrue="1" operator="equal">
      <formula>"3 Delete"</formula>
    </cfRule>
  </conditionalFormatting>
  <conditionalFormatting sqref="C1739">
    <cfRule type="cellIs" dxfId="887" priority="5212" stopIfTrue="1" operator="equal">
      <formula>"1 Modify"</formula>
    </cfRule>
  </conditionalFormatting>
  <conditionalFormatting sqref="C1739">
    <cfRule type="cellIs" dxfId="886" priority="5213" stopIfTrue="1" operator="equal">
      <formula>"2 Add"</formula>
    </cfRule>
  </conditionalFormatting>
  <conditionalFormatting sqref="C1739">
    <cfRule type="cellIs" dxfId="885" priority="5214" stopIfTrue="1" operator="equal">
      <formula>"3 Delete"</formula>
    </cfRule>
  </conditionalFormatting>
  <conditionalFormatting sqref="C1740">
    <cfRule type="cellIs" dxfId="884" priority="5215" stopIfTrue="1" operator="equal">
      <formula>"1 Modify"</formula>
    </cfRule>
  </conditionalFormatting>
  <conditionalFormatting sqref="C1740">
    <cfRule type="cellIs" dxfId="883" priority="5216" stopIfTrue="1" operator="equal">
      <formula>"2 Add"</formula>
    </cfRule>
  </conditionalFormatting>
  <conditionalFormatting sqref="C1740">
    <cfRule type="cellIs" dxfId="882" priority="5217" stopIfTrue="1" operator="equal">
      <formula>"3 Delete"</formula>
    </cfRule>
  </conditionalFormatting>
  <conditionalFormatting sqref="C1741">
    <cfRule type="cellIs" dxfId="881" priority="5218" stopIfTrue="1" operator="equal">
      <formula>"1 Modify"</formula>
    </cfRule>
  </conditionalFormatting>
  <conditionalFormatting sqref="C1741">
    <cfRule type="cellIs" dxfId="880" priority="5219" stopIfTrue="1" operator="equal">
      <formula>"2 Add"</formula>
    </cfRule>
  </conditionalFormatting>
  <conditionalFormatting sqref="C1741">
    <cfRule type="cellIs" dxfId="879" priority="5220" stopIfTrue="1" operator="equal">
      <formula>"3 Delete"</formula>
    </cfRule>
  </conditionalFormatting>
  <conditionalFormatting sqref="C1742">
    <cfRule type="cellIs" dxfId="878" priority="5221" stopIfTrue="1" operator="equal">
      <formula>"1 Modify"</formula>
    </cfRule>
  </conditionalFormatting>
  <conditionalFormatting sqref="C1742">
    <cfRule type="cellIs" dxfId="877" priority="5222" stopIfTrue="1" operator="equal">
      <formula>"2 Add"</formula>
    </cfRule>
  </conditionalFormatting>
  <conditionalFormatting sqref="C1742">
    <cfRule type="cellIs" dxfId="876" priority="5223" stopIfTrue="1" operator="equal">
      <formula>"3 Delete"</formula>
    </cfRule>
  </conditionalFormatting>
  <conditionalFormatting sqref="C1743">
    <cfRule type="cellIs" dxfId="875" priority="5224" stopIfTrue="1" operator="equal">
      <formula>"1 Modify"</formula>
    </cfRule>
  </conditionalFormatting>
  <conditionalFormatting sqref="C1743">
    <cfRule type="cellIs" dxfId="874" priority="5225" stopIfTrue="1" operator="equal">
      <formula>"2 Add"</formula>
    </cfRule>
  </conditionalFormatting>
  <conditionalFormatting sqref="C1743">
    <cfRule type="cellIs" dxfId="873" priority="5226" stopIfTrue="1" operator="equal">
      <formula>"3 Delete"</formula>
    </cfRule>
  </conditionalFormatting>
  <conditionalFormatting sqref="C1744">
    <cfRule type="cellIs" dxfId="872" priority="5227" stopIfTrue="1" operator="equal">
      <formula>"1 Modify"</formula>
    </cfRule>
  </conditionalFormatting>
  <conditionalFormatting sqref="C1744">
    <cfRule type="cellIs" dxfId="871" priority="5228" stopIfTrue="1" operator="equal">
      <formula>"2 Add"</formula>
    </cfRule>
  </conditionalFormatting>
  <conditionalFormatting sqref="C1744">
    <cfRule type="cellIs" dxfId="870" priority="5229" stopIfTrue="1" operator="equal">
      <formula>"3 Delete"</formula>
    </cfRule>
  </conditionalFormatting>
  <conditionalFormatting sqref="C1745">
    <cfRule type="cellIs" dxfId="869" priority="5230" stopIfTrue="1" operator="equal">
      <formula>"1 Modify"</formula>
    </cfRule>
  </conditionalFormatting>
  <conditionalFormatting sqref="C1745">
    <cfRule type="cellIs" dxfId="868" priority="5231" stopIfTrue="1" operator="equal">
      <formula>"2 Add"</formula>
    </cfRule>
  </conditionalFormatting>
  <conditionalFormatting sqref="C1745">
    <cfRule type="cellIs" dxfId="867" priority="5232" stopIfTrue="1" operator="equal">
      <formula>"3 Delete"</formula>
    </cfRule>
  </conditionalFormatting>
  <conditionalFormatting sqref="C1746">
    <cfRule type="cellIs" dxfId="866" priority="5233" stopIfTrue="1" operator="equal">
      <formula>"1 Modify"</formula>
    </cfRule>
  </conditionalFormatting>
  <conditionalFormatting sqref="C1746">
    <cfRule type="cellIs" dxfId="865" priority="5234" stopIfTrue="1" operator="equal">
      <formula>"2 Add"</formula>
    </cfRule>
  </conditionalFormatting>
  <conditionalFormatting sqref="C1746">
    <cfRule type="cellIs" dxfId="864" priority="5235" stopIfTrue="1" operator="equal">
      <formula>"3 Delete"</formula>
    </cfRule>
  </conditionalFormatting>
  <conditionalFormatting sqref="C1747">
    <cfRule type="cellIs" dxfId="863" priority="5236" stopIfTrue="1" operator="equal">
      <formula>"1 Modify"</formula>
    </cfRule>
  </conditionalFormatting>
  <conditionalFormatting sqref="C1747">
    <cfRule type="cellIs" dxfId="862" priority="5237" stopIfTrue="1" operator="equal">
      <formula>"2 Add"</formula>
    </cfRule>
  </conditionalFormatting>
  <conditionalFormatting sqref="C1747">
    <cfRule type="cellIs" dxfId="861" priority="5238" stopIfTrue="1" operator="equal">
      <formula>"3 Delete"</formula>
    </cfRule>
  </conditionalFormatting>
  <conditionalFormatting sqref="C1748">
    <cfRule type="cellIs" dxfId="860" priority="5239" stopIfTrue="1" operator="equal">
      <formula>"1 Modify"</formula>
    </cfRule>
  </conditionalFormatting>
  <conditionalFormatting sqref="C1748">
    <cfRule type="cellIs" dxfId="859" priority="5240" stopIfTrue="1" operator="equal">
      <formula>"2 Add"</formula>
    </cfRule>
  </conditionalFormatting>
  <conditionalFormatting sqref="C1748">
    <cfRule type="cellIs" dxfId="858" priority="5241" stopIfTrue="1" operator="equal">
      <formula>"3 Delete"</formula>
    </cfRule>
  </conditionalFormatting>
  <conditionalFormatting sqref="C1749">
    <cfRule type="cellIs" dxfId="857" priority="5242" stopIfTrue="1" operator="equal">
      <formula>"1 Modify"</formula>
    </cfRule>
  </conditionalFormatting>
  <conditionalFormatting sqref="C1749">
    <cfRule type="cellIs" dxfId="856" priority="5243" stopIfTrue="1" operator="equal">
      <formula>"2 Add"</formula>
    </cfRule>
  </conditionalFormatting>
  <conditionalFormatting sqref="C1749">
    <cfRule type="cellIs" dxfId="855" priority="5244" stopIfTrue="1" operator="equal">
      <formula>"3 Delete"</formula>
    </cfRule>
  </conditionalFormatting>
  <conditionalFormatting sqref="C1750">
    <cfRule type="cellIs" dxfId="854" priority="5245" stopIfTrue="1" operator="equal">
      <formula>"1 Modify"</formula>
    </cfRule>
  </conditionalFormatting>
  <conditionalFormatting sqref="C1750">
    <cfRule type="cellIs" dxfId="853" priority="5246" stopIfTrue="1" operator="equal">
      <formula>"2 Add"</formula>
    </cfRule>
  </conditionalFormatting>
  <conditionalFormatting sqref="C1750">
    <cfRule type="cellIs" dxfId="852" priority="5247" stopIfTrue="1" operator="equal">
      <formula>"3 Delete"</formula>
    </cfRule>
  </conditionalFormatting>
  <conditionalFormatting sqref="C1751">
    <cfRule type="cellIs" dxfId="851" priority="5248" stopIfTrue="1" operator="equal">
      <formula>"1 Modify"</formula>
    </cfRule>
  </conditionalFormatting>
  <conditionalFormatting sqref="C1751">
    <cfRule type="cellIs" dxfId="850" priority="5249" stopIfTrue="1" operator="equal">
      <formula>"2 Add"</formula>
    </cfRule>
  </conditionalFormatting>
  <conditionalFormatting sqref="C1751">
    <cfRule type="cellIs" dxfId="849" priority="5250" stopIfTrue="1" operator="equal">
      <formula>"3 Delete"</formula>
    </cfRule>
  </conditionalFormatting>
  <conditionalFormatting sqref="C1752">
    <cfRule type="cellIs" dxfId="848" priority="5251" stopIfTrue="1" operator="equal">
      <formula>"1 Modify"</formula>
    </cfRule>
  </conditionalFormatting>
  <conditionalFormatting sqref="C1752">
    <cfRule type="cellIs" dxfId="847" priority="5252" stopIfTrue="1" operator="equal">
      <formula>"2 Add"</formula>
    </cfRule>
  </conditionalFormatting>
  <conditionalFormatting sqref="C1752">
    <cfRule type="cellIs" dxfId="846" priority="5253" stopIfTrue="1" operator="equal">
      <formula>"3 Delete"</formula>
    </cfRule>
  </conditionalFormatting>
  <conditionalFormatting sqref="C1753">
    <cfRule type="cellIs" dxfId="845" priority="5254" stopIfTrue="1" operator="equal">
      <formula>"1 Modify"</formula>
    </cfRule>
  </conditionalFormatting>
  <conditionalFormatting sqref="C1753">
    <cfRule type="cellIs" dxfId="844" priority="5255" stopIfTrue="1" operator="equal">
      <formula>"2 Add"</formula>
    </cfRule>
  </conditionalFormatting>
  <conditionalFormatting sqref="C1753">
    <cfRule type="cellIs" dxfId="843" priority="5256" stopIfTrue="1" operator="equal">
      <formula>"3 Delete"</formula>
    </cfRule>
  </conditionalFormatting>
  <conditionalFormatting sqref="C1754">
    <cfRule type="cellIs" dxfId="842" priority="5257" stopIfTrue="1" operator="equal">
      <formula>"1 Modify"</formula>
    </cfRule>
  </conditionalFormatting>
  <conditionalFormatting sqref="C1754">
    <cfRule type="cellIs" dxfId="841" priority="5258" stopIfTrue="1" operator="equal">
      <formula>"2 Add"</formula>
    </cfRule>
  </conditionalFormatting>
  <conditionalFormatting sqref="C1754">
    <cfRule type="cellIs" dxfId="840" priority="5259" stopIfTrue="1" operator="equal">
      <formula>"3 Delete"</formula>
    </cfRule>
  </conditionalFormatting>
  <conditionalFormatting sqref="C1755">
    <cfRule type="cellIs" dxfId="839" priority="5260" stopIfTrue="1" operator="equal">
      <formula>"1 Modify"</formula>
    </cfRule>
  </conditionalFormatting>
  <conditionalFormatting sqref="C1755">
    <cfRule type="cellIs" dxfId="838" priority="5261" stopIfTrue="1" operator="equal">
      <formula>"2 Add"</formula>
    </cfRule>
  </conditionalFormatting>
  <conditionalFormatting sqref="C1755">
    <cfRule type="cellIs" dxfId="837" priority="5262" stopIfTrue="1" operator="equal">
      <formula>"3 Delete"</formula>
    </cfRule>
  </conditionalFormatting>
  <conditionalFormatting sqref="C1756">
    <cfRule type="cellIs" dxfId="836" priority="5263" stopIfTrue="1" operator="equal">
      <formula>"1 Modify"</formula>
    </cfRule>
  </conditionalFormatting>
  <conditionalFormatting sqref="C1756">
    <cfRule type="cellIs" dxfId="835" priority="5264" stopIfTrue="1" operator="equal">
      <formula>"2 Add"</formula>
    </cfRule>
  </conditionalFormatting>
  <conditionalFormatting sqref="C1756">
    <cfRule type="cellIs" dxfId="834" priority="5265" stopIfTrue="1" operator="equal">
      <formula>"3 Delete"</formula>
    </cfRule>
  </conditionalFormatting>
  <conditionalFormatting sqref="C1757">
    <cfRule type="cellIs" dxfId="833" priority="5266" stopIfTrue="1" operator="equal">
      <formula>"1 Modify"</formula>
    </cfRule>
  </conditionalFormatting>
  <conditionalFormatting sqref="C1757">
    <cfRule type="cellIs" dxfId="832" priority="5267" stopIfTrue="1" operator="equal">
      <formula>"2 Add"</formula>
    </cfRule>
  </conditionalFormatting>
  <conditionalFormatting sqref="C1757">
    <cfRule type="cellIs" dxfId="831" priority="5268" stopIfTrue="1" operator="equal">
      <formula>"3 Delete"</formula>
    </cfRule>
  </conditionalFormatting>
  <conditionalFormatting sqref="C1758">
    <cfRule type="cellIs" dxfId="830" priority="5269" stopIfTrue="1" operator="equal">
      <formula>"1 Modify"</formula>
    </cfRule>
  </conditionalFormatting>
  <conditionalFormatting sqref="C1758">
    <cfRule type="cellIs" dxfId="829" priority="5270" stopIfTrue="1" operator="equal">
      <formula>"2 Add"</formula>
    </cfRule>
  </conditionalFormatting>
  <conditionalFormatting sqref="C1758">
    <cfRule type="cellIs" dxfId="828" priority="5271" stopIfTrue="1" operator="equal">
      <formula>"3 Delete"</formula>
    </cfRule>
  </conditionalFormatting>
  <conditionalFormatting sqref="C1759">
    <cfRule type="cellIs" dxfId="827" priority="5272" stopIfTrue="1" operator="equal">
      <formula>"1 Modify"</formula>
    </cfRule>
  </conditionalFormatting>
  <conditionalFormatting sqref="C1759">
    <cfRule type="cellIs" dxfId="826" priority="5273" stopIfTrue="1" operator="equal">
      <formula>"2 Add"</formula>
    </cfRule>
  </conditionalFormatting>
  <conditionalFormatting sqref="C1759">
    <cfRule type="cellIs" dxfId="825" priority="5274" stopIfTrue="1" operator="equal">
      <formula>"3 Delete"</formula>
    </cfRule>
  </conditionalFormatting>
  <conditionalFormatting sqref="C1760">
    <cfRule type="cellIs" dxfId="824" priority="5275" stopIfTrue="1" operator="equal">
      <formula>"1 Modify"</formula>
    </cfRule>
  </conditionalFormatting>
  <conditionalFormatting sqref="C1760">
    <cfRule type="cellIs" dxfId="823" priority="5276" stopIfTrue="1" operator="equal">
      <formula>"2 Add"</formula>
    </cfRule>
  </conditionalFormatting>
  <conditionalFormatting sqref="C1760">
    <cfRule type="cellIs" dxfId="822" priority="5277" stopIfTrue="1" operator="equal">
      <formula>"3 Delete"</formula>
    </cfRule>
  </conditionalFormatting>
  <conditionalFormatting sqref="C1761">
    <cfRule type="cellIs" dxfId="821" priority="5278" stopIfTrue="1" operator="equal">
      <formula>"1 Modify"</formula>
    </cfRule>
  </conditionalFormatting>
  <conditionalFormatting sqref="C1761">
    <cfRule type="cellIs" dxfId="820" priority="5279" stopIfTrue="1" operator="equal">
      <formula>"2 Add"</formula>
    </cfRule>
  </conditionalFormatting>
  <conditionalFormatting sqref="C1761">
    <cfRule type="cellIs" dxfId="819" priority="5280" stopIfTrue="1" operator="equal">
      <formula>"3 Delete"</formula>
    </cfRule>
  </conditionalFormatting>
  <conditionalFormatting sqref="C1762">
    <cfRule type="cellIs" dxfId="818" priority="5281" stopIfTrue="1" operator="equal">
      <formula>"1 Modify"</formula>
    </cfRule>
  </conditionalFormatting>
  <conditionalFormatting sqref="C1762">
    <cfRule type="cellIs" dxfId="817" priority="5282" stopIfTrue="1" operator="equal">
      <formula>"2 Add"</formula>
    </cfRule>
  </conditionalFormatting>
  <conditionalFormatting sqref="C1762">
    <cfRule type="cellIs" dxfId="816" priority="5283" stopIfTrue="1" operator="equal">
      <formula>"3 Delete"</formula>
    </cfRule>
  </conditionalFormatting>
  <conditionalFormatting sqref="C1763">
    <cfRule type="cellIs" dxfId="815" priority="5284" stopIfTrue="1" operator="equal">
      <formula>"1 Modify"</formula>
    </cfRule>
  </conditionalFormatting>
  <conditionalFormatting sqref="C1763">
    <cfRule type="cellIs" dxfId="814" priority="5285" stopIfTrue="1" operator="equal">
      <formula>"2 Add"</formula>
    </cfRule>
  </conditionalFormatting>
  <conditionalFormatting sqref="C1763">
    <cfRule type="cellIs" dxfId="813" priority="5286" stopIfTrue="1" operator="equal">
      <formula>"3 Delete"</formula>
    </cfRule>
  </conditionalFormatting>
  <conditionalFormatting sqref="C1764">
    <cfRule type="cellIs" dxfId="812" priority="5287" stopIfTrue="1" operator="equal">
      <formula>"1 Modify"</formula>
    </cfRule>
  </conditionalFormatting>
  <conditionalFormatting sqref="C1764">
    <cfRule type="cellIs" dxfId="811" priority="5288" stopIfTrue="1" operator="equal">
      <formula>"2 Add"</formula>
    </cfRule>
  </conditionalFormatting>
  <conditionalFormatting sqref="C1764">
    <cfRule type="cellIs" dxfId="810" priority="5289" stopIfTrue="1" operator="equal">
      <formula>"3 Delete"</formula>
    </cfRule>
  </conditionalFormatting>
  <conditionalFormatting sqref="C1765">
    <cfRule type="cellIs" dxfId="809" priority="5290" stopIfTrue="1" operator="equal">
      <formula>"1 Modify"</formula>
    </cfRule>
  </conditionalFormatting>
  <conditionalFormatting sqref="C1765">
    <cfRule type="cellIs" dxfId="808" priority="5291" stopIfTrue="1" operator="equal">
      <formula>"2 Add"</formula>
    </cfRule>
  </conditionalFormatting>
  <conditionalFormatting sqref="C1765">
    <cfRule type="cellIs" dxfId="807" priority="5292" stopIfTrue="1" operator="equal">
      <formula>"3 Delete"</formula>
    </cfRule>
  </conditionalFormatting>
  <conditionalFormatting sqref="C1766">
    <cfRule type="cellIs" dxfId="806" priority="5293" stopIfTrue="1" operator="equal">
      <formula>"1 Modify"</formula>
    </cfRule>
  </conditionalFormatting>
  <conditionalFormatting sqref="C1766">
    <cfRule type="cellIs" dxfId="805" priority="5294" stopIfTrue="1" operator="equal">
      <formula>"2 Add"</formula>
    </cfRule>
  </conditionalFormatting>
  <conditionalFormatting sqref="C1766">
    <cfRule type="cellIs" dxfId="804" priority="5295" stopIfTrue="1" operator="equal">
      <formula>"3 Delete"</formula>
    </cfRule>
  </conditionalFormatting>
  <conditionalFormatting sqref="C1767">
    <cfRule type="cellIs" dxfId="803" priority="5296" stopIfTrue="1" operator="equal">
      <formula>"1 Modify"</formula>
    </cfRule>
  </conditionalFormatting>
  <conditionalFormatting sqref="C1767">
    <cfRule type="cellIs" dxfId="802" priority="5297" stopIfTrue="1" operator="equal">
      <formula>"2 Add"</formula>
    </cfRule>
  </conditionalFormatting>
  <conditionalFormatting sqref="C1767">
    <cfRule type="cellIs" dxfId="801" priority="5298" stopIfTrue="1" operator="equal">
      <formula>"3 Delete"</formula>
    </cfRule>
  </conditionalFormatting>
  <conditionalFormatting sqref="C1768">
    <cfRule type="cellIs" dxfId="800" priority="5299" stopIfTrue="1" operator="equal">
      <formula>"1 Modify"</formula>
    </cfRule>
  </conditionalFormatting>
  <conditionalFormatting sqref="C1768">
    <cfRule type="cellIs" dxfId="799" priority="5300" stopIfTrue="1" operator="equal">
      <formula>"2 Add"</formula>
    </cfRule>
  </conditionalFormatting>
  <conditionalFormatting sqref="C1768">
    <cfRule type="cellIs" dxfId="798" priority="5301" stopIfTrue="1" operator="equal">
      <formula>"3 Delete"</formula>
    </cfRule>
  </conditionalFormatting>
  <conditionalFormatting sqref="C1769">
    <cfRule type="cellIs" dxfId="797" priority="5302" stopIfTrue="1" operator="equal">
      <formula>"1 Modify"</formula>
    </cfRule>
  </conditionalFormatting>
  <conditionalFormatting sqref="C1769">
    <cfRule type="cellIs" dxfId="796" priority="5303" stopIfTrue="1" operator="equal">
      <formula>"2 Add"</formula>
    </cfRule>
  </conditionalFormatting>
  <conditionalFormatting sqref="C1769">
    <cfRule type="cellIs" dxfId="795" priority="5304" stopIfTrue="1" operator="equal">
      <formula>"3 Delete"</formula>
    </cfRule>
  </conditionalFormatting>
  <conditionalFormatting sqref="C1770">
    <cfRule type="cellIs" dxfId="794" priority="5305" stopIfTrue="1" operator="equal">
      <formula>"1 Modify"</formula>
    </cfRule>
  </conditionalFormatting>
  <conditionalFormatting sqref="C1770">
    <cfRule type="cellIs" dxfId="793" priority="5306" stopIfTrue="1" operator="equal">
      <formula>"2 Add"</formula>
    </cfRule>
  </conditionalFormatting>
  <conditionalFormatting sqref="C1770">
    <cfRule type="cellIs" dxfId="792" priority="5307" stopIfTrue="1" operator="equal">
      <formula>"3 Delete"</formula>
    </cfRule>
  </conditionalFormatting>
  <conditionalFormatting sqref="C1771">
    <cfRule type="cellIs" dxfId="791" priority="5308" stopIfTrue="1" operator="equal">
      <formula>"1 Modify"</formula>
    </cfRule>
  </conditionalFormatting>
  <conditionalFormatting sqref="C1771">
    <cfRule type="cellIs" dxfId="790" priority="5309" stopIfTrue="1" operator="equal">
      <formula>"2 Add"</formula>
    </cfRule>
  </conditionalFormatting>
  <conditionalFormatting sqref="C1771">
    <cfRule type="cellIs" dxfId="789" priority="5310" stopIfTrue="1" operator="equal">
      <formula>"3 Delete"</formula>
    </cfRule>
  </conditionalFormatting>
  <conditionalFormatting sqref="C1772">
    <cfRule type="cellIs" dxfId="788" priority="5311" stopIfTrue="1" operator="equal">
      <formula>"1 Modify"</formula>
    </cfRule>
  </conditionalFormatting>
  <conditionalFormatting sqref="C1772">
    <cfRule type="cellIs" dxfId="787" priority="5312" stopIfTrue="1" operator="equal">
      <formula>"2 Add"</formula>
    </cfRule>
  </conditionalFormatting>
  <conditionalFormatting sqref="C1772">
    <cfRule type="cellIs" dxfId="786" priority="5313" stopIfTrue="1" operator="equal">
      <formula>"3 Delete"</formula>
    </cfRule>
  </conditionalFormatting>
  <conditionalFormatting sqref="C1773">
    <cfRule type="cellIs" dxfId="785" priority="5314" stopIfTrue="1" operator="equal">
      <formula>"1 Modify"</formula>
    </cfRule>
  </conditionalFormatting>
  <conditionalFormatting sqref="C1773">
    <cfRule type="cellIs" dxfId="784" priority="5315" stopIfTrue="1" operator="equal">
      <formula>"2 Add"</formula>
    </cfRule>
  </conditionalFormatting>
  <conditionalFormatting sqref="C1773">
    <cfRule type="cellIs" dxfId="783" priority="5316" stopIfTrue="1" operator="equal">
      <formula>"3 Delete"</formula>
    </cfRule>
  </conditionalFormatting>
  <conditionalFormatting sqref="C1774">
    <cfRule type="cellIs" dxfId="782" priority="5317" stopIfTrue="1" operator="equal">
      <formula>"1 Modify"</formula>
    </cfRule>
  </conditionalFormatting>
  <conditionalFormatting sqref="C1774">
    <cfRule type="cellIs" dxfId="781" priority="5318" stopIfTrue="1" operator="equal">
      <formula>"2 Add"</formula>
    </cfRule>
  </conditionalFormatting>
  <conditionalFormatting sqref="C1774">
    <cfRule type="cellIs" dxfId="780" priority="5319" stopIfTrue="1" operator="equal">
      <formula>"3 Delete"</formula>
    </cfRule>
  </conditionalFormatting>
  <conditionalFormatting sqref="C1775">
    <cfRule type="cellIs" dxfId="779" priority="5320" stopIfTrue="1" operator="equal">
      <formula>"1 Modify"</formula>
    </cfRule>
  </conditionalFormatting>
  <conditionalFormatting sqref="C1775">
    <cfRule type="cellIs" dxfId="778" priority="5321" stopIfTrue="1" operator="equal">
      <formula>"2 Add"</formula>
    </cfRule>
  </conditionalFormatting>
  <conditionalFormatting sqref="C1775">
    <cfRule type="cellIs" dxfId="777" priority="5322" stopIfTrue="1" operator="equal">
      <formula>"3 Delete"</formula>
    </cfRule>
  </conditionalFormatting>
  <conditionalFormatting sqref="C1776">
    <cfRule type="cellIs" dxfId="776" priority="5323" stopIfTrue="1" operator="equal">
      <formula>"1 Modify"</formula>
    </cfRule>
  </conditionalFormatting>
  <conditionalFormatting sqref="C1776">
    <cfRule type="cellIs" dxfId="775" priority="5324" stopIfTrue="1" operator="equal">
      <formula>"2 Add"</formula>
    </cfRule>
  </conditionalFormatting>
  <conditionalFormatting sqref="C1776">
    <cfRule type="cellIs" dxfId="774" priority="5325" stopIfTrue="1" operator="equal">
      <formula>"3 Delete"</formula>
    </cfRule>
  </conditionalFormatting>
  <conditionalFormatting sqref="C1777">
    <cfRule type="cellIs" dxfId="773" priority="5326" stopIfTrue="1" operator="equal">
      <formula>"1 Modify"</formula>
    </cfRule>
  </conditionalFormatting>
  <conditionalFormatting sqref="C1777">
    <cfRule type="cellIs" dxfId="772" priority="5327" stopIfTrue="1" operator="equal">
      <formula>"2 Add"</formula>
    </cfRule>
  </conditionalFormatting>
  <conditionalFormatting sqref="C1777">
    <cfRule type="cellIs" dxfId="771" priority="5328" stopIfTrue="1" operator="equal">
      <formula>"3 Delete"</formula>
    </cfRule>
  </conditionalFormatting>
  <conditionalFormatting sqref="C1778">
    <cfRule type="cellIs" dxfId="770" priority="5329" stopIfTrue="1" operator="equal">
      <formula>"1 Modify"</formula>
    </cfRule>
  </conditionalFormatting>
  <conditionalFormatting sqref="C1778">
    <cfRule type="cellIs" dxfId="769" priority="5330" stopIfTrue="1" operator="equal">
      <formula>"2 Add"</formula>
    </cfRule>
  </conditionalFormatting>
  <conditionalFormatting sqref="C1778">
    <cfRule type="cellIs" dxfId="768" priority="5331" stopIfTrue="1" operator="equal">
      <formula>"3 Delete"</formula>
    </cfRule>
  </conditionalFormatting>
  <conditionalFormatting sqref="C1779">
    <cfRule type="cellIs" dxfId="767" priority="5332" stopIfTrue="1" operator="equal">
      <formula>"1 Modify"</formula>
    </cfRule>
  </conditionalFormatting>
  <conditionalFormatting sqref="C1779">
    <cfRule type="cellIs" dxfId="766" priority="5333" stopIfTrue="1" operator="equal">
      <formula>"2 Add"</formula>
    </cfRule>
  </conditionalFormatting>
  <conditionalFormatting sqref="C1779">
    <cfRule type="cellIs" dxfId="765" priority="5334" stopIfTrue="1" operator="equal">
      <formula>"3 Delete"</formula>
    </cfRule>
  </conditionalFormatting>
  <conditionalFormatting sqref="C1780">
    <cfRule type="cellIs" dxfId="764" priority="5335" stopIfTrue="1" operator="equal">
      <formula>"1 Modify"</formula>
    </cfRule>
  </conditionalFormatting>
  <conditionalFormatting sqref="C1780">
    <cfRule type="cellIs" dxfId="763" priority="5336" stopIfTrue="1" operator="equal">
      <formula>"2 Add"</formula>
    </cfRule>
  </conditionalFormatting>
  <conditionalFormatting sqref="C1780">
    <cfRule type="cellIs" dxfId="762" priority="5337" stopIfTrue="1" operator="equal">
      <formula>"3 Delete"</formula>
    </cfRule>
  </conditionalFormatting>
  <conditionalFormatting sqref="C1781">
    <cfRule type="cellIs" dxfId="761" priority="5338" stopIfTrue="1" operator="equal">
      <formula>"1 Modify"</formula>
    </cfRule>
  </conditionalFormatting>
  <conditionalFormatting sqref="C1781">
    <cfRule type="cellIs" dxfId="760" priority="5339" stopIfTrue="1" operator="equal">
      <formula>"2 Add"</formula>
    </cfRule>
  </conditionalFormatting>
  <conditionalFormatting sqref="C1781">
    <cfRule type="cellIs" dxfId="759" priority="5340" stopIfTrue="1" operator="equal">
      <formula>"3 Delete"</formula>
    </cfRule>
  </conditionalFormatting>
  <conditionalFormatting sqref="C1782">
    <cfRule type="cellIs" dxfId="758" priority="5341" stopIfTrue="1" operator="equal">
      <formula>"1 Modify"</formula>
    </cfRule>
  </conditionalFormatting>
  <conditionalFormatting sqref="C1782">
    <cfRule type="cellIs" dxfId="757" priority="5342" stopIfTrue="1" operator="equal">
      <formula>"2 Add"</formula>
    </cfRule>
  </conditionalFormatting>
  <conditionalFormatting sqref="C1782">
    <cfRule type="cellIs" dxfId="756" priority="5343" stopIfTrue="1" operator="equal">
      <formula>"3 Delete"</formula>
    </cfRule>
  </conditionalFormatting>
  <conditionalFormatting sqref="C1783">
    <cfRule type="cellIs" dxfId="755" priority="5344" stopIfTrue="1" operator="equal">
      <formula>"1 Modify"</formula>
    </cfRule>
  </conditionalFormatting>
  <conditionalFormatting sqref="C1783">
    <cfRule type="cellIs" dxfId="754" priority="5345" stopIfTrue="1" operator="equal">
      <formula>"2 Add"</formula>
    </cfRule>
  </conditionalFormatting>
  <conditionalFormatting sqref="C1783">
    <cfRule type="cellIs" dxfId="753" priority="5346" stopIfTrue="1" operator="equal">
      <formula>"3 Delete"</formula>
    </cfRule>
  </conditionalFormatting>
  <conditionalFormatting sqref="C1784">
    <cfRule type="cellIs" dxfId="752" priority="5347" stopIfTrue="1" operator="equal">
      <formula>"1 Modify"</formula>
    </cfRule>
  </conditionalFormatting>
  <conditionalFormatting sqref="C1784">
    <cfRule type="cellIs" dxfId="751" priority="5348" stopIfTrue="1" operator="equal">
      <formula>"2 Add"</formula>
    </cfRule>
  </conditionalFormatting>
  <conditionalFormatting sqref="C1784">
    <cfRule type="cellIs" dxfId="750" priority="5349" stopIfTrue="1" operator="equal">
      <formula>"3 Delete"</formula>
    </cfRule>
  </conditionalFormatting>
  <conditionalFormatting sqref="C1785">
    <cfRule type="cellIs" dxfId="749" priority="5350" stopIfTrue="1" operator="equal">
      <formula>"1 Modify"</formula>
    </cfRule>
  </conditionalFormatting>
  <conditionalFormatting sqref="C1785">
    <cfRule type="cellIs" dxfId="748" priority="5351" stopIfTrue="1" operator="equal">
      <formula>"2 Add"</formula>
    </cfRule>
  </conditionalFormatting>
  <conditionalFormatting sqref="C1785">
    <cfRule type="cellIs" dxfId="747" priority="5352" stopIfTrue="1" operator="equal">
      <formula>"3 Delete"</formula>
    </cfRule>
  </conditionalFormatting>
  <conditionalFormatting sqref="C1786">
    <cfRule type="cellIs" dxfId="746" priority="5353" stopIfTrue="1" operator="equal">
      <formula>"1 Modify"</formula>
    </cfRule>
  </conditionalFormatting>
  <conditionalFormatting sqref="C1786">
    <cfRule type="cellIs" dxfId="745" priority="5354" stopIfTrue="1" operator="equal">
      <formula>"2 Add"</formula>
    </cfRule>
  </conditionalFormatting>
  <conditionalFormatting sqref="C1786">
    <cfRule type="cellIs" dxfId="744" priority="5355" stopIfTrue="1" operator="equal">
      <formula>"3 Delete"</formula>
    </cfRule>
  </conditionalFormatting>
  <conditionalFormatting sqref="C1787">
    <cfRule type="cellIs" dxfId="743" priority="5356" stopIfTrue="1" operator="equal">
      <formula>"1 Modify"</formula>
    </cfRule>
  </conditionalFormatting>
  <conditionalFormatting sqref="C1787">
    <cfRule type="cellIs" dxfId="742" priority="5357" stopIfTrue="1" operator="equal">
      <formula>"2 Add"</formula>
    </cfRule>
  </conditionalFormatting>
  <conditionalFormatting sqref="C1787">
    <cfRule type="cellIs" dxfId="741" priority="5358" stopIfTrue="1" operator="equal">
      <formula>"3 Delete"</formula>
    </cfRule>
  </conditionalFormatting>
  <conditionalFormatting sqref="C1788">
    <cfRule type="cellIs" dxfId="740" priority="5359" stopIfTrue="1" operator="equal">
      <formula>"1 Modify"</formula>
    </cfRule>
  </conditionalFormatting>
  <conditionalFormatting sqref="C1788">
    <cfRule type="cellIs" dxfId="739" priority="5360" stopIfTrue="1" operator="equal">
      <formula>"2 Add"</formula>
    </cfRule>
  </conditionalFormatting>
  <conditionalFormatting sqref="C1788">
    <cfRule type="cellIs" dxfId="738" priority="5361" stopIfTrue="1" operator="equal">
      <formula>"3 Delete"</formula>
    </cfRule>
  </conditionalFormatting>
  <conditionalFormatting sqref="C1789">
    <cfRule type="cellIs" dxfId="737" priority="5362" stopIfTrue="1" operator="equal">
      <formula>"1 Modify"</formula>
    </cfRule>
  </conditionalFormatting>
  <conditionalFormatting sqref="C1789">
    <cfRule type="cellIs" dxfId="736" priority="5363" stopIfTrue="1" operator="equal">
      <formula>"2 Add"</formula>
    </cfRule>
  </conditionalFormatting>
  <conditionalFormatting sqref="C1789">
    <cfRule type="cellIs" dxfId="735" priority="5364" stopIfTrue="1" operator="equal">
      <formula>"3 Delete"</formula>
    </cfRule>
  </conditionalFormatting>
  <conditionalFormatting sqref="C1790">
    <cfRule type="cellIs" dxfId="734" priority="5365" stopIfTrue="1" operator="equal">
      <formula>"1 Modify"</formula>
    </cfRule>
  </conditionalFormatting>
  <conditionalFormatting sqref="C1790">
    <cfRule type="cellIs" dxfId="733" priority="5366" stopIfTrue="1" operator="equal">
      <formula>"2 Add"</formula>
    </cfRule>
  </conditionalFormatting>
  <conditionalFormatting sqref="C1790">
    <cfRule type="cellIs" dxfId="732" priority="5367" stopIfTrue="1" operator="equal">
      <formula>"3 Delete"</formula>
    </cfRule>
  </conditionalFormatting>
  <conditionalFormatting sqref="C1791">
    <cfRule type="cellIs" dxfId="731" priority="5368" stopIfTrue="1" operator="equal">
      <formula>"1 Modify"</formula>
    </cfRule>
  </conditionalFormatting>
  <conditionalFormatting sqref="C1791">
    <cfRule type="cellIs" dxfId="730" priority="5369" stopIfTrue="1" operator="equal">
      <formula>"2 Add"</formula>
    </cfRule>
  </conditionalFormatting>
  <conditionalFormatting sqref="C1791">
    <cfRule type="cellIs" dxfId="729" priority="5370" stopIfTrue="1" operator="equal">
      <formula>"3 Delete"</formula>
    </cfRule>
  </conditionalFormatting>
  <conditionalFormatting sqref="C1792">
    <cfRule type="cellIs" dxfId="728" priority="5371" stopIfTrue="1" operator="equal">
      <formula>"1 Modify"</formula>
    </cfRule>
  </conditionalFormatting>
  <conditionalFormatting sqref="C1792">
    <cfRule type="cellIs" dxfId="727" priority="5372" stopIfTrue="1" operator="equal">
      <formula>"2 Add"</formula>
    </cfRule>
  </conditionalFormatting>
  <conditionalFormatting sqref="C1792">
    <cfRule type="cellIs" dxfId="726" priority="5373" stopIfTrue="1" operator="equal">
      <formula>"3 Delete"</formula>
    </cfRule>
  </conditionalFormatting>
  <conditionalFormatting sqref="C1793">
    <cfRule type="cellIs" dxfId="725" priority="5374" stopIfTrue="1" operator="equal">
      <formula>"1 Modify"</formula>
    </cfRule>
  </conditionalFormatting>
  <conditionalFormatting sqref="C1793">
    <cfRule type="cellIs" dxfId="724" priority="5375" stopIfTrue="1" operator="equal">
      <formula>"2 Add"</formula>
    </cfRule>
  </conditionalFormatting>
  <conditionalFormatting sqref="C1793">
    <cfRule type="cellIs" dxfId="723" priority="5376" stopIfTrue="1" operator="equal">
      <formula>"3 Delete"</formula>
    </cfRule>
  </conditionalFormatting>
  <conditionalFormatting sqref="C1794">
    <cfRule type="cellIs" dxfId="722" priority="5377" stopIfTrue="1" operator="equal">
      <formula>"1 Modify"</formula>
    </cfRule>
  </conditionalFormatting>
  <conditionalFormatting sqref="C1794">
    <cfRule type="cellIs" dxfId="721" priority="5378" stopIfTrue="1" operator="equal">
      <formula>"2 Add"</formula>
    </cfRule>
  </conditionalFormatting>
  <conditionalFormatting sqref="C1794">
    <cfRule type="cellIs" dxfId="720" priority="5379" stopIfTrue="1" operator="equal">
      <formula>"3 Delete"</formula>
    </cfRule>
  </conditionalFormatting>
  <conditionalFormatting sqref="C1795">
    <cfRule type="cellIs" dxfId="719" priority="5380" stopIfTrue="1" operator="equal">
      <formula>"1 Modify"</formula>
    </cfRule>
  </conditionalFormatting>
  <conditionalFormatting sqref="C1795">
    <cfRule type="cellIs" dxfId="718" priority="5381" stopIfTrue="1" operator="equal">
      <formula>"2 Add"</formula>
    </cfRule>
  </conditionalFormatting>
  <conditionalFormatting sqref="C1795">
    <cfRule type="cellIs" dxfId="717" priority="5382" stopIfTrue="1" operator="equal">
      <formula>"3 Delete"</formula>
    </cfRule>
  </conditionalFormatting>
  <conditionalFormatting sqref="C1796">
    <cfRule type="cellIs" dxfId="716" priority="5383" stopIfTrue="1" operator="equal">
      <formula>"1 Modify"</formula>
    </cfRule>
  </conditionalFormatting>
  <conditionalFormatting sqref="C1796">
    <cfRule type="cellIs" dxfId="715" priority="5384" stopIfTrue="1" operator="equal">
      <formula>"2 Add"</formula>
    </cfRule>
  </conditionalFormatting>
  <conditionalFormatting sqref="C1796">
    <cfRule type="cellIs" dxfId="714" priority="5385" stopIfTrue="1" operator="equal">
      <formula>"3 Delete"</formula>
    </cfRule>
  </conditionalFormatting>
  <conditionalFormatting sqref="C1797">
    <cfRule type="cellIs" dxfId="713" priority="5386" stopIfTrue="1" operator="equal">
      <formula>"1 Modify"</formula>
    </cfRule>
  </conditionalFormatting>
  <conditionalFormatting sqref="C1797">
    <cfRule type="cellIs" dxfId="712" priority="5387" stopIfTrue="1" operator="equal">
      <formula>"2 Add"</formula>
    </cfRule>
  </conditionalFormatting>
  <conditionalFormatting sqref="C1797">
    <cfRule type="cellIs" dxfId="711" priority="5388" stopIfTrue="1" operator="equal">
      <formula>"3 Delete"</formula>
    </cfRule>
  </conditionalFormatting>
  <conditionalFormatting sqref="C1798">
    <cfRule type="cellIs" dxfId="710" priority="5389" stopIfTrue="1" operator="equal">
      <formula>"1 Modify"</formula>
    </cfRule>
  </conditionalFormatting>
  <conditionalFormatting sqref="C1798">
    <cfRule type="cellIs" dxfId="709" priority="5390" stopIfTrue="1" operator="equal">
      <formula>"2 Add"</formula>
    </cfRule>
  </conditionalFormatting>
  <conditionalFormatting sqref="C1798">
    <cfRule type="cellIs" dxfId="708" priority="5391" stopIfTrue="1" operator="equal">
      <formula>"3 Delete"</formula>
    </cfRule>
  </conditionalFormatting>
  <conditionalFormatting sqref="C1799">
    <cfRule type="cellIs" dxfId="707" priority="5392" stopIfTrue="1" operator="equal">
      <formula>"1 Modify"</formula>
    </cfRule>
  </conditionalFormatting>
  <conditionalFormatting sqref="C1799">
    <cfRule type="cellIs" dxfId="706" priority="5393" stopIfTrue="1" operator="equal">
      <formula>"2 Add"</formula>
    </cfRule>
  </conditionalFormatting>
  <conditionalFormatting sqref="C1799">
    <cfRule type="cellIs" dxfId="705" priority="5394" stopIfTrue="1" operator="equal">
      <formula>"3 Delete"</formula>
    </cfRule>
  </conditionalFormatting>
  <conditionalFormatting sqref="C1800">
    <cfRule type="cellIs" dxfId="704" priority="5395" stopIfTrue="1" operator="equal">
      <formula>"1 Modify"</formula>
    </cfRule>
  </conditionalFormatting>
  <conditionalFormatting sqref="C1800">
    <cfRule type="cellIs" dxfId="703" priority="5396" stopIfTrue="1" operator="equal">
      <formula>"2 Add"</formula>
    </cfRule>
  </conditionalFormatting>
  <conditionalFormatting sqref="C1800">
    <cfRule type="cellIs" dxfId="702" priority="5397" stopIfTrue="1" operator="equal">
      <formula>"3 Delete"</formula>
    </cfRule>
  </conditionalFormatting>
  <conditionalFormatting sqref="C1801">
    <cfRule type="cellIs" dxfId="701" priority="5398" stopIfTrue="1" operator="equal">
      <formula>"1 Modify"</formula>
    </cfRule>
  </conditionalFormatting>
  <conditionalFormatting sqref="C1801">
    <cfRule type="cellIs" dxfId="700" priority="5399" stopIfTrue="1" operator="equal">
      <formula>"2 Add"</formula>
    </cfRule>
  </conditionalFormatting>
  <conditionalFormatting sqref="C1801">
    <cfRule type="cellIs" dxfId="699" priority="5400" stopIfTrue="1" operator="equal">
      <formula>"3 Delete"</formula>
    </cfRule>
  </conditionalFormatting>
  <conditionalFormatting sqref="C1802">
    <cfRule type="cellIs" dxfId="698" priority="5401" stopIfTrue="1" operator="equal">
      <formula>"1 Modify"</formula>
    </cfRule>
  </conditionalFormatting>
  <conditionalFormatting sqref="C1802">
    <cfRule type="cellIs" dxfId="697" priority="5402" stopIfTrue="1" operator="equal">
      <formula>"2 Add"</formula>
    </cfRule>
  </conditionalFormatting>
  <conditionalFormatting sqref="C1802">
    <cfRule type="cellIs" dxfId="696" priority="5403" stopIfTrue="1" operator="equal">
      <formula>"3 Delete"</formula>
    </cfRule>
  </conditionalFormatting>
  <conditionalFormatting sqref="C1803">
    <cfRule type="cellIs" dxfId="695" priority="5404" stopIfTrue="1" operator="equal">
      <formula>"1 Modify"</formula>
    </cfRule>
  </conditionalFormatting>
  <conditionalFormatting sqref="C1803">
    <cfRule type="cellIs" dxfId="694" priority="5405" stopIfTrue="1" operator="equal">
      <formula>"2 Add"</formula>
    </cfRule>
  </conditionalFormatting>
  <conditionalFormatting sqref="C1803">
    <cfRule type="cellIs" dxfId="693" priority="5406" stopIfTrue="1" operator="equal">
      <formula>"3 Delete"</formula>
    </cfRule>
  </conditionalFormatting>
  <conditionalFormatting sqref="C1804">
    <cfRule type="cellIs" dxfId="692" priority="5407" stopIfTrue="1" operator="equal">
      <formula>"1 Modify"</formula>
    </cfRule>
  </conditionalFormatting>
  <conditionalFormatting sqref="C1804">
    <cfRule type="cellIs" dxfId="691" priority="5408" stopIfTrue="1" operator="equal">
      <formula>"2 Add"</formula>
    </cfRule>
  </conditionalFormatting>
  <conditionalFormatting sqref="C1804">
    <cfRule type="cellIs" dxfId="690" priority="5409" stopIfTrue="1" operator="equal">
      <formula>"3 Delete"</formula>
    </cfRule>
  </conditionalFormatting>
  <conditionalFormatting sqref="C1805">
    <cfRule type="cellIs" dxfId="689" priority="5410" stopIfTrue="1" operator="equal">
      <formula>"1 Modify"</formula>
    </cfRule>
  </conditionalFormatting>
  <conditionalFormatting sqref="C1805">
    <cfRule type="cellIs" dxfId="688" priority="5411" stopIfTrue="1" operator="equal">
      <formula>"2 Add"</formula>
    </cfRule>
  </conditionalFormatting>
  <conditionalFormatting sqref="C1805">
    <cfRule type="cellIs" dxfId="687" priority="5412" stopIfTrue="1" operator="equal">
      <formula>"3 Delete"</formula>
    </cfRule>
  </conditionalFormatting>
  <conditionalFormatting sqref="C1806">
    <cfRule type="cellIs" dxfId="686" priority="5413" stopIfTrue="1" operator="equal">
      <formula>"1 Modify"</formula>
    </cfRule>
  </conditionalFormatting>
  <conditionalFormatting sqref="C1806">
    <cfRule type="cellIs" dxfId="685" priority="5414" stopIfTrue="1" operator="equal">
      <formula>"2 Add"</formula>
    </cfRule>
  </conditionalFormatting>
  <conditionalFormatting sqref="C1806">
    <cfRule type="cellIs" dxfId="684" priority="5415" stopIfTrue="1" operator="equal">
      <formula>"3 Delete"</formula>
    </cfRule>
  </conditionalFormatting>
  <conditionalFormatting sqref="C1807">
    <cfRule type="cellIs" dxfId="683" priority="5416" stopIfTrue="1" operator="equal">
      <formula>"1 Modify"</formula>
    </cfRule>
  </conditionalFormatting>
  <conditionalFormatting sqref="C1807">
    <cfRule type="cellIs" dxfId="682" priority="5417" stopIfTrue="1" operator="equal">
      <formula>"2 Add"</formula>
    </cfRule>
  </conditionalFormatting>
  <conditionalFormatting sqref="C1807">
    <cfRule type="cellIs" dxfId="681" priority="5418" stopIfTrue="1" operator="equal">
      <formula>"3 Delete"</formula>
    </cfRule>
  </conditionalFormatting>
  <conditionalFormatting sqref="C1808">
    <cfRule type="cellIs" dxfId="680" priority="5419" stopIfTrue="1" operator="equal">
      <formula>"1 Modify"</formula>
    </cfRule>
  </conditionalFormatting>
  <conditionalFormatting sqref="C1808">
    <cfRule type="cellIs" dxfId="679" priority="5420" stopIfTrue="1" operator="equal">
      <formula>"2 Add"</formula>
    </cfRule>
  </conditionalFormatting>
  <conditionalFormatting sqref="C1808">
    <cfRule type="cellIs" dxfId="678" priority="5421" stopIfTrue="1" operator="equal">
      <formula>"3 Delete"</formula>
    </cfRule>
  </conditionalFormatting>
  <conditionalFormatting sqref="C1809">
    <cfRule type="cellIs" dxfId="677" priority="5422" stopIfTrue="1" operator="equal">
      <formula>"1 Modify"</formula>
    </cfRule>
  </conditionalFormatting>
  <conditionalFormatting sqref="C1809">
    <cfRule type="cellIs" dxfId="676" priority="5423" stopIfTrue="1" operator="equal">
      <formula>"2 Add"</formula>
    </cfRule>
  </conditionalFormatting>
  <conditionalFormatting sqref="C1809">
    <cfRule type="cellIs" dxfId="675" priority="5424" stopIfTrue="1" operator="equal">
      <formula>"3 Delete"</formula>
    </cfRule>
  </conditionalFormatting>
  <conditionalFormatting sqref="C1810">
    <cfRule type="cellIs" dxfId="674" priority="5425" stopIfTrue="1" operator="equal">
      <formula>"1 Modify"</formula>
    </cfRule>
  </conditionalFormatting>
  <conditionalFormatting sqref="C1810">
    <cfRule type="cellIs" dxfId="673" priority="5426" stopIfTrue="1" operator="equal">
      <formula>"2 Add"</formula>
    </cfRule>
  </conditionalFormatting>
  <conditionalFormatting sqref="C1810">
    <cfRule type="cellIs" dxfId="672" priority="5427" stopIfTrue="1" operator="equal">
      <formula>"3 Delete"</formula>
    </cfRule>
  </conditionalFormatting>
  <conditionalFormatting sqref="C1811">
    <cfRule type="cellIs" dxfId="671" priority="5428" stopIfTrue="1" operator="equal">
      <formula>"1 Modify"</formula>
    </cfRule>
  </conditionalFormatting>
  <conditionalFormatting sqref="C1811">
    <cfRule type="cellIs" dxfId="670" priority="5429" stopIfTrue="1" operator="equal">
      <formula>"2 Add"</formula>
    </cfRule>
  </conditionalFormatting>
  <conditionalFormatting sqref="C1811">
    <cfRule type="cellIs" dxfId="669" priority="5430" stopIfTrue="1" operator="equal">
      <formula>"3 Delete"</formula>
    </cfRule>
  </conditionalFormatting>
  <conditionalFormatting sqref="C1812">
    <cfRule type="cellIs" dxfId="668" priority="5431" stopIfTrue="1" operator="equal">
      <formula>"1 Modify"</formula>
    </cfRule>
  </conditionalFormatting>
  <conditionalFormatting sqref="C1812">
    <cfRule type="cellIs" dxfId="667" priority="5432" stopIfTrue="1" operator="equal">
      <formula>"2 Add"</formula>
    </cfRule>
  </conditionalFormatting>
  <conditionalFormatting sqref="C1812">
    <cfRule type="cellIs" dxfId="666" priority="5433" stopIfTrue="1" operator="equal">
      <formula>"3 Delete"</formula>
    </cfRule>
  </conditionalFormatting>
  <conditionalFormatting sqref="C1813">
    <cfRule type="cellIs" dxfId="665" priority="5434" stopIfTrue="1" operator="equal">
      <formula>"1 Modify"</formula>
    </cfRule>
  </conditionalFormatting>
  <conditionalFormatting sqref="C1813">
    <cfRule type="cellIs" dxfId="664" priority="5435" stopIfTrue="1" operator="equal">
      <formula>"2 Add"</formula>
    </cfRule>
  </conditionalFormatting>
  <conditionalFormatting sqref="C1813">
    <cfRule type="cellIs" dxfId="663" priority="5436" stopIfTrue="1" operator="equal">
      <formula>"3 Delete"</formula>
    </cfRule>
  </conditionalFormatting>
  <conditionalFormatting sqref="C1814">
    <cfRule type="cellIs" dxfId="662" priority="5437" stopIfTrue="1" operator="equal">
      <formula>"1 Modify"</formula>
    </cfRule>
  </conditionalFormatting>
  <conditionalFormatting sqref="C1814">
    <cfRule type="cellIs" dxfId="661" priority="5438" stopIfTrue="1" operator="equal">
      <formula>"2 Add"</formula>
    </cfRule>
  </conditionalFormatting>
  <conditionalFormatting sqref="C1814">
    <cfRule type="cellIs" dxfId="660" priority="5439" stopIfTrue="1" operator="equal">
      <formula>"3 Delete"</formula>
    </cfRule>
  </conditionalFormatting>
  <conditionalFormatting sqref="C1815">
    <cfRule type="cellIs" dxfId="659" priority="5440" stopIfTrue="1" operator="equal">
      <formula>"1 Modify"</formula>
    </cfRule>
  </conditionalFormatting>
  <conditionalFormatting sqref="C1815">
    <cfRule type="cellIs" dxfId="658" priority="5441" stopIfTrue="1" operator="equal">
      <formula>"2 Add"</formula>
    </cfRule>
  </conditionalFormatting>
  <conditionalFormatting sqref="C1815">
    <cfRule type="cellIs" dxfId="657" priority="5442" stopIfTrue="1" operator="equal">
      <formula>"3 Delete"</formula>
    </cfRule>
  </conditionalFormatting>
  <conditionalFormatting sqref="C1816">
    <cfRule type="cellIs" dxfId="656" priority="5443" stopIfTrue="1" operator="equal">
      <formula>"1 Modify"</formula>
    </cfRule>
  </conditionalFormatting>
  <conditionalFormatting sqref="C1816">
    <cfRule type="cellIs" dxfId="655" priority="5444" stopIfTrue="1" operator="equal">
      <formula>"2 Add"</formula>
    </cfRule>
  </conditionalFormatting>
  <conditionalFormatting sqref="C1816">
    <cfRule type="cellIs" dxfId="654" priority="5445" stopIfTrue="1" operator="equal">
      <formula>"3 Delete"</formula>
    </cfRule>
  </conditionalFormatting>
  <conditionalFormatting sqref="C1817">
    <cfRule type="cellIs" dxfId="653" priority="5446" stopIfTrue="1" operator="equal">
      <formula>"1 Modify"</formula>
    </cfRule>
  </conditionalFormatting>
  <conditionalFormatting sqref="C1817">
    <cfRule type="cellIs" dxfId="652" priority="5447" stopIfTrue="1" operator="equal">
      <formula>"2 Add"</formula>
    </cfRule>
  </conditionalFormatting>
  <conditionalFormatting sqref="C1817">
    <cfRule type="cellIs" dxfId="651" priority="5448" stopIfTrue="1" operator="equal">
      <formula>"3 Delete"</formula>
    </cfRule>
  </conditionalFormatting>
  <conditionalFormatting sqref="C1818">
    <cfRule type="cellIs" dxfId="650" priority="5449" stopIfTrue="1" operator="equal">
      <formula>"1 Modify"</formula>
    </cfRule>
  </conditionalFormatting>
  <conditionalFormatting sqref="C1818">
    <cfRule type="cellIs" dxfId="649" priority="5450" stopIfTrue="1" operator="equal">
      <formula>"2 Add"</formula>
    </cfRule>
  </conditionalFormatting>
  <conditionalFormatting sqref="C1818">
    <cfRule type="cellIs" dxfId="648" priority="5451" stopIfTrue="1" operator="equal">
      <formula>"3 Delete"</formula>
    </cfRule>
  </conditionalFormatting>
  <conditionalFormatting sqref="C1819">
    <cfRule type="cellIs" dxfId="647" priority="5452" stopIfTrue="1" operator="equal">
      <formula>"1 Modify"</formula>
    </cfRule>
  </conditionalFormatting>
  <conditionalFormatting sqref="C1819">
    <cfRule type="cellIs" dxfId="646" priority="5453" stopIfTrue="1" operator="equal">
      <formula>"2 Add"</formula>
    </cfRule>
  </conditionalFormatting>
  <conditionalFormatting sqref="C1819">
    <cfRule type="cellIs" dxfId="645" priority="5454" stopIfTrue="1" operator="equal">
      <formula>"3 Delete"</formula>
    </cfRule>
  </conditionalFormatting>
  <conditionalFormatting sqref="C1820">
    <cfRule type="cellIs" dxfId="644" priority="5455" stopIfTrue="1" operator="equal">
      <formula>"1 Modify"</formula>
    </cfRule>
  </conditionalFormatting>
  <conditionalFormatting sqref="C1820">
    <cfRule type="cellIs" dxfId="643" priority="5456" stopIfTrue="1" operator="equal">
      <formula>"2 Add"</formula>
    </cfRule>
  </conditionalFormatting>
  <conditionalFormatting sqref="C1820">
    <cfRule type="cellIs" dxfId="642" priority="5457" stopIfTrue="1" operator="equal">
      <formula>"3 Delete"</formula>
    </cfRule>
  </conditionalFormatting>
  <conditionalFormatting sqref="C1821">
    <cfRule type="cellIs" dxfId="641" priority="5458" stopIfTrue="1" operator="equal">
      <formula>"1 Modify"</formula>
    </cfRule>
  </conditionalFormatting>
  <conditionalFormatting sqref="C1821">
    <cfRule type="cellIs" dxfId="640" priority="5459" stopIfTrue="1" operator="equal">
      <formula>"2 Add"</formula>
    </cfRule>
  </conditionalFormatting>
  <conditionalFormatting sqref="C1821">
    <cfRule type="cellIs" dxfId="639" priority="5460" stopIfTrue="1" operator="equal">
      <formula>"3 Delete"</formula>
    </cfRule>
  </conditionalFormatting>
  <conditionalFormatting sqref="C1822">
    <cfRule type="cellIs" dxfId="638" priority="5461" stopIfTrue="1" operator="equal">
      <formula>"1 Modify"</formula>
    </cfRule>
  </conditionalFormatting>
  <conditionalFormatting sqref="C1822">
    <cfRule type="cellIs" dxfId="637" priority="5462" stopIfTrue="1" operator="equal">
      <formula>"2 Add"</formula>
    </cfRule>
  </conditionalFormatting>
  <conditionalFormatting sqref="C1822">
    <cfRule type="cellIs" dxfId="636" priority="5463" stopIfTrue="1" operator="equal">
      <formula>"3 Delete"</formula>
    </cfRule>
  </conditionalFormatting>
  <conditionalFormatting sqref="C1823">
    <cfRule type="cellIs" dxfId="635" priority="5464" stopIfTrue="1" operator="equal">
      <formula>"1 Modify"</formula>
    </cfRule>
  </conditionalFormatting>
  <conditionalFormatting sqref="C1823">
    <cfRule type="cellIs" dxfId="634" priority="5465" stopIfTrue="1" operator="equal">
      <formula>"2 Add"</formula>
    </cfRule>
  </conditionalFormatting>
  <conditionalFormatting sqref="C1823">
    <cfRule type="cellIs" dxfId="633" priority="5466" stopIfTrue="1" operator="equal">
      <formula>"3 Delete"</formula>
    </cfRule>
  </conditionalFormatting>
  <conditionalFormatting sqref="C1824">
    <cfRule type="cellIs" dxfId="632" priority="5467" stopIfTrue="1" operator="equal">
      <formula>"1 Modify"</formula>
    </cfRule>
  </conditionalFormatting>
  <conditionalFormatting sqref="C1824">
    <cfRule type="cellIs" dxfId="631" priority="5468" stopIfTrue="1" operator="equal">
      <formula>"2 Add"</formula>
    </cfRule>
  </conditionalFormatting>
  <conditionalFormatting sqref="C1824">
    <cfRule type="cellIs" dxfId="630" priority="5469" stopIfTrue="1" operator="equal">
      <formula>"3 Delete"</formula>
    </cfRule>
  </conditionalFormatting>
  <conditionalFormatting sqref="C1825">
    <cfRule type="cellIs" dxfId="629" priority="5470" stopIfTrue="1" operator="equal">
      <formula>"1 Modify"</formula>
    </cfRule>
  </conditionalFormatting>
  <conditionalFormatting sqref="C1825">
    <cfRule type="cellIs" dxfId="628" priority="5471" stopIfTrue="1" operator="equal">
      <formula>"2 Add"</formula>
    </cfRule>
  </conditionalFormatting>
  <conditionalFormatting sqref="C1825">
    <cfRule type="cellIs" dxfId="627" priority="5472" stopIfTrue="1" operator="equal">
      <formula>"3 Delete"</formula>
    </cfRule>
  </conditionalFormatting>
  <conditionalFormatting sqref="C1826">
    <cfRule type="cellIs" dxfId="626" priority="5473" stopIfTrue="1" operator="equal">
      <formula>"1 Modify"</formula>
    </cfRule>
  </conditionalFormatting>
  <conditionalFormatting sqref="C1826">
    <cfRule type="cellIs" dxfId="625" priority="5474" stopIfTrue="1" operator="equal">
      <formula>"2 Add"</formula>
    </cfRule>
  </conditionalFormatting>
  <conditionalFormatting sqref="C1826">
    <cfRule type="cellIs" dxfId="624" priority="5475" stopIfTrue="1" operator="equal">
      <formula>"3 Delete"</formula>
    </cfRule>
  </conditionalFormatting>
  <conditionalFormatting sqref="C1827">
    <cfRule type="cellIs" dxfId="623" priority="5476" stopIfTrue="1" operator="equal">
      <formula>"1 Modify"</formula>
    </cfRule>
  </conditionalFormatting>
  <conditionalFormatting sqref="C1827">
    <cfRule type="cellIs" dxfId="622" priority="5477" stopIfTrue="1" operator="equal">
      <formula>"2 Add"</formula>
    </cfRule>
  </conditionalFormatting>
  <conditionalFormatting sqref="C1827">
    <cfRule type="cellIs" dxfId="621" priority="5478" stopIfTrue="1" operator="equal">
      <formula>"3 Delete"</formula>
    </cfRule>
  </conditionalFormatting>
  <conditionalFormatting sqref="C1828">
    <cfRule type="cellIs" dxfId="620" priority="5479" stopIfTrue="1" operator="equal">
      <formula>"1 Modify"</formula>
    </cfRule>
  </conditionalFormatting>
  <conditionalFormatting sqref="C1828">
    <cfRule type="cellIs" dxfId="619" priority="5480" stopIfTrue="1" operator="equal">
      <formula>"2 Add"</formula>
    </cfRule>
  </conditionalFormatting>
  <conditionalFormatting sqref="C1828">
    <cfRule type="cellIs" dxfId="618" priority="5481" stopIfTrue="1" operator="equal">
      <formula>"3 Delete"</formula>
    </cfRule>
  </conditionalFormatting>
  <conditionalFormatting sqref="C1829">
    <cfRule type="cellIs" dxfId="617" priority="5482" stopIfTrue="1" operator="equal">
      <formula>"1 Modify"</formula>
    </cfRule>
  </conditionalFormatting>
  <conditionalFormatting sqref="C1829">
    <cfRule type="cellIs" dxfId="616" priority="5483" stopIfTrue="1" operator="equal">
      <formula>"2 Add"</formula>
    </cfRule>
  </conditionalFormatting>
  <conditionalFormatting sqref="C1829">
    <cfRule type="cellIs" dxfId="615" priority="5484" stopIfTrue="1" operator="equal">
      <formula>"3 Delete"</formula>
    </cfRule>
  </conditionalFormatting>
  <conditionalFormatting sqref="C1830">
    <cfRule type="cellIs" dxfId="614" priority="5485" stopIfTrue="1" operator="equal">
      <formula>"1 Modify"</formula>
    </cfRule>
  </conditionalFormatting>
  <conditionalFormatting sqref="C1830">
    <cfRule type="cellIs" dxfId="613" priority="5486" stopIfTrue="1" operator="equal">
      <formula>"2 Add"</formula>
    </cfRule>
  </conditionalFormatting>
  <conditionalFormatting sqref="C1830">
    <cfRule type="cellIs" dxfId="612" priority="5487" stopIfTrue="1" operator="equal">
      <formula>"3 Delete"</formula>
    </cfRule>
  </conditionalFormatting>
  <conditionalFormatting sqref="C1831">
    <cfRule type="cellIs" dxfId="611" priority="5488" stopIfTrue="1" operator="equal">
      <formula>"1 Modify"</formula>
    </cfRule>
  </conditionalFormatting>
  <conditionalFormatting sqref="C1831">
    <cfRule type="cellIs" dxfId="610" priority="5489" stopIfTrue="1" operator="equal">
      <formula>"2 Add"</formula>
    </cfRule>
  </conditionalFormatting>
  <conditionalFormatting sqref="C1831">
    <cfRule type="cellIs" dxfId="609" priority="5490" stopIfTrue="1" operator="equal">
      <formula>"3 Delete"</formula>
    </cfRule>
  </conditionalFormatting>
  <conditionalFormatting sqref="C1832">
    <cfRule type="cellIs" dxfId="608" priority="5491" stopIfTrue="1" operator="equal">
      <formula>"1 Modify"</formula>
    </cfRule>
  </conditionalFormatting>
  <conditionalFormatting sqref="C1832">
    <cfRule type="cellIs" dxfId="607" priority="5492" stopIfTrue="1" operator="equal">
      <formula>"2 Add"</formula>
    </cfRule>
  </conditionalFormatting>
  <conditionalFormatting sqref="C1832">
    <cfRule type="cellIs" dxfId="606" priority="5493" stopIfTrue="1" operator="equal">
      <formula>"3 Delete"</formula>
    </cfRule>
  </conditionalFormatting>
  <conditionalFormatting sqref="C1833">
    <cfRule type="cellIs" dxfId="605" priority="5494" stopIfTrue="1" operator="equal">
      <formula>"1 Modify"</formula>
    </cfRule>
  </conditionalFormatting>
  <conditionalFormatting sqref="C1833">
    <cfRule type="cellIs" dxfId="604" priority="5495" stopIfTrue="1" operator="equal">
      <formula>"2 Add"</formula>
    </cfRule>
  </conditionalFormatting>
  <conditionalFormatting sqref="C1833">
    <cfRule type="cellIs" dxfId="603" priority="5496" stopIfTrue="1" operator="equal">
      <formula>"3 Delete"</formula>
    </cfRule>
  </conditionalFormatting>
  <conditionalFormatting sqref="C1834">
    <cfRule type="cellIs" dxfId="602" priority="5497" stopIfTrue="1" operator="equal">
      <formula>"1 Modify"</formula>
    </cfRule>
  </conditionalFormatting>
  <conditionalFormatting sqref="C1834">
    <cfRule type="cellIs" dxfId="601" priority="5498" stopIfTrue="1" operator="equal">
      <formula>"2 Add"</formula>
    </cfRule>
  </conditionalFormatting>
  <conditionalFormatting sqref="C1834">
    <cfRule type="cellIs" dxfId="600" priority="5499" stopIfTrue="1" operator="equal">
      <formula>"3 Delete"</formula>
    </cfRule>
  </conditionalFormatting>
  <conditionalFormatting sqref="C1835">
    <cfRule type="cellIs" dxfId="599" priority="5500" stopIfTrue="1" operator="equal">
      <formula>"1 Modify"</formula>
    </cfRule>
  </conditionalFormatting>
  <conditionalFormatting sqref="C1835">
    <cfRule type="cellIs" dxfId="598" priority="5501" stopIfTrue="1" operator="equal">
      <formula>"2 Add"</formula>
    </cfRule>
  </conditionalFormatting>
  <conditionalFormatting sqref="C1835">
    <cfRule type="cellIs" dxfId="597" priority="5502" stopIfTrue="1" operator="equal">
      <formula>"3 Delete"</formula>
    </cfRule>
  </conditionalFormatting>
  <conditionalFormatting sqref="C1836">
    <cfRule type="cellIs" dxfId="596" priority="5503" stopIfTrue="1" operator="equal">
      <formula>"1 Modify"</formula>
    </cfRule>
  </conditionalFormatting>
  <conditionalFormatting sqref="C1836">
    <cfRule type="cellIs" dxfId="595" priority="5504" stopIfTrue="1" operator="equal">
      <formula>"2 Add"</formula>
    </cfRule>
  </conditionalFormatting>
  <conditionalFormatting sqref="C1836">
    <cfRule type="cellIs" dxfId="594" priority="5505" stopIfTrue="1" operator="equal">
      <formula>"3 Delete"</formula>
    </cfRule>
  </conditionalFormatting>
  <conditionalFormatting sqref="C1837">
    <cfRule type="cellIs" dxfId="593" priority="5506" stopIfTrue="1" operator="equal">
      <formula>"1 Modify"</formula>
    </cfRule>
  </conditionalFormatting>
  <conditionalFormatting sqref="C1837">
    <cfRule type="cellIs" dxfId="592" priority="5507" stopIfTrue="1" operator="equal">
      <formula>"2 Add"</formula>
    </cfRule>
  </conditionalFormatting>
  <conditionalFormatting sqref="C1837">
    <cfRule type="cellIs" dxfId="591" priority="5508" stopIfTrue="1" operator="equal">
      <formula>"3 Delete"</formula>
    </cfRule>
  </conditionalFormatting>
  <conditionalFormatting sqref="C1838">
    <cfRule type="cellIs" dxfId="590" priority="5509" stopIfTrue="1" operator="equal">
      <formula>"1 Modify"</formula>
    </cfRule>
  </conditionalFormatting>
  <conditionalFormatting sqref="C1838">
    <cfRule type="cellIs" dxfId="589" priority="5510" stopIfTrue="1" operator="equal">
      <formula>"2 Add"</formula>
    </cfRule>
  </conditionalFormatting>
  <conditionalFormatting sqref="C1838">
    <cfRule type="cellIs" dxfId="588" priority="5511" stopIfTrue="1" operator="equal">
      <formula>"3 Delete"</formula>
    </cfRule>
  </conditionalFormatting>
  <conditionalFormatting sqref="C1839">
    <cfRule type="cellIs" dxfId="587" priority="5512" stopIfTrue="1" operator="equal">
      <formula>"1 Modify"</formula>
    </cfRule>
  </conditionalFormatting>
  <conditionalFormatting sqref="C1839">
    <cfRule type="cellIs" dxfId="586" priority="5513" stopIfTrue="1" operator="equal">
      <formula>"2 Add"</formula>
    </cfRule>
  </conditionalFormatting>
  <conditionalFormatting sqref="C1839">
    <cfRule type="cellIs" dxfId="585" priority="5514" stopIfTrue="1" operator="equal">
      <formula>"3 Delete"</formula>
    </cfRule>
  </conditionalFormatting>
  <conditionalFormatting sqref="C1840">
    <cfRule type="cellIs" dxfId="584" priority="5515" stopIfTrue="1" operator="equal">
      <formula>"1 Modify"</formula>
    </cfRule>
  </conditionalFormatting>
  <conditionalFormatting sqref="C1840">
    <cfRule type="cellIs" dxfId="583" priority="5516" stopIfTrue="1" operator="equal">
      <formula>"2 Add"</formula>
    </cfRule>
  </conditionalFormatting>
  <conditionalFormatting sqref="C1840">
    <cfRule type="cellIs" dxfId="582" priority="5517" stopIfTrue="1" operator="equal">
      <formula>"3 Delete"</formula>
    </cfRule>
  </conditionalFormatting>
  <conditionalFormatting sqref="C1841">
    <cfRule type="cellIs" dxfId="581" priority="5518" stopIfTrue="1" operator="equal">
      <formula>"1 Modify"</formula>
    </cfRule>
  </conditionalFormatting>
  <conditionalFormatting sqref="C1841">
    <cfRule type="cellIs" dxfId="580" priority="5519" stopIfTrue="1" operator="equal">
      <formula>"2 Add"</formula>
    </cfRule>
  </conditionalFormatting>
  <conditionalFormatting sqref="C1841">
    <cfRule type="cellIs" dxfId="579" priority="5520" stopIfTrue="1" operator="equal">
      <formula>"3 Delete"</formula>
    </cfRule>
  </conditionalFormatting>
  <conditionalFormatting sqref="C1842">
    <cfRule type="cellIs" dxfId="578" priority="5521" stopIfTrue="1" operator="equal">
      <formula>"1 Modify"</formula>
    </cfRule>
  </conditionalFormatting>
  <conditionalFormatting sqref="C1842">
    <cfRule type="cellIs" dxfId="577" priority="5522" stopIfTrue="1" operator="equal">
      <formula>"2 Add"</formula>
    </cfRule>
  </conditionalFormatting>
  <conditionalFormatting sqref="C1842">
    <cfRule type="cellIs" dxfId="576" priority="5523" stopIfTrue="1" operator="equal">
      <formula>"3 Delete"</formula>
    </cfRule>
  </conditionalFormatting>
  <conditionalFormatting sqref="C1843">
    <cfRule type="cellIs" dxfId="575" priority="5524" stopIfTrue="1" operator="equal">
      <formula>"1 Modify"</formula>
    </cfRule>
  </conditionalFormatting>
  <conditionalFormatting sqref="C1843">
    <cfRule type="cellIs" dxfId="574" priority="5525" stopIfTrue="1" operator="equal">
      <formula>"2 Add"</formula>
    </cfRule>
  </conditionalFormatting>
  <conditionalFormatting sqref="C1843">
    <cfRule type="cellIs" dxfId="573" priority="5526" stopIfTrue="1" operator="equal">
      <formula>"3 Delete"</formula>
    </cfRule>
  </conditionalFormatting>
  <conditionalFormatting sqref="C1844">
    <cfRule type="cellIs" dxfId="572" priority="5527" stopIfTrue="1" operator="equal">
      <formula>"1 Modify"</formula>
    </cfRule>
  </conditionalFormatting>
  <conditionalFormatting sqref="C1844">
    <cfRule type="cellIs" dxfId="571" priority="5528" stopIfTrue="1" operator="equal">
      <formula>"2 Add"</formula>
    </cfRule>
  </conditionalFormatting>
  <conditionalFormatting sqref="C1844">
    <cfRule type="cellIs" dxfId="570" priority="5529" stopIfTrue="1" operator="equal">
      <formula>"3 Delete"</formula>
    </cfRule>
  </conditionalFormatting>
  <conditionalFormatting sqref="C1845">
    <cfRule type="cellIs" dxfId="569" priority="5530" stopIfTrue="1" operator="equal">
      <formula>"1 Modify"</formula>
    </cfRule>
  </conditionalFormatting>
  <conditionalFormatting sqref="C1845">
    <cfRule type="cellIs" dxfId="568" priority="5531" stopIfTrue="1" operator="equal">
      <formula>"2 Add"</formula>
    </cfRule>
  </conditionalFormatting>
  <conditionalFormatting sqref="C1845">
    <cfRule type="cellIs" dxfId="567" priority="5532" stopIfTrue="1" operator="equal">
      <formula>"3 Delete"</formula>
    </cfRule>
  </conditionalFormatting>
  <conditionalFormatting sqref="C1846">
    <cfRule type="cellIs" dxfId="566" priority="5533" stopIfTrue="1" operator="equal">
      <formula>"1 Modify"</formula>
    </cfRule>
  </conditionalFormatting>
  <conditionalFormatting sqref="C1846">
    <cfRule type="cellIs" dxfId="565" priority="5534" stopIfTrue="1" operator="equal">
      <formula>"2 Add"</formula>
    </cfRule>
  </conditionalFormatting>
  <conditionalFormatting sqref="C1846">
    <cfRule type="cellIs" dxfId="564" priority="5535" stopIfTrue="1" operator="equal">
      <formula>"3 Delete"</formula>
    </cfRule>
  </conditionalFormatting>
  <conditionalFormatting sqref="C1847">
    <cfRule type="cellIs" dxfId="563" priority="5536" stopIfTrue="1" operator="equal">
      <formula>"1 Modify"</formula>
    </cfRule>
  </conditionalFormatting>
  <conditionalFormatting sqref="C1847">
    <cfRule type="cellIs" dxfId="562" priority="5537" stopIfTrue="1" operator="equal">
      <formula>"2 Add"</formula>
    </cfRule>
  </conditionalFormatting>
  <conditionalFormatting sqref="C1847">
    <cfRule type="cellIs" dxfId="561" priority="5538" stopIfTrue="1" operator="equal">
      <formula>"3 Delete"</formula>
    </cfRule>
  </conditionalFormatting>
  <conditionalFormatting sqref="C1848">
    <cfRule type="cellIs" dxfId="560" priority="5539" stopIfTrue="1" operator="equal">
      <formula>"1 Modify"</formula>
    </cfRule>
  </conditionalFormatting>
  <conditionalFormatting sqref="C1848">
    <cfRule type="cellIs" dxfId="559" priority="5540" stopIfTrue="1" operator="equal">
      <formula>"2 Add"</formula>
    </cfRule>
  </conditionalFormatting>
  <conditionalFormatting sqref="C1848">
    <cfRule type="cellIs" dxfId="558" priority="5541" stopIfTrue="1" operator="equal">
      <formula>"3 Delete"</formula>
    </cfRule>
  </conditionalFormatting>
  <conditionalFormatting sqref="C1849">
    <cfRule type="cellIs" dxfId="557" priority="5542" stopIfTrue="1" operator="equal">
      <formula>"1 Modify"</formula>
    </cfRule>
  </conditionalFormatting>
  <conditionalFormatting sqref="C1849">
    <cfRule type="cellIs" dxfId="556" priority="5543" stopIfTrue="1" operator="equal">
      <formula>"2 Add"</formula>
    </cfRule>
  </conditionalFormatting>
  <conditionalFormatting sqref="C1849">
    <cfRule type="cellIs" dxfId="555" priority="5544" stopIfTrue="1" operator="equal">
      <formula>"3 Delete"</formula>
    </cfRule>
  </conditionalFormatting>
  <conditionalFormatting sqref="C1850">
    <cfRule type="cellIs" dxfId="554" priority="5545" stopIfTrue="1" operator="equal">
      <formula>"1 Modify"</formula>
    </cfRule>
  </conditionalFormatting>
  <conditionalFormatting sqref="C1850">
    <cfRule type="cellIs" dxfId="553" priority="5546" stopIfTrue="1" operator="equal">
      <formula>"2 Add"</formula>
    </cfRule>
  </conditionalFormatting>
  <conditionalFormatting sqref="C1850">
    <cfRule type="cellIs" dxfId="552" priority="5547" stopIfTrue="1" operator="equal">
      <formula>"3 Delete"</formula>
    </cfRule>
  </conditionalFormatting>
  <conditionalFormatting sqref="C1851">
    <cfRule type="cellIs" dxfId="551" priority="5548" stopIfTrue="1" operator="equal">
      <formula>"1 Modify"</formula>
    </cfRule>
  </conditionalFormatting>
  <conditionalFormatting sqref="C1851">
    <cfRule type="cellIs" dxfId="550" priority="5549" stopIfTrue="1" operator="equal">
      <formula>"2 Add"</formula>
    </cfRule>
  </conditionalFormatting>
  <conditionalFormatting sqref="C1851">
    <cfRule type="cellIs" dxfId="549" priority="5550" stopIfTrue="1" operator="equal">
      <formula>"3 Delete"</formula>
    </cfRule>
  </conditionalFormatting>
  <conditionalFormatting sqref="C1852">
    <cfRule type="cellIs" dxfId="548" priority="5551" stopIfTrue="1" operator="equal">
      <formula>"1 Modify"</formula>
    </cfRule>
  </conditionalFormatting>
  <conditionalFormatting sqref="C1852">
    <cfRule type="cellIs" dxfId="547" priority="5552" stopIfTrue="1" operator="equal">
      <formula>"2 Add"</formula>
    </cfRule>
  </conditionalFormatting>
  <conditionalFormatting sqref="C1852">
    <cfRule type="cellIs" dxfId="546" priority="5553" stopIfTrue="1" operator="equal">
      <formula>"3 Delete"</formula>
    </cfRule>
  </conditionalFormatting>
  <conditionalFormatting sqref="C1853">
    <cfRule type="cellIs" dxfId="545" priority="5554" stopIfTrue="1" operator="equal">
      <formula>"1 Modify"</formula>
    </cfRule>
  </conditionalFormatting>
  <conditionalFormatting sqref="C1853">
    <cfRule type="cellIs" dxfId="544" priority="5555" stopIfTrue="1" operator="equal">
      <formula>"2 Add"</formula>
    </cfRule>
  </conditionalFormatting>
  <conditionalFormatting sqref="C1853">
    <cfRule type="cellIs" dxfId="543" priority="5556" stopIfTrue="1" operator="equal">
      <formula>"3 Delete"</formula>
    </cfRule>
  </conditionalFormatting>
  <conditionalFormatting sqref="C1854">
    <cfRule type="cellIs" dxfId="542" priority="5557" stopIfTrue="1" operator="equal">
      <formula>"1 Modify"</formula>
    </cfRule>
  </conditionalFormatting>
  <conditionalFormatting sqref="C1854">
    <cfRule type="cellIs" dxfId="541" priority="5558" stopIfTrue="1" operator="equal">
      <formula>"2 Add"</formula>
    </cfRule>
  </conditionalFormatting>
  <conditionalFormatting sqref="C1854">
    <cfRule type="cellIs" dxfId="540" priority="5559" stopIfTrue="1" operator="equal">
      <formula>"3 Delete"</formula>
    </cfRule>
  </conditionalFormatting>
  <conditionalFormatting sqref="C1855">
    <cfRule type="cellIs" dxfId="539" priority="5560" stopIfTrue="1" operator="equal">
      <formula>"1 Modify"</formula>
    </cfRule>
  </conditionalFormatting>
  <conditionalFormatting sqref="C1855">
    <cfRule type="cellIs" dxfId="538" priority="5561" stopIfTrue="1" operator="equal">
      <formula>"2 Add"</formula>
    </cfRule>
  </conditionalFormatting>
  <conditionalFormatting sqref="C1855">
    <cfRule type="cellIs" dxfId="537" priority="5562" stopIfTrue="1" operator="equal">
      <formula>"3 Delete"</formula>
    </cfRule>
  </conditionalFormatting>
  <conditionalFormatting sqref="C1856">
    <cfRule type="cellIs" dxfId="536" priority="5563" stopIfTrue="1" operator="equal">
      <formula>"1 Modify"</formula>
    </cfRule>
  </conditionalFormatting>
  <conditionalFormatting sqref="C1856">
    <cfRule type="cellIs" dxfId="535" priority="5564" stopIfTrue="1" operator="equal">
      <formula>"2 Add"</formula>
    </cfRule>
  </conditionalFormatting>
  <conditionalFormatting sqref="C1856">
    <cfRule type="cellIs" dxfId="534" priority="5565" stopIfTrue="1" operator="equal">
      <formula>"3 Delete"</formula>
    </cfRule>
  </conditionalFormatting>
  <conditionalFormatting sqref="C1857">
    <cfRule type="cellIs" dxfId="533" priority="5566" stopIfTrue="1" operator="equal">
      <formula>"1 Modify"</formula>
    </cfRule>
  </conditionalFormatting>
  <conditionalFormatting sqref="C1857">
    <cfRule type="cellIs" dxfId="532" priority="5567" stopIfTrue="1" operator="equal">
      <formula>"2 Add"</formula>
    </cfRule>
  </conditionalFormatting>
  <conditionalFormatting sqref="C1857">
    <cfRule type="cellIs" dxfId="531" priority="5568" stopIfTrue="1" operator="equal">
      <formula>"3 Delete"</formula>
    </cfRule>
  </conditionalFormatting>
  <conditionalFormatting sqref="C1858">
    <cfRule type="cellIs" dxfId="530" priority="5569" stopIfTrue="1" operator="equal">
      <formula>"1 Modify"</formula>
    </cfRule>
  </conditionalFormatting>
  <conditionalFormatting sqref="C1858">
    <cfRule type="cellIs" dxfId="529" priority="5570" stopIfTrue="1" operator="equal">
      <formula>"2 Add"</formula>
    </cfRule>
  </conditionalFormatting>
  <conditionalFormatting sqref="C1858">
    <cfRule type="cellIs" dxfId="528" priority="5571" stopIfTrue="1" operator="equal">
      <formula>"3 Delete"</formula>
    </cfRule>
  </conditionalFormatting>
  <conditionalFormatting sqref="C1859">
    <cfRule type="cellIs" dxfId="527" priority="5572" stopIfTrue="1" operator="equal">
      <formula>"1 Modify"</formula>
    </cfRule>
  </conditionalFormatting>
  <conditionalFormatting sqref="C1859">
    <cfRule type="cellIs" dxfId="526" priority="5573" stopIfTrue="1" operator="equal">
      <formula>"2 Add"</formula>
    </cfRule>
  </conditionalFormatting>
  <conditionalFormatting sqref="C1859">
    <cfRule type="cellIs" dxfId="525" priority="5574" stopIfTrue="1" operator="equal">
      <formula>"3 Delete"</formula>
    </cfRule>
  </conditionalFormatting>
  <conditionalFormatting sqref="C1860">
    <cfRule type="cellIs" dxfId="524" priority="5575" stopIfTrue="1" operator="equal">
      <formula>"1 Modify"</formula>
    </cfRule>
  </conditionalFormatting>
  <conditionalFormatting sqref="C1860">
    <cfRule type="cellIs" dxfId="523" priority="5576" stopIfTrue="1" operator="equal">
      <formula>"2 Add"</formula>
    </cfRule>
  </conditionalFormatting>
  <conditionalFormatting sqref="C1860">
    <cfRule type="cellIs" dxfId="522" priority="5577" stopIfTrue="1" operator="equal">
      <formula>"3 Delete"</formula>
    </cfRule>
  </conditionalFormatting>
  <conditionalFormatting sqref="C1861">
    <cfRule type="cellIs" dxfId="521" priority="5578" stopIfTrue="1" operator="equal">
      <formula>"1 Modify"</formula>
    </cfRule>
  </conditionalFormatting>
  <conditionalFormatting sqref="C1861">
    <cfRule type="cellIs" dxfId="520" priority="5579" stopIfTrue="1" operator="equal">
      <formula>"2 Add"</formula>
    </cfRule>
  </conditionalFormatting>
  <conditionalFormatting sqref="C1861">
    <cfRule type="cellIs" dxfId="519" priority="5580" stopIfTrue="1" operator="equal">
      <formula>"3 Delete"</formula>
    </cfRule>
  </conditionalFormatting>
  <conditionalFormatting sqref="C1862">
    <cfRule type="cellIs" dxfId="518" priority="5581" stopIfTrue="1" operator="equal">
      <formula>"1 Modify"</formula>
    </cfRule>
  </conditionalFormatting>
  <conditionalFormatting sqref="C1862">
    <cfRule type="cellIs" dxfId="517" priority="5582" stopIfTrue="1" operator="equal">
      <formula>"2 Add"</formula>
    </cfRule>
  </conditionalFormatting>
  <conditionalFormatting sqref="C1862">
    <cfRule type="cellIs" dxfId="516" priority="5583" stopIfTrue="1" operator="equal">
      <formula>"3 Delete"</formula>
    </cfRule>
  </conditionalFormatting>
  <conditionalFormatting sqref="C1863">
    <cfRule type="cellIs" dxfId="515" priority="5584" stopIfTrue="1" operator="equal">
      <formula>"1 Modify"</formula>
    </cfRule>
  </conditionalFormatting>
  <conditionalFormatting sqref="C1863">
    <cfRule type="cellIs" dxfId="514" priority="5585" stopIfTrue="1" operator="equal">
      <formula>"2 Add"</formula>
    </cfRule>
  </conditionalFormatting>
  <conditionalFormatting sqref="C1863">
    <cfRule type="cellIs" dxfId="513" priority="5586" stopIfTrue="1" operator="equal">
      <formula>"3 Delete"</formula>
    </cfRule>
  </conditionalFormatting>
  <conditionalFormatting sqref="C1864">
    <cfRule type="cellIs" dxfId="512" priority="5587" stopIfTrue="1" operator="equal">
      <formula>"1 Modify"</formula>
    </cfRule>
  </conditionalFormatting>
  <conditionalFormatting sqref="C1864">
    <cfRule type="cellIs" dxfId="511" priority="5588" stopIfTrue="1" operator="equal">
      <formula>"2 Add"</formula>
    </cfRule>
  </conditionalFormatting>
  <conditionalFormatting sqref="C1864">
    <cfRule type="cellIs" dxfId="510" priority="5589" stopIfTrue="1" operator="equal">
      <formula>"3 Delete"</formula>
    </cfRule>
  </conditionalFormatting>
  <conditionalFormatting sqref="C1865">
    <cfRule type="cellIs" dxfId="509" priority="5590" stopIfTrue="1" operator="equal">
      <formula>"1 Modify"</formula>
    </cfRule>
  </conditionalFormatting>
  <conditionalFormatting sqref="C1865">
    <cfRule type="cellIs" dxfId="508" priority="5591" stopIfTrue="1" operator="equal">
      <formula>"2 Add"</formula>
    </cfRule>
  </conditionalFormatting>
  <conditionalFormatting sqref="C1865">
    <cfRule type="cellIs" dxfId="507" priority="5592" stopIfTrue="1" operator="equal">
      <formula>"3 Delete"</formula>
    </cfRule>
  </conditionalFormatting>
  <conditionalFormatting sqref="C1866">
    <cfRule type="cellIs" dxfId="506" priority="5593" stopIfTrue="1" operator="equal">
      <formula>"1 Modify"</formula>
    </cfRule>
  </conditionalFormatting>
  <conditionalFormatting sqref="C1866">
    <cfRule type="cellIs" dxfId="505" priority="5594" stopIfTrue="1" operator="equal">
      <formula>"2 Add"</formula>
    </cfRule>
  </conditionalFormatting>
  <conditionalFormatting sqref="C1866">
    <cfRule type="cellIs" dxfId="504" priority="5595" stopIfTrue="1" operator="equal">
      <formula>"3 Delete"</formula>
    </cfRule>
  </conditionalFormatting>
  <conditionalFormatting sqref="C1867">
    <cfRule type="cellIs" dxfId="503" priority="5596" stopIfTrue="1" operator="equal">
      <formula>"1 Modify"</formula>
    </cfRule>
  </conditionalFormatting>
  <conditionalFormatting sqref="C1867">
    <cfRule type="cellIs" dxfId="502" priority="5597" stopIfTrue="1" operator="equal">
      <formula>"2 Add"</formula>
    </cfRule>
  </conditionalFormatting>
  <conditionalFormatting sqref="C1867">
    <cfRule type="cellIs" dxfId="501" priority="5598" stopIfTrue="1" operator="equal">
      <formula>"3 Delete"</formula>
    </cfRule>
  </conditionalFormatting>
  <conditionalFormatting sqref="C1868">
    <cfRule type="cellIs" dxfId="500" priority="5599" stopIfTrue="1" operator="equal">
      <formula>"1 Modify"</formula>
    </cfRule>
  </conditionalFormatting>
  <conditionalFormatting sqref="C1868">
    <cfRule type="cellIs" dxfId="499" priority="5600" stopIfTrue="1" operator="equal">
      <formula>"2 Add"</formula>
    </cfRule>
  </conditionalFormatting>
  <conditionalFormatting sqref="C1868">
    <cfRule type="cellIs" dxfId="498" priority="5601" stopIfTrue="1" operator="equal">
      <formula>"3 Delete"</formula>
    </cfRule>
  </conditionalFormatting>
  <conditionalFormatting sqref="C1869">
    <cfRule type="cellIs" dxfId="497" priority="5602" stopIfTrue="1" operator="equal">
      <formula>"1 Modify"</formula>
    </cfRule>
  </conditionalFormatting>
  <conditionalFormatting sqref="C1869">
    <cfRule type="cellIs" dxfId="496" priority="5603" stopIfTrue="1" operator="equal">
      <formula>"2 Add"</formula>
    </cfRule>
  </conditionalFormatting>
  <conditionalFormatting sqref="C1869">
    <cfRule type="cellIs" dxfId="495" priority="5604" stopIfTrue="1" operator="equal">
      <formula>"3 Delete"</formula>
    </cfRule>
  </conditionalFormatting>
  <conditionalFormatting sqref="C1870">
    <cfRule type="cellIs" dxfId="494" priority="5605" stopIfTrue="1" operator="equal">
      <formula>"1 Modify"</formula>
    </cfRule>
  </conditionalFormatting>
  <conditionalFormatting sqref="C1870">
    <cfRule type="cellIs" dxfId="493" priority="5606" stopIfTrue="1" operator="equal">
      <formula>"2 Add"</formula>
    </cfRule>
  </conditionalFormatting>
  <conditionalFormatting sqref="C1870">
    <cfRule type="cellIs" dxfId="492" priority="5607" stopIfTrue="1" operator="equal">
      <formula>"3 Delete"</formula>
    </cfRule>
  </conditionalFormatting>
  <conditionalFormatting sqref="C1871">
    <cfRule type="cellIs" dxfId="491" priority="5608" stopIfTrue="1" operator="equal">
      <formula>"1 Modify"</formula>
    </cfRule>
  </conditionalFormatting>
  <conditionalFormatting sqref="C1871">
    <cfRule type="cellIs" dxfId="490" priority="5609" stopIfTrue="1" operator="equal">
      <formula>"2 Add"</formula>
    </cfRule>
  </conditionalFormatting>
  <conditionalFormatting sqref="C1871">
    <cfRule type="cellIs" dxfId="489" priority="5610" stopIfTrue="1" operator="equal">
      <formula>"3 Delete"</formula>
    </cfRule>
  </conditionalFormatting>
  <conditionalFormatting sqref="C1872">
    <cfRule type="cellIs" dxfId="488" priority="5611" stopIfTrue="1" operator="equal">
      <formula>"1 Modify"</formula>
    </cfRule>
  </conditionalFormatting>
  <conditionalFormatting sqref="C1872">
    <cfRule type="cellIs" dxfId="487" priority="5612" stopIfTrue="1" operator="equal">
      <formula>"2 Add"</formula>
    </cfRule>
  </conditionalFormatting>
  <conditionalFormatting sqref="C1872">
    <cfRule type="cellIs" dxfId="486" priority="5613" stopIfTrue="1" operator="equal">
      <formula>"3 Delete"</formula>
    </cfRule>
  </conditionalFormatting>
  <conditionalFormatting sqref="C1873">
    <cfRule type="cellIs" dxfId="485" priority="5614" stopIfTrue="1" operator="equal">
      <formula>"1 Modify"</formula>
    </cfRule>
  </conditionalFormatting>
  <conditionalFormatting sqref="C1873">
    <cfRule type="cellIs" dxfId="484" priority="5615" stopIfTrue="1" operator="equal">
      <formula>"2 Add"</formula>
    </cfRule>
  </conditionalFormatting>
  <conditionalFormatting sqref="C1873">
    <cfRule type="cellIs" dxfId="483" priority="5616" stopIfTrue="1" operator="equal">
      <formula>"3 Delete"</formula>
    </cfRule>
  </conditionalFormatting>
  <conditionalFormatting sqref="C1874">
    <cfRule type="cellIs" dxfId="482" priority="5617" stopIfTrue="1" operator="equal">
      <formula>"1 Modify"</formula>
    </cfRule>
  </conditionalFormatting>
  <conditionalFormatting sqref="C1874">
    <cfRule type="cellIs" dxfId="481" priority="5618" stopIfTrue="1" operator="equal">
      <formula>"2 Add"</formula>
    </cfRule>
  </conditionalFormatting>
  <conditionalFormatting sqref="C1874">
    <cfRule type="cellIs" dxfId="480" priority="5619" stopIfTrue="1" operator="equal">
      <formula>"3 Delete"</formula>
    </cfRule>
  </conditionalFormatting>
  <conditionalFormatting sqref="C1875">
    <cfRule type="cellIs" dxfId="479" priority="5620" stopIfTrue="1" operator="equal">
      <formula>"1 Modify"</formula>
    </cfRule>
  </conditionalFormatting>
  <conditionalFormatting sqref="C1875">
    <cfRule type="cellIs" dxfId="478" priority="5621" stopIfTrue="1" operator="equal">
      <formula>"2 Add"</formula>
    </cfRule>
  </conditionalFormatting>
  <conditionalFormatting sqref="C1875">
    <cfRule type="cellIs" dxfId="477" priority="5622" stopIfTrue="1" operator="equal">
      <formula>"3 Delete"</formula>
    </cfRule>
  </conditionalFormatting>
  <conditionalFormatting sqref="C1876">
    <cfRule type="cellIs" dxfId="476" priority="5623" stopIfTrue="1" operator="equal">
      <formula>"1 Modify"</formula>
    </cfRule>
  </conditionalFormatting>
  <conditionalFormatting sqref="C1876">
    <cfRule type="cellIs" dxfId="475" priority="5624" stopIfTrue="1" operator="equal">
      <formula>"2 Add"</formula>
    </cfRule>
  </conditionalFormatting>
  <conditionalFormatting sqref="C1876">
    <cfRule type="cellIs" dxfId="474" priority="5625" stopIfTrue="1" operator="equal">
      <formula>"3 Delete"</formula>
    </cfRule>
  </conditionalFormatting>
  <conditionalFormatting sqref="C1877">
    <cfRule type="cellIs" dxfId="473" priority="5626" stopIfTrue="1" operator="equal">
      <formula>"1 Modify"</formula>
    </cfRule>
  </conditionalFormatting>
  <conditionalFormatting sqref="C1877">
    <cfRule type="cellIs" dxfId="472" priority="5627" stopIfTrue="1" operator="equal">
      <formula>"2 Add"</formula>
    </cfRule>
  </conditionalFormatting>
  <conditionalFormatting sqref="C1877">
    <cfRule type="cellIs" dxfId="471" priority="5628" stopIfTrue="1" operator="equal">
      <formula>"3 Delete"</formula>
    </cfRule>
  </conditionalFormatting>
  <conditionalFormatting sqref="C1878">
    <cfRule type="cellIs" dxfId="470" priority="5629" stopIfTrue="1" operator="equal">
      <formula>"1 Modify"</formula>
    </cfRule>
  </conditionalFormatting>
  <conditionalFormatting sqref="C1878">
    <cfRule type="cellIs" dxfId="469" priority="5630" stopIfTrue="1" operator="equal">
      <formula>"2 Add"</formula>
    </cfRule>
  </conditionalFormatting>
  <conditionalFormatting sqref="C1878">
    <cfRule type="cellIs" dxfId="468" priority="5631" stopIfTrue="1" operator="equal">
      <formula>"3 Delete"</formula>
    </cfRule>
  </conditionalFormatting>
  <conditionalFormatting sqref="C1879">
    <cfRule type="cellIs" dxfId="467" priority="5632" stopIfTrue="1" operator="equal">
      <formula>"1 Modify"</formula>
    </cfRule>
  </conditionalFormatting>
  <conditionalFormatting sqref="C1879">
    <cfRule type="cellIs" dxfId="466" priority="5633" stopIfTrue="1" operator="equal">
      <formula>"2 Add"</formula>
    </cfRule>
  </conditionalFormatting>
  <conditionalFormatting sqref="C1879">
    <cfRule type="cellIs" dxfId="465" priority="5634" stopIfTrue="1" operator="equal">
      <formula>"3 Delete"</formula>
    </cfRule>
  </conditionalFormatting>
  <conditionalFormatting sqref="C1880">
    <cfRule type="cellIs" dxfId="464" priority="5635" stopIfTrue="1" operator="equal">
      <formula>"1 Modify"</formula>
    </cfRule>
  </conditionalFormatting>
  <conditionalFormatting sqref="C1880">
    <cfRule type="cellIs" dxfId="463" priority="5636" stopIfTrue="1" operator="equal">
      <formula>"2 Add"</formula>
    </cfRule>
  </conditionalFormatting>
  <conditionalFormatting sqref="C1880">
    <cfRule type="cellIs" dxfId="462" priority="5637" stopIfTrue="1" operator="equal">
      <formula>"3 Delete"</formula>
    </cfRule>
  </conditionalFormatting>
  <conditionalFormatting sqref="C1881">
    <cfRule type="cellIs" dxfId="461" priority="5638" stopIfTrue="1" operator="equal">
      <formula>"1 Modify"</formula>
    </cfRule>
  </conditionalFormatting>
  <conditionalFormatting sqref="C1881">
    <cfRule type="cellIs" dxfId="460" priority="5639" stopIfTrue="1" operator="equal">
      <formula>"2 Add"</formula>
    </cfRule>
  </conditionalFormatting>
  <conditionalFormatting sqref="C1881">
    <cfRule type="cellIs" dxfId="459" priority="5640" stopIfTrue="1" operator="equal">
      <formula>"3 Delete"</formula>
    </cfRule>
  </conditionalFormatting>
  <conditionalFormatting sqref="C1882">
    <cfRule type="cellIs" dxfId="458" priority="5641" stopIfTrue="1" operator="equal">
      <formula>"1 Modify"</formula>
    </cfRule>
  </conditionalFormatting>
  <conditionalFormatting sqref="C1882">
    <cfRule type="cellIs" dxfId="457" priority="5642" stopIfTrue="1" operator="equal">
      <formula>"2 Add"</formula>
    </cfRule>
  </conditionalFormatting>
  <conditionalFormatting sqref="C1882">
    <cfRule type="cellIs" dxfId="456" priority="5643" stopIfTrue="1" operator="equal">
      <formula>"3 Delete"</formula>
    </cfRule>
  </conditionalFormatting>
  <conditionalFormatting sqref="C1883">
    <cfRule type="cellIs" dxfId="455" priority="5644" stopIfTrue="1" operator="equal">
      <formula>"1 Modify"</formula>
    </cfRule>
  </conditionalFormatting>
  <conditionalFormatting sqref="C1883">
    <cfRule type="cellIs" dxfId="454" priority="5645" stopIfTrue="1" operator="equal">
      <formula>"2 Add"</formula>
    </cfRule>
  </conditionalFormatting>
  <conditionalFormatting sqref="C1883">
    <cfRule type="cellIs" dxfId="453" priority="5646" stopIfTrue="1" operator="equal">
      <formula>"3 Delete"</formula>
    </cfRule>
  </conditionalFormatting>
  <conditionalFormatting sqref="C1884">
    <cfRule type="cellIs" dxfId="452" priority="5647" stopIfTrue="1" operator="equal">
      <formula>"1 Modify"</formula>
    </cfRule>
  </conditionalFormatting>
  <conditionalFormatting sqref="C1884">
    <cfRule type="cellIs" dxfId="451" priority="5648" stopIfTrue="1" operator="equal">
      <formula>"2 Add"</formula>
    </cfRule>
  </conditionalFormatting>
  <conditionalFormatting sqref="C1884">
    <cfRule type="cellIs" dxfId="450" priority="5649" stopIfTrue="1" operator="equal">
      <formula>"3 Delete"</formula>
    </cfRule>
  </conditionalFormatting>
  <conditionalFormatting sqref="C1885">
    <cfRule type="cellIs" dxfId="449" priority="5650" stopIfTrue="1" operator="equal">
      <formula>"1 Modify"</formula>
    </cfRule>
  </conditionalFormatting>
  <conditionalFormatting sqref="C1885">
    <cfRule type="cellIs" dxfId="448" priority="5651" stopIfTrue="1" operator="equal">
      <formula>"2 Add"</formula>
    </cfRule>
  </conditionalFormatting>
  <conditionalFormatting sqref="C1885">
    <cfRule type="cellIs" dxfId="447" priority="5652" stopIfTrue="1" operator="equal">
      <formula>"3 Delete"</formula>
    </cfRule>
  </conditionalFormatting>
  <conditionalFormatting sqref="C1886">
    <cfRule type="cellIs" dxfId="446" priority="5653" stopIfTrue="1" operator="equal">
      <formula>"1 Modify"</formula>
    </cfRule>
  </conditionalFormatting>
  <conditionalFormatting sqref="C1886">
    <cfRule type="cellIs" dxfId="445" priority="5654" stopIfTrue="1" operator="equal">
      <formula>"2 Add"</formula>
    </cfRule>
  </conditionalFormatting>
  <conditionalFormatting sqref="C1886">
    <cfRule type="cellIs" dxfId="444" priority="5655" stopIfTrue="1" operator="equal">
      <formula>"3 Delete"</formula>
    </cfRule>
  </conditionalFormatting>
  <conditionalFormatting sqref="C1887">
    <cfRule type="cellIs" dxfId="443" priority="5656" stopIfTrue="1" operator="equal">
      <formula>"1 Modify"</formula>
    </cfRule>
  </conditionalFormatting>
  <conditionalFormatting sqref="C1887">
    <cfRule type="cellIs" dxfId="442" priority="5657" stopIfTrue="1" operator="equal">
      <formula>"2 Add"</formula>
    </cfRule>
  </conditionalFormatting>
  <conditionalFormatting sqref="C1887">
    <cfRule type="cellIs" dxfId="441" priority="5658" stopIfTrue="1" operator="equal">
      <formula>"3 Delete"</formula>
    </cfRule>
  </conditionalFormatting>
  <conditionalFormatting sqref="C1888">
    <cfRule type="cellIs" dxfId="440" priority="5659" stopIfTrue="1" operator="equal">
      <formula>"1 Modify"</formula>
    </cfRule>
  </conditionalFormatting>
  <conditionalFormatting sqref="C1888">
    <cfRule type="cellIs" dxfId="439" priority="5660" stopIfTrue="1" operator="equal">
      <formula>"2 Add"</formula>
    </cfRule>
  </conditionalFormatting>
  <conditionalFormatting sqref="C1888">
    <cfRule type="cellIs" dxfId="438" priority="5661" stopIfTrue="1" operator="equal">
      <formula>"3 Delete"</formula>
    </cfRule>
  </conditionalFormatting>
  <conditionalFormatting sqref="C1889">
    <cfRule type="cellIs" dxfId="437" priority="5662" stopIfTrue="1" operator="equal">
      <formula>"1 Modify"</formula>
    </cfRule>
  </conditionalFormatting>
  <conditionalFormatting sqref="C1889">
    <cfRule type="cellIs" dxfId="436" priority="5663" stopIfTrue="1" operator="equal">
      <formula>"2 Add"</formula>
    </cfRule>
  </conditionalFormatting>
  <conditionalFormatting sqref="C1889">
    <cfRule type="cellIs" dxfId="435" priority="5664" stopIfTrue="1" operator="equal">
      <formula>"3 Delete"</formula>
    </cfRule>
  </conditionalFormatting>
  <conditionalFormatting sqref="C1890">
    <cfRule type="cellIs" dxfId="434" priority="5665" stopIfTrue="1" operator="equal">
      <formula>"1 Modify"</formula>
    </cfRule>
  </conditionalFormatting>
  <conditionalFormatting sqref="C1890">
    <cfRule type="cellIs" dxfId="433" priority="5666" stopIfTrue="1" operator="equal">
      <formula>"2 Add"</formula>
    </cfRule>
  </conditionalFormatting>
  <conditionalFormatting sqref="C1890">
    <cfRule type="cellIs" dxfId="432" priority="5667" stopIfTrue="1" operator="equal">
      <formula>"3 Delete"</formula>
    </cfRule>
  </conditionalFormatting>
  <conditionalFormatting sqref="C1891">
    <cfRule type="cellIs" dxfId="431" priority="5668" stopIfTrue="1" operator="equal">
      <formula>"1 Modify"</formula>
    </cfRule>
  </conditionalFormatting>
  <conditionalFormatting sqref="C1891">
    <cfRule type="cellIs" dxfId="430" priority="5669" stopIfTrue="1" operator="equal">
      <formula>"2 Add"</formula>
    </cfRule>
  </conditionalFormatting>
  <conditionalFormatting sqref="C1891">
    <cfRule type="cellIs" dxfId="429" priority="5670" stopIfTrue="1" operator="equal">
      <formula>"3 Delete"</formula>
    </cfRule>
  </conditionalFormatting>
  <conditionalFormatting sqref="C1892">
    <cfRule type="cellIs" dxfId="428" priority="5671" stopIfTrue="1" operator="equal">
      <formula>"1 Modify"</formula>
    </cfRule>
  </conditionalFormatting>
  <conditionalFormatting sqref="C1892">
    <cfRule type="cellIs" dxfId="427" priority="5672" stopIfTrue="1" operator="equal">
      <formula>"2 Add"</formula>
    </cfRule>
  </conditionalFormatting>
  <conditionalFormatting sqref="C1892">
    <cfRule type="cellIs" dxfId="426" priority="5673" stopIfTrue="1" operator="equal">
      <formula>"3 Delete"</formula>
    </cfRule>
  </conditionalFormatting>
  <conditionalFormatting sqref="C1893">
    <cfRule type="cellIs" dxfId="425" priority="5674" stopIfTrue="1" operator="equal">
      <formula>"1 Modify"</formula>
    </cfRule>
  </conditionalFormatting>
  <conditionalFormatting sqref="C1893">
    <cfRule type="cellIs" dxfId="424" priority="5675" stopIfTrue="1" operator="equal">
      <formula>"2 Add"</formula>
    </cfRule>
  </conditionalFormatting>
  <conditionalFormatting sqref="C1893">
    <cfRule type="cellIs" dxfId="423" priority="5676" stopIfTrue="1" operator="equal">
      <formula>"3 Delete"</formula>
    </cfRule>
  </conditionalFormatting>
  <conditionalFormatting sqref="C1894">
    <cfRule type="cellIs" dxfId="422" priority="5677" stopIfTrue="1" operator="equal">
      <formula>"1 Modify"</formula>
    </cfRule>
  </conditionalFormatting>
  <conditionalFormatting sqref="C1894">
    <cfRule type="cellIs" dxfId="421" priority="5678" stopIfTrue="1" operator="equal">
      <formula>"2 Add"</formula>
    </cfRule>
  </conditionalFormatting>
  <conditionalFormatting sqref="C1894">
    <cfRule type="cellIs" dxfId="420" priority="5679" stopIfTrue="1" operator="equal">
      <formula>"3 Delete"</formula>
    </cfRule>
  </conditionalFormatting>
  <conditionalFormatting sqref="C1895">
    <cfRule type="cellIs" dxfId="419" priority="5680" stopIfTrue="1" operator="equal">
      <formula>"1 Modify"</formula>
    </cfRule>
  </conditionalFormatting>
  <conditionalFormatting sqref="C1895">
    <cfRule type="cellIs" dxfId="418" priority="5681" stopIfTrue="1" operator="equal">
      <formula>"2 Add"</formula>
    </cfRule>
  </conditionalFormatting>
  <conditionalFormatting sqref="C1895">
    <cfRule type="cellIs" dxfId="417" priority="5682" stopIfTrue="1" operator="equal">
      <formula>"3 Delete"</formula>
    </cfRule>
  </conditionalFormatting>
  <conditionalFormatting sqref="C1896">
    <cfRule type="cellIs" dxfId="416" priority="5683" stopIfTrue="1" operator="equal">
      <formula>"1 Modify"</formula>
    </cfRule>
  </conditionalFormatting>
  <conditionalFormatting sqref="C1896">
    <cfRule type="cellIs" dxfId="415" priority="5684" stopIfTrue="1" operator="equal">
      <formula>"2 Add"</formula>
    </cfRule>
  </conditionalFormatting>
  <conditionalFormatting sqref="C1896">
    <cfRule type="cellIs" dxfId="414" priority="5685" stopIfTrue="1" operator="equal">
      <formula>"3 Delete"</formula>
    </cfRule>
  </conditionalFormatting>
  <conditionalFormatting sqref="C1897">
    <cfRule type="cellIs" dxfId="413" priority="5686" stopIfTrue="1" operator="equal">
      <formula>"1 Modify"</formula>
    </cfRule>
  </conditionalFormatting>
  <conditionalFormatting sqref="C1897">
    <cfRule type="cellIs" dxfId="412" priority="5687" stopIfTrue="1" operator="equal">
      <formula>"2 Add"</formula>
    </cfRule>
  </conditionalFormatting>
  <conditionalFormatting sqref="C1897">
    <cfRule type="cellIs" dxfId="411" priority="5688" stopIfTrue="1" operator="equal">
      <formula>"3 Delete"</formula>
    </cfRule>
  </conditionalFormatting>
  <conditionalFormatting sqref="C1898">
    <cfRule type="cellIs" dxfId="410" priority="5689" stopIfTrue="1" operator="equal">
      <formula>"1 Modify"</formula>
    </cfRule>
  </conditionalFormatting>
  <conditionalFormatting sqref="C1898">
    <cfRule type="cellIs" dxfId="409" priority="5690" stopIfTrue="1" operator="equal">
      <formula>"2 Add"</formula>
    </cfRule>
  </conditionalFormatting>
  <conditionalFormatting sqref="C1898">
    <cfRule type="cellIs" dxfId="408" priority="5691" stopIfTrue="1" operator="equal">
      <formula>"3 Delete"</formula>
    </cfRule>
  </conditionalFormatting>
  <conditionalFormatting sqref="C1899">
    <cfRule type="cellIs" dxfId="407" priority="5692" stopIfTrue="1" operator="equal">
      <formula>"1 Modify"</formula>
    </cfRule>
  </conditionalFormatting>
  <conditionalFormatting sqref="C1899">
    <cfRule type="cellIs" dxfId="406" priority="5693" stopIfTrue="1" operator="equal">
      <formula>"2 Add"</formula>
    </cfRule>
  </conditionalFormatting>
  <conditionalFormatting sqref="C1899">
    <cfRule type="cellIs" dxfId="405" priority="5694" stopIfTrue="1" operator="equal">
      <formula>"3 Delete"</formula>
    </cfRule>
  </conditionalFormatting>
  <conditionalFormatting sqref="C1900">
    <cfRule type="cellIs" dxfId="404" priority="5695" stopIfTrue="1" operator="equal">
      <formula>"1 Modify"</formula>
    </cfRule>
  </conditionalFormatting>
  <conditionalFormatting sqref="C1900">
    <cfRule type="cellIs" dxfId="403" priority="5696" stopIfTrue="1" operator="equal">
      <formula>"2 Add"</formula>
    </cfRule>
  </conditionalFormatting>
  <conditionalFormatting sqref="C1900">
    <cfRule type="cellIs" dxfId="402" priority="5697" stopIfTrue="1" operator="equal">
      <formula>"3 Delete"</formula>
    </cfRule>
  </conditionalFormatting>
  <conditionalFormatting sqref="C1901">
    <cfRule type="cellIs" dxfId="401" priority="5698" stopIfTrue="1" operator="equal">
      <formula>"1 Modify"</formula>
    </cfRule>
  </conditionalFormatting>
  <conditionalFormatting sqref="C1901">
    <cfRule type="cellIs" dxfId="400" priority="5699" stopIfTrue="1" operator="equal">
      <formula>"2 Add"</formula>
    </cfRule>
  </conditionalFormatting>
  <conditionalFormatting sqref="C1901">
    <cfRule type="cellIs" dxfId="399" priority="5700" stopIfTrue="1" operator="equal">
      <formula>"3 Delete"</formula>
    </cfRule>
  </conditionalFormatting>
  <conditionalFormatting sqref="C1902">
    <cfRule type="cellIs" dxfId="398" priority="5701" stopIfTrue="1" operator="equal">
      <formula>"1 Modify"</formula>
    </cfRule>
  </conditionalFormatting>
  <conditionalFormatting sqref="C1902">
    <cfRule type="cellIs" dxfId="397" priority="5702" stopIfTrue="1" operator="equal">
      <formula>"2 Add"</formula>
    </cfRule>
  </conditionalFormatting>
  <conditionalFormatting sqref="C1902">
    <cfRule type="cellIs" dxfId="396" priority="5703" stopIfTrue="1" operator="equal">
      <formula>"3 Delete"</formula>
    </cfRule>
  </conditionalFormatting>
  <conditionalFormatting sqref="C1903">
    <cfRule type="cellIs" dxfId="395" priority="5704" stopIfTrue="1" operator="equal">
      <formula>"1 Modify"</formula>
    </cfRule>
  </conditionalFormatting>
  <conditionalFormatting sqref="C1903">
    <cfRule type="cellIs" dxfId="394" priority="5705" stopIfTrue="1" operator="equal">
      <formula>"2 Add"</formula>
    </cfRule>
  </conditionalFormatting>
  <conditionalFormatting sqref="C1903">
    <cfRule type="cellIs" dxfId="393" priority="5706" stopIfTrue="1" operator="equal">
      <formula>"3 Delete"</formula>
    </cfRule>
  </conditionalFormatting>
  <conditionalFormatting sqref="C1904">
    <cfRule type="cellIs" dxfId="392" priority="5707" stopIfTrue="1" operator="equal">
      <formula>"1 Modify"</formula>
    </cfRule>
  </conditionalFormatting>
  <conditionalFormatting sqref="C1904">
    <cfRule type="cellIs" dxfId="391" priority="5708" stopIfTrue="1" operator="equal">
      <formula>"2 Add"</formula>
    </cfRule>
  </conditionalFormatting>
  <conditionalFormatting sqref="C1904">
    <cfRule type="cellIs" dxfId="390" priority="5709" stopIfTrue="1" operator="equal">
      <formula>"3 Delete"</formula>
    </cfRule>
  </conditionalFormatting>
  <conditionalFormatting sqref="C1905">
    <cfRule type="cellIs" dxfId="389" priority="5710" stopIfTrue="1" operator="equal">
      <formula>"1 Modify"</formula>
    </cfRule>
  </conditionalFormatting>
  <conditionalFormatting sqref="C1905">
    <cfRule type="cellIs" dxfId="388" priority="5711" stopIfTrue="1" operator="equal">
      <formula>"2 Add"</formula>
    </cfRule>
  </conditionalFormatting>
  <conditionalFormatting sqref="C1905">
    <cfRule type="cellIs" dxfId="387" priority="5712" stopIfTrue="1" operator="equal">
      <formula>"3 Delete"</formula>
    </cfRule>
  </conditionalFormatting>
  <conditionalFormatting sqref="C1906">
    <cfRule type="cellIs" dxfId="386" priority="5713" stopIfTrue="1" operator="equal">
      <formula>"1 Modify"</formula>
    </cfRule>
  </conditionalFormatting>
  <conditionalFormatting sqref="C1906">
    <cfRule type="cellIs" dxfId="385" priority="5714" stopIfTrue="1" operator="equal">
      <formula>"2 Add"</formula>
    </cfRule>
  </conditionalFormatting>
  <conditionalFormatting sqref="C1906">
    <cfRule type="cellIs" dxfId="384" priority="5715" stopIfTrue="1" operator="equal">
      <formula>"3 Delete"</formula>
    </cfRule>
  </conditionalFormatting>
  <conditionalFormatting sqref="C1907">
    <cfRule type="cellIs" dxfId="383" priority="5716" stopIfTrue="1" operator="equal">
      <formula>"1 Modify"</formula>
    </cfRule>
  </conditionalFormatting>
  <conditionalFormatting sqref="C1907">
    <cfRule type="cellIs" dxfId="382" priority="5717" stopIfTrue="1" operator="equal">
      <formula>"2 Add"</formula>
    </cfRule>
  </conditionalFormatting>
  <conditionalFormatting sqref="C1907">
    <cfRule type="cellIs" dxfId="381" priority="5718" stopIfTrue="1" operator="equal">
      <formula>"3 Delete"</formula>
    </cfRule>
  </conditionalFormatting>
  <conditionalFormatting sqref="C1908">
    <cfRule type="cellIs" dxfId="380" priority="5719" stopIfTrue="1" operator="equal">
      <formula>"1 Modify"</formula>
    </cfRule>
  </conditionalFormatting>
  <conditionalFormatting sqref="C1908">
    <cfRule type="cellIs" dxfId="379" priority="5720" stopIfTrue="1" operator="equal">
      <formula>"2 Add"</formula>
    </cfRule>
  </conditionalFormatting>
  <conditionalFormatting sqref="C1908">
    <cfRule type="cellIs" dxfId="378" priority="5721" stopIfTrue="1" operator="equal">
      <formula>"3 Delete"</formula>
    </cfRule>
  </conditionalFormatting>
  <conditionalFormatting sqref="C1909">
    <cfRule type="cellIs" dxfId="377" priority="5722" stopIfTrue="1" operator="equal">
      <formula>"1 Modify"</formula>
    </cfRule>
  </conditionalFormatting>
  <conditionalFormatting sqref="C1909">
    <cfRule type="cellIs" dxfId="376" priority="5723" stopIfTrue="1" operator="equal">
      <formula>"2 Add"</formula>
    </cfRule>
  </conditionalFormatting>
  <conditionalFormatting sqref="C1909">
    <cfRule type="cellIs" dxfId="375" priority="5724" stopIfTrue="1" operator="equal">
      <formula>"3 Delete"</formula>
    </cfRule>
  </conditionalFormatting>
  <conditionalFormatting sqref="C1910">
    <cfRule type="cellIs" dxfId="374" priority="5725" stopIfTrue="1" operator="equal">
      <formula>"1 Modify"</formula>
    </cfRule>
  </conditionalFormatting>
  <conditionalFormatting sqref="C1910">
    <cfRule type="cellIs" dxfId="373" priority="5726" stopIfTrue="1" operator="equal">
      <formula>"2 Add"</formula>
    </cfRule>
  </conditionalFormatting>
  <conditionalFormatting sqref="C1910">
    <cfRule type="cellIs" dxfId="372" priority="5727" stopIfTrue="1" operator="equal">
      <formula>"3 Delete"</formula>
    </cfRule>
  </conditionalFormatting>
  <conditionalFormatting sqref="C1911">
    <cfRule type="cellIs" dxfId="371" priority="5728" stopIfTrue="1" operator="equal">
      <formula>"1 Modify"</formula>
    </cfRule>
  </conditionalFormatting>
  <conditionalFormatting sqref="C1911">
    <cfRule type="cellIs" dxfId="370" priority="5729" stopIfTrue="1" operator="equal">
      <formula>"2 Add"</formula>
    </cfRule>
  </conditionalFormatting>
  <conditionalFormatting sqref="C1911">
    <cfRule type="cellIs" dxfId="369" priority="5730" stopIfTrue="1" operator="equal">
      <formula>"3 Delete"</formula>
    </cfRule>
  </conditionalFormatting>
  <conditionalFormatting sqref="C1912">
    <cfRule type="cellIs" dxfId="368" priority="5731" stopIfTrue="1" operator="equal">
      <formula>"1 Modify"</formula>
    </cfRule>
  </conditionalFormatting>
  <conditionalFormatting sqref="C1912">
    <cfRule type="cellIs" dxfId="367" priority="5732" stopIfTrue="1" operator="equal">
      <formula>"2 Add"</formula>
    </cfRule>
  </conditionalFormatting>
  <conditionalFormatting sqref="C1912">
    <cfRule type="cellIs" dxfId="366" priority="5733" stopIfTrue="1" operator="equal">
      <formula>"3 Delete"</formula>
    </cfRule>
  </conditionalFormatting>
  <conditionalFormatting sqref="C1913">
    <cfRule type="cellIs" dxfId="365" priority="5734" stopIfTrue="1" operator="equal">
      <formula>"1 Modify"</formula>
    </cfRule>
  </conditionalFormatting>
  <conditionalFormatting sqref="C1913">
    <cfRule type="cellIs" dxfId="364" priority="5735" stopIfTrue="1" operator="equal">
      <formula>"2 Add"</formula>
    </cfRule>
  </conditionalFormatting>
  <conditionalFormatting sqref="C1913">
    <cfRule type="cellIs" dxfId="363" priority="5736" stopIfTrue="1" operator="equal">
      <formula>"3 Delete"</formula>
    </cfRule>
  </conditionalFormatting>
  <conditionalFormatting sqref="C1914">
    <cfRule type="cellIs" dxfId="362" priority="5737" stopIfTrue="1" operator="equal">
      <formula>"1 Modify"</formula>
    </cfRule>
  </conditionalFormatting>
  <conditionalFormatting sqref="C1914">
    <cfRule type="cellIs" dxfId="361" priority="5738" stopIfTrue="1" operator="equal">
      <formula>"2 Add"</formula>
    </cfRule>
  </conditionalFormatting>
  <conditionalFormatting sqref="C1914">
    <cfRule type="cellIs" dxfId="360" priority="5739" stopIfTrue="1" operator="equal">
      <formula>"3 Delete"</formula>
    </cfRule>
  </conditionalFormatting>
  <conditionalFormatting sqref="C1915">
    <cfRule type="cellIs" dxfId="359" priority="5740" stopIfTrue="1" operator="equal">
      <formula>"1 Modify"</formula>
    </cfRule>
  </conditionalFormatting>
  <conditionalFormatting sqref="C1915">
    <cfRule type="cellIs" dxfId="358" priority="5741" stopIfTrue="1" operator="equal">
      <formula>"2 Add"</formula>
    </cfRule>
  </conditionalFormatting>
  <conditionalFormatting sqref="C1915">
    <cfRule type="cellIs" dxfId="357" priority="5742" stopIfTrue="1" operator="equal">
      <formula>"3 Delete"</formula>
    </cfRule>
  </conditionalFormatting>
  <conditionalFormatting sqref="C1916">
    <cfRule type="cellIs" dxfId="356" priority="5743" stopIfTrue="1" operator="equal">
      <formula>"1 Modify"</formula>
    </cfRule>
  </conditionalFormatting>
  <conditionalFormatting sqref="C1916">
    <cfRule type="cellIs" dxfId="355" priority="5744" stopIfTrue="1" operator="equal">
      <formula>"2 Add"</formula>
    </cfRule>
  </conditionalFormatting>
  <conditionalFormatting sqref="C1916">
    <cfRule type="cellIs" dxfId="354" priority="5745" stopIfTrue="1" operator="equal">
      <formula>"3 Delete"</formula>
    </cfRule>
  </conditionalFormatting>
  <conditionalFormatting sqref="C1917">
    <cfRule type="cellIs" dxfId="353" priority="5746" stopIfTrue="1" operator="equal">
      <formula>"1 Modify"</formula>
    </cfRule>
  </conditionalFormatting>
  <conditionalFormatting sqref="C1917">
    <cfRule type="cellIs" dxfId="352" priority="5747" stopIfTrue="1" operator="equal">
      <formula>"2 Add"</formula>
    </cfRule>
  </conditionalFormatting>
  <conditionalFormatting sqref="C1917">
    <cfRule type="cellIs" dxfId="351" priority="5748" stopIfTrue="1" operator="equal">
      <formula>"3 Delete"</formula>
    </cfRule>
  </conditionalFormatting>
  <conditionalFormatting sqref="C1918">
    <cfRule type="cellIs" dxfId="350" priority="5749" stopIfTrue="1" operator="equal">
      <formula>"1 Modify"</formula>
    </cfRule>
  </conditionalFormatting>
  <conditionalFormatting sqref="C1918">
    <cfRule type="cellIs" dxfId="349" priority="5750" stopIfTrue="1" operator="equal">
      <formula>"2 Add"</formula>
    </cfRule>
  </conditionalFormatting>
  <conditionalFormatting sqref="C1918">
    <cfRule type="cellIs" dxfId="348" priority="5751" stopIfTrue="1" operator="equal">
      <formula>"3 Delete"</formula>
    </cfRule>
  </conditionalFormatting>
  <conditionalFormatting sqref="C1919">
    <cfRule type="cellIs" dxfId="347" priority="5752" stopIfTrue="1" operator="equal">
      <formula>"1 Modify"</formula>
    </cfRule>
  </conditionalFormatting>
  <conditionalFormatting sqref="C1919">
    <cfRule type="cellIs" dxfId="346" priority="5753" stopIfTrue="1" operator="equal">
      <formula>"2 Add"</formula>
    </cfRule>
  </conditionalFormatting>
  <conditionalFormatting sqref="C1919">
    <cfRule type="cellIs" dxfId="345" priority="5754" stopIfTrue="1" operator="equal">
      <formula>"3 Delete"</formula>
    </cfRule>
  </conditionalFormatting>
  <conditionalFormatting sqref="C1920">
    <cfRule type="cellIs" dxfId="344" priority="5755" stopIfTrue="1" operator="equal">
      <formula>"1 Modify"</formula>
    </cfRule>
  </conditionalFormatting>
  <conditionalFormatting sqref="C1920">
    <cfRule type="cellIs" dxfId="343" priority="5756" stopIfTrue="1" operator="equal">
      <formula>"2 Add"</formula>
    </cfRule>
  </conditionalFormatting>
  <conditionalFormatting sqref="C1920">
    <cfRule type="cellIs" dxfId="342" priority="5757" stopIfTrue="1" operator="equal">
      <formula>"3 Delete"</formula>
    </cfRule>
  </conditionalFormatting>
  <conditionalFormatting sqref="C1921">
    <cfRule type="cellIs" dxfId="341" priority="5758" stopIfTrue="1" operator="equal">
      <formula>"1 Modify"</formula>
    </cfRule>
  </conditionalFormatting>
  <conditionalFormatting sqref="C1921">
    <cfRule type="cellIs" dxfId="340" priority="5759" stopIfTrue="1" operator="equal">
      <formula>"2 Add"</formula>
    </cfRule>
  </conditionalFormatting>
  <conditionalFormatting sqref="C1921">
    <cfRule type="cellIs" dxfId="339" priority="5760" stopIfTrue="1" operator="equal">
      <formula>"3 Delete"</formula>
    </cfRule>
  </conditionalFormatting>
  <conditionalFormatting sqref="C1922">
    <cfRule type="cellIs" dxfId="338" priority="5761" stopIfTrue="1" operator="equal">
      <formula>"1 Modify"</formula>
    </cfRule>
  </conditionalFormatting>
  <conditionalFormatting sqref="C1922">
    <cfRule type="cellIs" dxfId="337" priority="5762" stopIfTrue="1" operator="equal">
      <formula>"2 Add"</formula>
    </cfRule>
  </conditionalFormatting>
  <conditionalFormatting sqref="C1922">
    <cfRule type="cellIs" dxfId="336" priority="5763" stopIfTrue="1" operator="equal">
      <formula>"3 Delete"</formula>
    </cfRule>
  </conditionalFormatting>
  <conditionalFormatting sqref="C1923">
    <cfRule type="cellIs" dxfId="335" priority="5764" stopIfTrue="1" operator="equal">
      <formula>"1 Modify"</formula>
    </cfRule>
  </conditionalFormatting>
  <conditionalFormatting sqref="C1923">
    <cfRule type="cellIs" dxfId="334" priority="5765" stopIfTrue="1" operator="equal">
      <formula>"2 Add"</formula>
    </cfRule>
  </conditionalFormatting>
  <conditionalFormatting sqref="C1923">
    <cfRule type="cellIs" dxfId="333" priority="5766" stopIfTrue="1" operator="equal">
      <formula>"3 Delete"</formula>
    </cfRule>
  </conditionalFormatting>
  <conditionalFormatting sqref="C1924">
    <cfRule type="cellIs" dxfId="332" priority="5767" stopIfTrue="1" operator="equal">
      <formula>"1 Modify"</formula>
    </cfRule>
  </conditionalFormatting>
  <conditionalFormatting sqref="C1924">
    <cfRule type="cellIs" dxfId="331" priority="5768" stopIfTrue="1" operator="equal">
      <formula>"2 Add"</formula>
    </cfRule>
  </conditionalFormatting>
  <conditionalFormatting sqref="C1924">
    <cfRule type="cellIs" dxfId="330" priority="5769" stopIfTrue="1" operator="equal">
      <formula>"3 Delete"</formula>
    </cfRule>
  </conditionalFormatting>
  <conditionalFormatting sqref="C1925">
    <cfRule type="cellIs" dxfId="329" priority="5770" stopIfTrue="1" operator="equal">
      <formula>"1 Modify"</formula>
    </cfRule>
  </conditionalFormatting>
  <conditionalFormatting sqref="C1925">
    <cfRule type="cellIs" dxfId="328" priority="5771" stopIfTrue="1" operator="equal">
      <formula>"2 Add"</formula>
    </cfRule>
  </conditionalFormatting>
  <conditionalFormatting sqref="C1925">
    <cfRule type="cellIs" dxfId="327" priority="5772" stopIfTrue="1" operator="equal">
      <formula>"3 Delete"</formula>
    </cfRule>
  </conditionalFormatting>
  <conditionalFormatting sqref="C1926">
    <cfRule type="cellIs" dxfId="326" priority="5773" stopIfTrue="1" operator="equal">
      <formula>"1 Modify"</formula>
    </cfRule>
  </conditionalFormatting>
  <conditionalFormatting sqref="C1926">
    <cfRule type="cellIs" dxfId="325" priority="5774" stopIfTrue="1" operator="equal">
      <formula>"2 Add"</formula>
    </cfRule>
  </conditionalFormatting>
  <conditionalFormatting sqref="C1926">
    <cfRule type="cellIs" dxfId="324" priority="5775" stopIfTrue="1" operator="equal">
      <formula>"3 Delete"</formula>
    </cfRule>
  </conditionalFormatting>
  <conditionalFormatting sqref="C1927">
    <cfRule type="cellIs" dxfId="323" priority="5776" stopIfTrue="1" operator="equal">
      <formula>"1 Modify"</formula>
    </cfRule>
  </conditionalFormatting>
  <conditionalFormatting sqref="C1927">
    <cfRule type="cellIs" dxfId="322" priority="5777" stopIfTrue="1" operator="equal">
      <formula>"2 Add"</formula>
    </cfRule>
  </conditionalFormatting>
  <conditionalFormatting sqref="C1927">
    <cfRule type="cellIs" dxfId="321" priority="5778" stopIfTrue="1" operator="equal">
      <formula>"3 Delete"</formula>
    </cfRule>
  </conditionalFormatting>
  <conditionalFormatting sqref="C1928">
    <cfRule type="cellIs" dxfId="320" priority="5779" stopIfTrue="1" operator="equal">
      <formula>"1 Modify"</formula>
    </cfRule>
  </conditionalFormatting>
  <conditionalFormatting sqref="C1928">
    <cfRule type="cellIs" dxfId="319" priority="5780" stopIfTrue="1" operator="equal">
      <formula>"2 Add"</formula>
    </cfRule>
  </conditionalFormatting>
  <conditionalFormatting sqref="C1928">
    <cfRule type="cellIs" dxfId="318" priority="5781" stopIfTrue="1" operator="equal">
      <formula>"3 Delete"</formula>
    </cfRule>
  </conditionalFormatting>
  <conditionalFormatting sqref="C1929">
    <cfRule type="cellIs" dxfId="317" priority="5782" stopIfTrue="1" operator="equal">
      <formula>"1 Modify"</formula>
    </cfRule>
  </conditionalFormatting>
  <conditionalFormatting sqref="C1929">
    <cfRule type="cellIs" dxfId="316" priority="5783" stopIfTrue="1" operator="equal">
      <formula>"2 Add"</formula>
    </cfRule>
  </conditionalFormatting>
  <conditionalFormatting sqref="C1929">
    <cfRule type="cellIs" dxfId="315" priority="5784" stopIfTrue="1" operator="equal">
      <formula>"3 Delete"</formula>
    </cfRule>
  </conditionalFormatting>
  <conditionalFormatting sqref="C1930">
    <cfRule type="cellIs" dxfId="314" priority="5785" stopIfTrue="1" operator="equal">
      <formula>"1 Modify"</formula>
    </cfRule>
  </conditionalFormatting>
  <conditionalFormatting sqref="C1930">
    <cfRule type="cellIs" dxfId="313" priority="5786" stopIfTrue="1" operator="equal">
      <formula>"2 Add"</formula>
    </cfRule>
  </conditionalFormatting>
  <conditionalFormatting sqref="C1930">
    <cfRule type="cellIs" dxfId="312" priority="5787" stopIfTrue="1" operator="equal">
      <formula>"3 Delete"</formula>
    </cfRule>
  </conditionalFormatting>
  <conditionalFormatting sqref="C1931">
    <cfRule type="cellIs" dxfId="311" priority="5788" stopIfTrue="1" operator="equal">
      <formula>"1 Modify"</formula>
    </cfRule>
  </conditionalFormatting>
  <conditionalFormatting sqref="C1931">
    <cfRule type="cellIs" dxfId="310" priority="5789" stopIfTrue="1" operator="equal">
      <formula>"2 Add"</formula>
    </cfRule>
  </conditionalFormatting>
  <conditionalFormatting sqref="C1931">
    <cfRule type="cellIs" dxfId="309" priority="5790" stopIfTrue="1" operator="equal">
      <formula>"3 Delete"</formula>
    </cfRule>
  </conditionalFormatting>
  <conditionalFormatting sqref="C1932">
    <cfRule type="cellIs" dxfId="308" priority="5791" stopIfTrue="1" operator="equal">
      <formula>"1 Modify"</formula>
    </cfRule>
  </conditionalFormatting>
  <conditionalFormatting sqref="C1932">
    <cfRule type="cellIs" dxfId="307" priority="5792" stopIfTrue="1" operator="equal">
      <formula>"2 Add"</formula>
    </cfRule>
  </conditionalFormatting>
  <conditionalFormatting sqref="C1932">
    <cfRule type="cellIs" dxfId="306" priority="5793" stopIfTrue="1" operator="equal">
      <formula>"3 Delete"</formula>
    </cfRule>
  </conditionalFormatting>
  <conditionalFormatting sqref="C1933">
    <cfRule type="cellIs" dxfId="305" priority="5794" stopIfTrue="1" operator="equal">
      <formula>"1 Modify"</formula>
    </cfRule>
  </conditionalFormatting>
  <conditionalFormatting sqref="C1933">
    <cfRule type="cellIs" dxfId="304" priority="5795" stopIfTrue="1" operator="equal">
      <formula>"2 Add"</formula>
    </cfRule>
  </conditionalFormatting>
  <conditionalFormatting sqref="C1933">
    <cfRule type="cellIs" dxfId="303" priority="5796" stopIfTrue="1" operator="equal">
      <formula>"3 Delete"</formula>
    </cfRule>
  </conditionalFormatting>
  <conditionalFormatting sqref="C1934">
    <cfRule type="cellIs" dxfId="302" priority="5797" stopIfTrue="1" operator="equal">
      <formula>"1 Modify"</formula>
    </cfRule>
  </conditionalFormatting>
  <conditionalFormatting sqref="C1934">
    <cfRule type="cellIs" dxfId="301" priority="5798" stopIfTrue="1" operator="equal">
      <formula>"2 Add"</formula>
    </cfRule>
  </conditionalFormatting>
  <conditionalFormatting sqref="C1934">
    <cfRule type="cellIs" dxfId="300" priority="5799" stopIfTrue="1" operator="equal">
      <formula>"3 Delete"</formula>
    </cfRule>
  </conditionalFormatting>
  <conditionalFormatting sqref="C1935">
    <cfRule type="cellIs" dxfId="299" priority="5800" stopIfTrue="1" operator="equal">
      <formula>"1 Modify"</formula>
    </cfRule>
  </conditionalFormatting>
  <conditionalFormatting sqref="C1935">
    <cfRule type="cellIs" dxfId="298" priority="5801" stopIfTrue="1" operator="equal">
      <formula>"2 Add"</formula>
    </cfRule>
  </conditionalFormatting>
  <conditionalFormatting sqref="C1935">
    <cfRule type="cellIs" dxfId="297" priority="5802" stopIfTrue="1" operator="equal">
      <formula>"3 Delete"</formula>
    </cfRule>
  </conditionalFormatting>
  <conditionalFormatting sqref="C1936">
    <cfRule type="cellIs" dxfId="296" priority="5803" stopIfTrue="1" operator="equal">
      <formula>"1 Modify"</formula>
    </cfRule>
  </conditionalFormatting>
  <conditionalFormatting sqref="C1936">
    <cfRule type="cellIs" dxfId="295" priority="5804" stopIfTrue="1" operator="equal">
      <formula>"2 Add"</formula>
    </cfRule>
  </conditionalFormatting>
  <conditionalFormatting sqref="C1936">
    <cfRule type="cellIs" dxfId="294" priority="5805" stopIfTrue="1" operator="equal">
      <formula>"3 Delete"</formula>
    </cfRule>
  </conditionalFormatting>
  <conditionalFormatting sqref="C1937">
    <cfRule type="cellIs" dxfId="293" priority="5806" stopIfTrue="1" operator="equal">
      <formula>"1 Modify"</formula>
    </cfRule>
  </conditionalFormatting>
  <conditionalFormatting sqref="C1937">
    <cfRule type="cellIs" dxfId="292" priority="5807" stopIfTrue="1" operator="equal">
      <formula>"2 Add"</formula>
    </cfRule>
  </conditionalFormatting>
  <conditionalFormatting sqref="C1937">
    <cfRule type="cellIs" dxfId="291" priority="5808" stopIfTrue="1" operator="equal">
      <formula>"3 Delete"</formula>
    </cfRule>
  </conditionalFormatting>
  <conditionalFormatting sqref="C1938">
    <cfRule type="cellIs" dxfId="290" priority="5809" stopIfTrue="1" operator="equal">
      <formula>"1 Modify"</formula>
    </cfRule>
  </conditionalFormatting>
  <conditionalFormatting sqref="C1938">
    <cfRule type="cellIs" dxfId="289" priority="5810" stopIfTrue="1" operator="equal">
      <formula>"2 Add"</formula>
    </cfRule>
  </conditionalFormatting>
  <conditionalFormatting sqref="C1938">
    <cfRule type="cellIs" dxfId="288" priority="5811" stopIfTrue="1" operator="equal">
      <formula>"3 Delete"</formula>
    </cfRule>
  </conditionalFormatting>
  <conditionalFormatting sqref="C1939">
    <cfRule type="cellIs" dxfId="287" priority="5812" stopIfTrue="1" operator="equal">
      <formula>"1 Modify"</formula>
    </cfRule>
  </conditionalFormatting>
  <conditionalFormatting sqref="C1939">
    <cfRule type="cellIs" dxfId="286" priority="5813" stopIfTrue="1" operator="equal">
      <formula>"2 Add"</formula>
    </cfRule>
  </conditionalFormatting>
  <conditionalFormatting sqref="C1939">
    <cfRule type="cellIs" dxfId="285" priority="5814" stopIfTrue="1" operator="equal">
      <formula>"3 Delete"</formula>
    </cfRule>
  </conditionalFormatting>
  <conditionalFormatting sqref="C1940">
    <cfRule type="cellIs" dxfId="284" priority="5815" stopIfTrue="1" operator="equal">
      <formula>"1 Modify"</formula>
    </cfRule>
  </conditionalFormatting>
  <conditionalFormatting sqref="C1940">
    <cfRule type="cellIs" dxfId="283" priority="5816" stopIfTrue="1" operator="equal">
      <formula>"2 Add"</formula>
    </cfRule>
  </conditionalFormatting>
  <conditionalFormatting sqref="C1940">
    <cfRule type="cellIs" dxfId="282" priority="5817" stopIfTrue="1" operator="equal">
      <formula>"3 Delete"</formula>
    </cfRule>
  </conditionalFormatting>
  <conditionalFormatting sqref="C1941">
    <cfRule type="cellIs" dxfId="281" priority="5818" stopIfTrue="1" operator="equal">
      <formula>"1 Modify"</formula>
    </cfRule>
  </conditionalFormatting>
  <conditionalFormatting sqref="C1941">
    <cfRule type="cellIs" dxfId="280" priority="5819" stopIfTrue="1" operator="equal">
      <formula>"2 Add"</formula>
    </cfRule>
  </conditionalFormatting>
  <conditionalFormatting sqref="C1941">
    <cfRule type="cellIs" dxfId="279" priority="5820" stopIfTrue="1" operator="equal">
      <formula>"3 Delete"</formula>
    </cfRule>
  </conditionalFormatting>
  <conditionalFormatting sqref="C1942">
    <cfRule type="cellIs" dxfId="278" priority="5821" stopIfTrue="1" operator="equal">
      <formula>"1 Modify"</formula>
    </cfRule>
  </conditionalFormatting>
  <conditionalFormatting sqref="C1942">
    <cfRule type="cellIs" dxfId="277" priority="5822" stopIfTrue="1" operator="equal">
      <formula>"2 Add"</formula>
    </cfRule>
  </conditionalFormatting>
  <conditionalFormatting sqref="C1942">
    <cfRule type="cellIs" dxfId="276" priority="5823" stopIfTrue="1" operator="equal">
      <formula>"3 Delete"</formula>
    </cfRule>
  </conditionalFormatting>
  <conditionalFormatting sqref="C1943">
    <cfRule type="cellIs" dxfId="275" priority="5824" stopIfTrue="1" operator="equal">
      <formula>"1 Modify"</formula>
    </cfRule>
  </conditionalFormatting>
  <conditionalFormatting sqref="C1943">
    <cfRule type="cellIs" dxfId="274" priority="5825" stopIfTrue="1" operator="equal">
      <formula>"2 Add"</formula>
    </cfRule>
  </conditionalFormatting>
  <conditionalFormatting sqref="C1943">
    <cfRule type="cellIs" dxfId="273" priority="5826" stopIfTrue="1" operator="equal">
      <formula>"3 Delete"</formula>
    </cfRule>
  </conditionalFormatting>
  <conditionalFormatting sqref="C1944">
    <cfRule type="cellIs" dxfId="272" priority="5827" stopIfTrue="1" operator="equal">
      <formula>"1 Modify"</formula>
    </cfRule>
  </conditionalFormatting>
  <conditionalFormatting sqref="C1944">
    <cfRule type="cellIs" dxfId="271" priority="5828" stopIfTrue="1" operator="equal">
      <formula>"2 Add"</formula>
    </cfRule>
  </conditionalFormatting>
  <conditionalFormatting sqref="C1944">
    <cfRule type="cellIs" dxfId="270" priority="5829" stopIfTrue="1" operator="equal">
      <formula>"3 Delete"</formula>
    </cfRule>
  </conditionalFormatting>
  <conditionalFormatting sqref="C1945">
    <cfRule type="cellIs" dxfId="269" priority="5830" stopIfTrue="1" operator="equal">
      <formula>"1 Modify"</formula>
    </cfRule>
  </conditionalFormatting>
  <conditionalFormatting sqref="C1945">
    <cfRule type="cellIs" dxfId="268" priority="5831" stopIfTrue="1" operator="equal">
      <formula>"2 Add"</formula>
    </cfRule>
  </conditionalFormatting>
  <conditionalFormatting sqref="C1945">
    <cfRule type="cellIs" dxfId="267" priority="5832" stopIfTrue="1" operator="equal">
      <formula>"3 Delete"</formula>
    </cfRule>
  </conditionalFormatting>
  <conditionalFormatting sqref="C1946">
    <cfRule type="cellIs" dxfId="266" priority="5833" stopIfTrue="1" operator="equal">
      <formula>"1 Modify"</formula>
    </cfRule>
  </conditionalFormatting>
  <conditionalFormatting sqref="C1946">
    <cfRule type="cellIs" dxfId="265" priority="5834" stopIfTrue="1" operator="equal">
      <formula>"2 Add"</formula>
    </cfRule>
  </conditionalFormatting>
  <conditionalFormatting sqref="C1946">
    <cfRule type="cellIs" dxfId="264" priority="5835" stopIfTrue="1" operator="equal">
      <formula>"3 Delete"</formula>
    </cfRule>
  </conditionalFormatting>
  <conditionalFormatting sqref="C1947">
    <cfRule type="cellIs" dxfId="263" priority="5836" stopIfTrue="1" operator="equal">
      <formula>"1 Modify"</formula>
    </cfRule>
  </conditionalFormatting>
  <conditionalFormatting sqref="C1947">
    <cfRule type="cellIs" dxfId="262" priority="5837" stopIfTrue="1" operator="equal">
      <formula>"2 Add"</formula>
    </cfRule>
  </conditionalFormatting>
  <conditionalFormatting sqref="C1947">
    <cfRule type="cellIs" dxfId="261" priority="5838" stopIfTrue="1" operator="equal">
      <formula>"3 Delete"</formula>
    </cfRule>
  </conditionalFormatting>
  <conditionalFormatting sqref="C1948">
    <cfRule type="cellIs" dxfId="260" priority="5839" stopIfTrue="1" operator="equal">
      <formula>"1 Modify"</formula>
    </cfRule>
  </conditionalFormatting>
  <conditionalFormatting sqref="C1948">
    <cfRule type="cellIs" dxfId="259" priority="5840" stopIfTrue="1" operator="equal">
      <formula>"2 Add"</formula>
    </cfRule>
  </conditionalFormatting>
  <conditionalFormatting sqref="C1948">
    <cfRule type="cellIs" dxfId="258" priority="5841" stopIfTrue="1" operator="equal">
      <formula>"3 Delete"</formula>
    </cfRule>
  </conditionalFormatting>
  <conditionalFormatting sqref="C1949">
    <cfRule type="cellIs" dxfId="257" priority="5842" stopIfTrue="1" operator="equal">
      <formula>"1 Modify"</formula>
    </cfRule>
  </conditionalFormatting>
  <conditionalFormatting sqref="C1949">
    <cfRule type="cellIs" dxfId="256" priority="5843" stopIfTrue="1" operator="equal">
      <formula>"2 Add"</formula>
    </cfRule>
  </conditionalFormatting>
  <conditionalFormatting sqref="C1949">
    <cfRule type="cellIs" dxfId="255" priority="5844" stopIfTrue="1" operator="equal">
      <formula>"3 Delete"</formula>
    </cfRule>
  </conditionalFormatting>
  <conditionalFormatting sqref="C1950">
    <cfRule type="cellIs" dxfId="254" priority="5845" stopIfTrue="1" operator="equal">
      <formula>"1 Modify"</formula>
    </cfRule>
  </conditionalFormatting>
  <conditionalFormatting sqref="C1950">
    <cfRule type="cellIs" dxfId="253" priority="5846" stopIfTrue="1" operator="equal">
      <formula>"2 Add"</formula>
    </cfRule>
  </conditionalFormatting>
  <conditionalFormatting sqref="C1950">
    <cfRule type="cellIs" dxfId="252" priority="5847" stopIfTrue="1" operator="equal">
      <formula>"3 Delete"</formula>
    </cfRule>
  </conditionalFormatting>
  <conditionalFormatting sqref="C1951">
    <cfRule type="cellIs" dxfId="251" priority="5848" stopIfTrue="1" operator="equal">
      <formula>"1 Modify"</formula>
    </cfRule>
  </conditionalFormatting>
  <conditionalFormatting sqref="C1951">
    <cfRule type="cellIs" dxfId="250" priority="5849" stopIfTrue="1" operator="equal">
      <formula>"2 Add"</formula>
    </cfRule>
  </conditionalFormatting>
  <conditionalFormatting sqref="C1951">
    <cfRule type="cellIs" dxfId="249" priority="5850" stopIfTrue="1" operator="equal">
      <formula>"3 Delete"</formula>
    </cfRule>
  </conditionalFormatting>
  <conditionalFormatting sqref="C1952">
    <cfRule type="cellIs" dxfId="248" priority="5851" stopIfTrue="1" operator="equal">
      <formula>"1 Modify"</formula>
    </cfRule>
  </conditionalFormatting>
  <conditionalFormatting sqref="C1952">
    <cfRule type="cellIs" dxfId="247" priority="5852" stopIfTrue="1" operator="equal">
      <formula>"2 Add"</formula>
    </cfRule>
  </conditionalFormatting>
  <conditionalFormatting sqref="C1952">
    <cfRule type="cellIs" dxfId="246" priority="5853" stopIfTrue="1" operator="equal">
      <formula>"3 Delete"</formula>
    </cfRule>
  </conditionalFormatting>
  <conditionalFormatting sqref="C1953">
    <cfRule type="cellIs" dxfId="245" priority="5854" stopIfTrue="1" operator="equal">
      <formula>"1 Modify"</formula>
    </cfRule>
  </conditionalFormatting>
  <conditionalFormatting sqref="C1953">
    <cfRule type="cellIs" dxfId="244" priority="5855" stopIfTrue="1" operator="equal">
      <formula>"2 Add"</formula>
    </cfRule>
  </conditionalFormatting>
  <conditionalFormatting sqref="C1953">
    <cfRule type="cellIs" dxfId="243" priority="5856" stopIfTrue="1" operator="equal">
      <formula>"3 Delete"</formula>
    </cfRule>
  </conditionalFormatting>
  <conditionalFormatting sqref="C1954">
    <cfRule type="cellIs" dxfId="242" priority="5857" stopIfTrue="1" operator="equal">
      <formula>"1 Modify"</formula>
    </cfRule>
  </conditionalFormatting>
  <conditionalFormatting sqref="C1954">
    <cfRule type="cellIs" dxfId="241" priority="5858" stopIfTrue="1" operator="equal">
      <formula>"2 Add"</formula>
    </cfRule>
  </conditionalFormatting>
  <conditionalFormatting sqref="C1954">
    <cfRule type="cellIs" dxfId="240" priority="5859" stopIfTrue="1" operator="equal">
      <formula>"3 Delete"</formula>
    </cfRule>
  </conditionalFormatting>
  <conditionalFormatting sqref="C1955">
    <cfRule type="cellIs" dxfId="239" priority="5860" stopIfTrue="1" operator="equal">
      <formula>"1 Modify"</formula>
    </cfRule>
  </conditionalFormatting>
  <conditionalFormatting sqref="C1955">
    <cfRule type="cellIs" dxfId="238" priority="5861" stopIfTrue="1" operator="equal">
      <formula>"2 Add"</formula>
    </cfRule>
  </conditionalFormatting>
  <conditionalFormatting sqref="C1955">
    <cfRule type="cellIs" dxfId="237" priority="5862" stopIfTrue="1" operator="equal">
      <formula>"3 Delete"</formula>
    </cfRule>
  </conditionalFormatting>
  <conditionalFormatting sqref="C1956">
    <cfRule type="cellIs" dxfId="236" priority="5863" stopIfTrue="1" operator="equal">
      <formula>"1 Modify"</formula>
    </cfRule>
  </conditionalFormatting>
  <conditionalFormatting sqref="C1956">
    <cfRule type="cellIs" dxfId="235" priority="5864" stopIfTrue="1" operator="equal">
      <formula>"2 Add"</formula>
    </cfRule>
  </conditionalFormatting>
  <conditionalFormatting sqref="C1956">
    <cfRule type="cellIs" dxfId="234" priority="5865" stopIfTrue="1" operator="equal">
      <formula>"3 Delete"</formula>
    </cfRule>
  </conditionalFormatting>
  <conditionalFormatting sqref="C1957">
    <cfRule type="cellIs" dxfId="233" priority="5866" stopIfTrue="1" operator="equal">
      <formula>"1 Modify"</formula>
    </cfRule>
  </conditionalFormatting>
  <conditionalFormatting sqref="C1957">
    <cfRule type="cellIs" dxfId="232" priority="5867" stopIfTrue="1" operator="equal">
      <formula>"2 Add"</formula>
    </cfRule>
  </conditionalFormatting>
  <conditionalFormatting sqref="C1957">
    <cfRule type="cellIs" dxfId="231" priority="5868" stopIfTrue="1" operator="equal">
      <formula>"3 Delete"</formula>
    </cfRule>
  </conditionalFormatting>
  <conditionalFormatting sqref="C1958">
    <cfRule type="cellIs" dxfId="230" priority="5869" stopIfTrue="1" operator="equal">
      <formula>"1 Modify"</formula>
    </cfRule>
  </conditionalFormatting>
  <conditionalFormatting sqref="C1958">
    <cfRule type="cellIs" dxfId="229" priority="5870" stopIfTrue="1" operator="equal">
      <formula>"2 Add"</formula>
    </cfRule>
  </conditionalFormatting>
  <conditionalFormatting sqref="C1958">
    <cfRule type="cellIs" dxfId="228" priority="5871" stopIfTrue="1" operator="equal">
      <formula>"3 Delete"</formula>
    </cfRule>
  </conditionalFormatting>
  <conditionalFormatting sqref="C1959">
    <cfRule type="cellIs" dxfId="227" priority="5872" stopIfTrue="1" operator="equal">
      <formula>"1 Modify"</formula>
    </cfRule>
  </conditionalFormatting>
  <conditionalFormatting sqref="C1959">
    <cfRule type="cellIs" dxfId="226" priority="5873" stopIfTrue="1" operator="equal">
      <formula>"2 Add"</formula>
    </cfRule>
  </conditionalFormatting>
  <conditionalFormatting sqref="C1959">
    <cfRule type="cellIs" dxfId="225" priority="5874" stopIfTrue="1" operator="equal">
      <formula>"3 Delete"</formula>
    </cfRule>
  </conditionalFormatting>
  <conditionalFormatting sqref="C1960">
    <cfRule type="cellIs" dxfId="224" priority="5875" stopIfTrue="1" operator="equal">
      <formula>"1 Modify"</formula>
    </cfRule>
  </conditionalFormatting>
  <conditionalFormatting sqref="C1960">
    <cfRule type="cellIs" dxfId="223" priority="5876" stopIfTrue="1" operator="equal">
      <formula>"2 Add"</formula>
    </cfRule>
  </conditionalFormatting>
  <conditionalFormatting sqref="C1960">
    <cfRule type="cellIs" dxfId="222" priority="5877" stopIfTrue="1" operator="equal">
      <formula>"3 Delete"</formula>
    </cfRule>
  </conditionalFormatting>
  <conditionalFormatting sqref="C1961">
    <cfRule type="cellIs" dxfId="221" priority="5878" stopIfTrue="1" operator="equal">
      <formula>"1 Modify"</formula>
    </cfRule>
  </conditionalFormatting>
  <conditionalFormatting sqref="C1961">
    <cfRule type="cellIs" dxfId="220" priority="5879" stopIfTrue="1" operator="equal">
      <formula>"2 Add"</formula>
    </cfRule>
  </conditionalFormatting>
  <conditionalFormatting sqref="C1961">
    <cfRule type="cellIs" dxfId="219" priority="5880" stopIfTrue="1" operator="equal">
      <formula>"3 Delete"</formula>
    </cfRule>
  </conditionalFormatting>
  <conditionalFormatting sqref="C1962">
    <cfRule type="cellIs" dxfId="218" priority="5881" stopIfTrue="1" operator="equal">
      <formula>"1 Modify"</formula>
    </cfRule>
  </conditionalFormatting>
  <conditionalFormatting sqref="C1962">
    <cfRule type="cellIs" dxfId="217" priority="5882" stopIfTrue="1" operator="equal">
      <formula>"2 Add"</formula>
    </cfRule>
  </conditionalFormatting>
  <conditionalFormatting sqref="C1962">
    <cfRule type="cellIs" dxfId="216" priority="5883" stopIfTrue="1" operator="equal">
      <formula>"3 Delete"</formula>
    </cfRule>
  </conditionalFormatting>
  <conditionalFormatting sqref="C1963">
    <cfRule type="cellIs" dxfId="215" priority="5884" stopIfTrue="1" operator="equal">
      <formula>"1 Modify"</formula>
    </cfRule>
  </conditionalFormatting>
  <conditionalFormatting sqref="C1963">
    <cfRule type="cellIs" dxfId="214" priority="5885" stopIfTrue="1" operator="equal">
      <formula>"2 Add"</formula>
    </cfRule>
  </conditionalFormatting>
  <conditionalFormatting sqref="C1963">
    <cfRule type="cellIs" dxfId="213" priority="5886" stopIfTrue="1" operator="equal">
      <formula>"3 Delete"</formula>
    </cfRule>
  </conditionalFormatting>
  <conditionalFormatting sqref="C1964">
    <cfRule type="cellIs" dxfId="212" priority="5887" stopIfTrue="1" operator="equal">
      <formula>"1 Modify"</formula>
    </cfRule>
  </conditionalFormatting>
  <conditionalFormatting sqref="C1964">
    <cfRule type="cellIs" dxfId="211" priority="5888" stopIfTrue="1" operator="equal">
      <formula>"2 Add"</formula>
    </cfRule>
  </conditionalFormatting>
  <conditionalFormatting sqref="C1964">
    <cfRule type="cellIs" dxfId="210" priority="5889" stopIfTrue="1" operator="equal">
      <formula>"3 Delete"</formula>
    </cfRule>
  </conditionalFormatting>
  <conditionalFormatting sqref="C1965">
    <cfRule type="cellIs" dxfId="209" priority="5890" stopIfTrue="1" operator="equal">
      <formula>"1 Modify"</formula>
    </cfRule>
  </conditionalFormatting>
  <conditionalFormatting sqref="C1965">
    <cfRule type="cellIs" dxfId="208" priority="5891" stopIfTrue="1" operator="equal">
      <formula>"2 Add"</formula>
    </cfRule>
  </conditionalFormatting>
  <conditionalFormatting sqref="C1965">
    <cfRule type="cellIs" dxfId="207" priority="5892" stopIfTrue="1" operator="equal">
      <formula>"3 Delete"</formula>
    </cfRule>
  </conditionalFormatting>
  <conditionalFormatting sqref="C1966">
    <cfRule type="cellIs" dxfId="206" priority="5893" stopIfTrue="1" operator="equal">
      <formula>"1 Modify"</formula>
    </cfRule>
  </conditionalFormatting>
  <conditionalFormatting sqref="C1966">
    <cfRule type="cellIs" dxfId="205" priority="5894" stopIfTrue="1" operator="equal">
      <formula>"2 Add"</formula>
    </cfRule>
  </conditionalFormatting>
  <conditionalFormatting sqref="C1966">
    <cfRule type="cellIs" dxfId="204" priority="5895" stopIfTrue="1" operator="equal">
      <formula>"3 Delete"</formula>
    </cfRule>
  </conditionalFormatting>
  <conditionalFormatting sqref="C1967">
    <cfRule type="cellIs" dxfId="203" priority="5896" stopIfTrue="1" operator="equal">
      <formula>"1 Modify"</formula>
    </cfRule>
  </conditionalFormatting>
  <conditionalFormatting sqref="C1967">
    <cfRule type="cellIs" dxfId="202" priority="5897" stopIfTrue="1" operator="equal">
      <formula>"2 Add"</formula>
    </cfRule>
  </conditionalFormatting>
  <conditionalFormatting sqref="C1967">
    <cfRule type="cellIs" dxfId="201" priority="5898" stopIfTrue="1" operator="equal">
      <formula>"3 Delete"</formula>
    </cfRule>
  </conditionalFormatting>
  <conditionalFormatting sqref="C1968">
    <cfRule type="cellIs" dxfId="200" priority="5899" stopIfTrue="1" operator="equal">
      <formula>"1 Modify"</formula>
    </cfRule>
  </conditionalFormatting>
  <conditionalFormatting sqref="C1968">
    <cfRule type="cellIs" dxfId="199" priority="5900" stopIfTrue="1" operator="equal">
      <formula>"2 Add"</formula>
    </cfRule>
  </conditionalFormatting>
  <conditionalFormatting sqref="C1968">
    <cfRule type="cellIs" dxfId="198" priority="5901" stopIfTrue="1" operator="equal">
      <formula>"3 Delete"</formula>
    </cfRule>
  </conditionalFormatting>
  <conditionalFormatting sqref="C1969">
    <cfRule type="cellIs" dxfId="197" priority="5902" stopIfTrue="1" operator="equal">
      <formula>"1 Modify"</formula>
    </cfRule>
  </conditionalFormatting>
  <conditionalFormatting sqref="C1969">
    <cfRule type="cellIs" dxfId="196" priority="5903" stopIfTrue="1" operator="equal">
      <formula>"2 Add"</formula>
    </cfRule>
  </conditionalFormatting>
  <conditionalFormatting sqref="C1969">
    <cfRule type="cellIs" dxfId="195" priority="5904" stopIfTrue="1" operator="equal">
      <formula>"3 Delete"</formula>
    </cfRule>
  </conditionalFormatting>
  <conditionalFormatting sqref="C1970">
    <cfRule type="cellIs" dxfId="194" priority="5905" stopIfTrue="1" operator="equal">
      <formula>"1 Modify"</formula>
    </cfRule>
  </conditionalFormatting>
  <conditionalFormatting sqref="C1970">
    <cfRule type="cellIs" dxfId="193" priority="5906" stopIfTrue="1" operator="equal">
      <formula>"2 Add"</formula>
    </cfRule>
  </conditionalFormatting>
  <conditionalFormatting sqref="C1970">
    <cfRule type="cellIs" dxfId="192" priority="5907" stopIfTrue="1" operator="equal">
      <formula>"3 Delete"</formula>
    </cfRule>
  </conditionalFormatting>
  <conditionalFormatting sqref="C1971">
    <cfRule type="cellIs" dxfId="191" priority="5908" stopIfTrue="1" operator="equal">
      <formula>"1 Modify"</formula>
    </cfRule>
  </conditionalFormatting>
  <conditionalFormatting sqref="C1971">
    <cfRule type="cellIs" dxfId="190" priority="5909" stopIfTrue="1" operator="equal">
      <formula>"2 Add"</formula>
    </cfRule>
  </conditionalFormatting>
  <conditionalFormatting sqref="C1971">
    <cfRule type="cellIs" dxfId="189" priority="5910" stopIfTrue="1" operator="equal">
      <formula>"3 Delete"</formula>
    </cfRule>
  </conditionalFormatting>
  <conditionalFormatting sqref="C1972">
    <cfRule type="cellIs" dxfId="188" priority="5911" stopIfTrue="1" operator="equal">
      <formula>"1 Modify"</formula>
    </cfRule>
  </conditionalFormatting>
  <conditionalFormatting sqref="C1972">
    <cfRule type="cellIs" dxfId="187" priority="5912" stopIfTrue="1" operator="equal">
      <formula>"2 Add"</formula>
    </cfRule>
  </conditionalFormatting>
  <conditionalFormatting sqref="C1972">
    <cfRule type="cellIs" dxfId="186" priority="5913" stopIfTrue="1" operator="equal">
      <formula>"3 Delete"</formula>
    </cfRule>
  </conditionalFormatting>
  <conditionalFormatting sqref="C1973">
    <cfRule type="cellIs" dxfId="185" priority="5914" stopIfTrue="1" operator="equal">
      <formula>"1 Modify"</formula>
    </cfRule>
  </conditionalFormatting>
  <conditionalFormatting sqref="C1973">
    <cfRule type="cellIs" dxfId="184" priority="5915" stopIfTrue="1" operator="equal">
      <formula>"2 Add"</formula>
    </cfRule>
  </conditionalFormatting>
  <conditionalFormatting sqref="C1973">
    <cfRule type="cellIs" dxfId="183" priority="5916" stopIfTrue="1" operator="equal">
      <formula>"3 Delete"</formula>
    </cfRule>
  </conditionalFormatting>
  <conditionalFormatting sqref="C1974">
    <cfRule type="cellIs" dxfId="182" priority="5917" stopIfTrue="1" operator="equal">
      <formula>"1 Modify"</formula>
    </cfRule>
  </conditionalFormatting>
  <conditionalFormatting sqref="C1974">
    <cfRule type="cellIs" dxfId="181" priority="5918" stopIfTrue="1" operator="equal">
      <formula>"2 Add"</formula>
    </cfRule>
  </conditionalFormatting>
  <conditionalFormatting sqref="C1974">
    <cfRule type="cellIs" dxfId="180" priority="5919" stopIfTrue="1" operator="equal">
      <formula>"3 Delete"</formula>
    </cfRule>
  </conditionalFormatting>
  <conditionalFormatting sqref="C1975">
    <cfRule type="cellIs" dxfId="179" priority="5920" stopIfTrue="1" operator="equal">
      <formula>"1 Modify"</formula>
    </cfRule>
  </conditionalFormatting>
  <conditionalFormatting sqref="C1975">
    <cfRule type="cellIs" dxfId="178" priority="5921" stopIfTrue="1" operator="equal">
      <formula>"2 Add"</formula>
    </cfRule>
  </conditionalFormatting>
  <conditionalFormatting sqref="C1975">
    <cfRule type="cellIs" dxfId="177" priority="5922" stopIfTrue="1" operator="equal">
      <formula>"3 Delete"</formula>
    </cfRule>
  </conditionalFormatting>
  <conditionalFormatting sqref="C1976">
    <cfRule type="cellIs" dxfId="176" priority="5923" stopIfTrue="1" operator="equal">
      <formula>"1 Modify"</formula>
    </cfRule>
  </conditionalFormatting>
  <conditionalFormatting sqref="C1976">
    <cfRule type="cellIs" dxfId="175" priority="5924" stopIfTrue="1" operator="equal">
      <formula>"2 Add"</formula>
    </cfRule>
  </conditionalFormatting>
  <conditionalFormatting sqref="C1976">
    <cfRule type="cellIs" dxfId="174" priority="5925" stopIfTrue="1" operator="equal">
      <formula>"3 Delete"</formula>
    </cfRule>
  </conditionalFormatting>
  <conditionalFormatting sqref="C1977">
    <cfRule type="cellIs" dxfId="173" priority="5926" stopIfTrue="1" operator="equal">
      <formula>"1 Modify"</formula>
    </cfRule>
  </conditionalFormatting>
  <conditionalFormatting sqref="C1977">
    <cfRule type="cellIs" dxfId="172" priority="5927" stopIfTrue="1" operator="equal">
      <formula>"2 Add"</formula>
    </cfRule>
  </conditionalFormatting>
  <conditionalFormatting sqref="C1977">
    <cfRule type="cellIs" dxfId="171" priority="5928" stopIfTrue="1" operator="equal">
      <formula>"3 Delete"</formula>
    </cfRule>
  </conditionalFormatting>
  <conditionalFormatting sqref="C1978">
    <cfRule type="cellIs" dxfId="170" priority="5929" stopIfTrue="1" operator="equal">
      <formula>"1 Modify"</formula>
    </cfRule>
  </conditionalFormatting>
  <conditionalFormatting sqref="C1978">
    <cfRule type="cellIs" dxfId="169" priority="5930" stopIfTrue="1" operator="equal">
      <formula>"2 Add"</formula>
    </cfRule>
  </conditionalFormatting>
  <conditionalFormatting sqref="C1978">
    <cfRule type="cellIs" dxfId="168" priority="5931" stopIfTrue="1" operator="equal">
      <formula>"3 Delete"</formula>
    </cfRule>
  </conditionalFormatting>
  <conditionalFormatting sqref="C1979">
    <cfRule type="cellIs" dxfId="167" priority="5932" stopIfTrue="1" operator="equal">
      <formula>"1 Modify"</formula>
    </cfRule>
  </conditionalFormatting>
  <conditionalFormatting sqref="C1979">
    <cfRule type="cellIs" dxfId="166" priority="5933" stopIfTrue="1" operator="equal">
      <formula>"2 Add"</formula>
    </cfRule>
  </conditionalFormatting>
  <conditionalFormatting sqref="C1979">
    <cfRule type="cellIs" dxfId="165" priority="5934" stopIfTrue="1" operator="equal">
      <formula>"3 Delete"</formula>
    </cfRule>
  </conditionalFormatting>
  <conditionalFormatting sqref="C1980">
    <cfRule type="cellIs" dxfId="164" priority="5935" stopIfTrue="1" operator="equal">
      <formula>"1 Modify"</formula>
    </cfRule>
  </conditionalFormatting>
  <conditionalFormatting sqref="C1980">
    <cfRule type="cellIs" dxfId="163" priority="5936" stopIfTrue="1" operator="equal">
      <formula>"2 Add"</formula>
    </cfRule>
  </conditionalFormatting>
  <conditionalFormatting sqref="C1980">
    <cfRule type="cellIs" dxfId="162" priority="5937" stopIfTrue="1" operator="equal">
      <formula>"3 Delete"</formula>
    </cfRule>
  </conditionalFormatting>
  <conditionalFormatting sqref="C1981">
    <cfRule type="cellIs" dxfId="161" priority="5938" stopIfTrue="1" operator="equal">
      <formula>"1 Modify"</formula>
    </cfRule>
  </conditionalFormatting>
  <conditionalFormatting sqref="C1981">
    <cfRule type="cellIs" dxfId="160" priority="5939" stopIfTrue="1" operator="equal">
      <formula>"2 Add"</formula>
    </cfRule>
  </conditionalFormatting>
  <conditionalFormatting sqref="C1981">
    <cfRule type="cellIs" dxfId="159" priority="5940" stopIfTrue="1" operator="equal">
      <formula>"3 Delete"</formula>
    </cfRule>
  </conditionalFormatting>
  <conditionalFormatting sqref="C1982">
    <cfRule type="cellIs" dxfId="158" priority="5941" stopIfTrue="1" operator="equal">
      <formula>"1 Modify"</formula>
    </cfRule>
  </conditionalFormatting>
  <conditionalFormatting sqref="C1982">
    <cfRule type="cellIs" dxfId="157" priority="5942" stopIfTrue="1" operator="equal">
      <formula>"2 Add"</formula>
    </cfRule>
  </conditionalFormatting>
  <conditionalFormatting sqref="C1982">
    <cfRule type="cellIs" dxfId="156" priority="5943" stopIfTrue="1" operator="equal">
      <formula>"3 Delete"</formula>
    </cfRule>
  </conditionalFormatting>
  <conditionalFormatting sqref="C1983">
    <cfRule type="cellIs" dxfId="155" priority="5944" stopIfTrue="1" operator="equal">
      <formula>"1 Modify"</formula>
    </cfRule>
  </conditionalFormatting>
  <conditionalFormatting sqref="C1983">
    <cfRule type="cellIs" dxfId="154" priority="5945" stopIfTrue="1" operator="equal">
      <formula>"2 Add"</formula>
    </cfRule>
  </conditionalFormatting>
  <conditionalFormatting sqref="C1983">
    <cfRule type="cellIs" dxfId="153" priority="5946" stopIfTrue="1" operator="equal">
      <formula>"3 Delete"</formula>
    </cfRule>
  </conditionalFormatting>
  <conditionalFormatting sqref="C1984">
    <cfRule type="cellIs" dxfId="152" priority="5947" stopIfTrue="1" operator="equal">
      <formula>"1 Modify"</formula>
    </cfRule>
  </conditionalFormatting>
  <conditionalFormatting sqref="C1984">
    <cfRule type="cellIs" dxfId="151" priority="5948" stopIfTrue="1" operator="equal">
      <formula>"2 Add"</formula>
    </cfRule>
  </conditionalFormatting>
  <conditionalFormatting sqref="C1984">
    <cfRule type="cellIs" dxfId="150" priority="5949" stopIfTrue="1" operator="equal">
      <formula>"3 Delete"</formula>
    </cfRule>
  </conditionalFormatting>
  <conditionalFormatting sqref="C1985">
    <cfRule type="cellIs" dxfId="149" priority="5950" stopIfTrue="1" operator="equal">
      <formula>"1 Modify"</formula>
    </cfRule>
  </conditionalFormatting>
  <conditionalFormatting sqref="C1985">
    <cfRule type="cellIs" dxfId="148" priority="5951" stopIfTrue="1" operator="equal">
      <formula>"2 Add"</formula>
    </cfRule>
  </conditionalFormatting>
  <conditionalFormatting sqref="C1985">
    <cfRule type="cellIs" dxfId="147" priority="5952" stopIfTrue="1" operator="equal">
      <formula>"3 Delete"</formula>
    </cfRule>
  </conditionalFormatting>
  <conditionalFormatting sqref="C1986">
    <cfRule type="cellIs" dxfId="146" priority="5953" stopIfTrue="1" operator="equal">
      <formula>"1 Modify"</formula>
    </cfRule>
  </conditionalFormatting>
  <conditionalFormatting sqref="C1986">
    <cfRule type="cellIs" dxfId="145" priority="5954" stopIfTrue="1" operator="equal">
      <formula>"2 Add"</formula>
    </cfRule>
  </conditionalFormatting>
  <conditionalFormatting sqref="C1986">
    <cfRule type="cellIs" dxfId="144" priority="5955" stopIfTrue="1" operator="equal">
      <formula>"3 Delete"</formula>
    </cfRule>
  </conditionalFormatting>
  <conditionalFormatting sqref="C1987">
    <cfRule type="cellIs" dxfId="143" priority="5956" stopIfTrue="1" operator="equal">
      <formula>"1 Modify"</formula>
    </cfRule>
  </conditionalFormatting>
  <conditionalFormatting sqref="C1987">
    <cfRule type="cellIs" dxfId="142" priority="5957" stopIfTrue="1" operator="equal">
      <formula>"2 Add"</formula>
    </cfRule>
  </conditionalFormatting>
  <conditionalFormatting sqref="C1987">
    <cfRule type="cellIs" dxfId="141" priority="5958" stopIfTrue="1" operator="equal">
      <formula>"3 Delete"</formula>
    </cfRule>
  </conditionalFormatting>
  <conditionalFormatting sqref="C1988">
    <cfRule type="cellIs" dxfId="140" priority="5959" stopIfTrue="1" operator="equal">
      <formula>"1 Modify"</formula>
    </cfRule>
  </conditionalFormatting>
  <conditionalFormatting sqref="C1988">
    <cfRule type="cellIs" dxfId="139" priority="5960" stopIfTrue="1" operator="equal">
      <formula>"2 Add"</formula>
    </cfRule>
  </conditionalFormatting>
  <conditionalFormatting sqref="C1988">
    <cfRule type="cellIs" dxfId="138" priority="5961" stopIfTrue="1" operator="equal">
      <formula>"3 Delete"</formula>
    </cfRule>
  </conditionalFormatting>
  <conditionalFormatting sqref="C1989">
    <cfRule type="cellIs" dxfId="137" priority="5962" stopIfTrue="1" operator="equal">
      <formula>"1 Modify"</formula>
    </cfRule>
  </conditionalFormatting>
  <conditionalFormatting sqref="C1989">
    <cfRule type="cellIs" dxfId="136" priority="5963" stopIfTrue="1" operator="equal">
      <formula>"2 Add"</formula>
    </cfRule>
  </conditionalFormatting>
  <conditionalFormatting sqref="C1989">
    <cfRule type="cellIs" dxfId="135" priority="5964" stopIfTrue="1" operator="equal">
      <formula>"3 Delete"</formula>
    </cfRule>
  </conditionalFormatting>
  <conditionalFormatting sqref="C1990">
    <cfRule type="cellIs" dxfId="134" priority="5965" stopIfTrue="1" operator="equal">
      <formula>"1 Modify"</formula>
    </cfRule>
  </conditionalFormatting>
  <conditionalFormatting sqref="C1990">
    <cfRule type="cellIs" dxfId="133" priority="5966" stopIfTrue="1" operator="equal">
      <formula>"2 Add"</formula>
    </cfRule>
  </conditionalFormatting>
  <conditionalFormatting sqref="C1990">
    <cfRule type="cellIs" dxfId="132" priority="5967" stopIfTrue="1" operator="equal">
      <formula>"3 Delete"</formula>
    </cfRule>
  </conditionalFormatting>
  <conditionalFormatting sqref="C1991">
    <cfRule type="cellIs" dxfId="131" priority="5968" stopIfTrue="1" operator="equal">
      <formula>"1 Modify"</formula>
    </cfRule>
  </conditionalFormatting>
  <conditionalFormatting sqref="C1991">
    <cfRule type="cellIs" dxfId="130" priority="5969" stopIfTrue="1" operator="equal">
      <formula>"2 Add"</formula>
    </cfRule>
  </conditionalFormatting>
  <conditionalFormatting sqref="C1991">
    <cfRule type="cellIs" dxfId="129" priority="5970" stopIfTrue="1" operator="equal">
      <formula>"3 Delete"</formula>
    </cfRule>
  </conditionalFormatting>
  <conditionalFormatting sqref="C1992">
    <cfRule type="cellIs" dxfId="128" priority="5971" stopIfTrue="1" operator="equal">
      <formula>"1 Modify"</formula>
    </cfRule>
  </conditionalFormatting>
  <conditionalFormatting sqref="C1992">
    <cfRule type="cellIs" dxfId="127" priority="5972" stopIfTrue="1" operator="equal">
      <formula>"2 Add"</formula>
    </cfRule>
  </conditionalFormatting>
  <conditionalFormatting sqref="C1992">
    <cfRule type="cellIs" dxfId="126" priority="5973" stopIfTrue="1" operator="equal">
      <formula>"3 Delete"</formula>
    </cfRule>
  </conditionalFormatting>
  <conditionalFormatting sqref="C1993">
    <cfRule type="cellIs" dxfId="125" priority="5974" stopIfTrue="1" operator="equal">
      <formula>"1 Modify"</formula>
    </cfRule>
  </conditionalFormatting>
  <conditionalFormatting sqref="C1993">
    <cfRule type="cellIs" dxfId="124" priority="5975" stopIfTrue="1" operator="equal">
      <formula>"2 Add"</formula>
    </cfRule>
  </conditionalFormatting>
  <conditionalFormatting sqref="C1993">
    <cfRule type="cellIs" dxfId="123" priority="5976" stopIfTrue="1" operator="equal">
      <formula>"3 Delete"</formula>
    </cfRule>
  </conditionalFormatting>
  <conditionalFormatting sqref="C1994">
    <cfRule type="cellIs" dxfId="122" priority="5977" stopIfTrue="1" operator="equal">
      <formula>"1 Modify"</formula>
    </cfRule>
  </conditionalFormatting>
  <conditionalFormatting sqref="C1994">
    <cfRule type="cellIs" dxfId="121" priority="5978" stopIfTrue="1" operator="equal">
      <formula>"2 Add"</formula>
    </cfRule>
  </conditionalFormatting>
  <conditionalFormatting sqref="C1994">
    <cfRule type="cellIs" dxfId="120" priority="5979" stopIfTrue="1" operator="equal">
      <formula>"3 Delete"</formula>
    </cfRule>
  </conditionalFormatting>
  <conditionalFormatting sqref="C1995">
    <cfRule type="cellIs" dxfId="119" priority="5980" stopIfTrue="1" operator="equal">
      <formula>"1 Modify"</formula>
    </cfRule>
  </conditionalFormatting>
  <conditionalFormatting sqref="C1995">
    <cfRule type="cellIs" dxfId="118" priority="5981" stopIfTrue="1" operator="equal">
      <formula>"2 Add"</formula>
    </cfRule>
  </conditionalFormatting>
  <conditionalFormatting sqref="C1995">
    <cfRule type="cellIs" dxfId="117" priority="5982" stopIfTrue="1" operator="equal">
      <formula>"3 Delete"</formula>
    </cfRule>
  </conditionalFormatting>
  <conditionalFormatting sqref="C1996">
    <cfRule type="cellIs" dxfId="116" priority="5983" stopIfTrue="1" operator="equal">
      <formula>"1 Modify"</formula>
    </cfRule>
  </conditionalFormatting>
  <conditionalFormatting sqref="C1996">
    <cfRule type="cellIs" dxfId="115" priority="5984" stopIfTrue="1" operator="equal">
      <formula>"2 Add"</formula>
    </cfRule>
  </conditionalFormatting>
  <conditionalFormatting sqref="C1996">
    <cfRule type="cellIs" dxfId="114" priority="5985" stopIfTrue="1" operator="equal">
      <formula>"3 Delete"</formula>
    </cfRule>
  </conditionalFormatting>
  <conditionalFormatting sqref="C1997">
    <cfRule type="cellIs" dxfId="113" priority="5986" stopIfTrue="1" operator="equal">
      <formula>"1 Modify"</formula>
    </cfRule>
  </conditionalFormatting>
  <conditionalFormatting sqref="C1997">
    <cfRule type="cellIs" dxfId="112" priority="5987" stopIfTrue="1" operator="equal">
      <formula>"2 Add"</formula>
    </cfRule>
  </conditionalFormatting>
  <conditionalFormatting sqref="C1997">
    <cfRule type="cellIs" dxfId="111" priority="5988" stopIfTrue="1" operator="equal">
      <formula>"3 Delete"</formula>
    </cfRule>
  </conditionalFormatting>
  <conditionalFormatting sqref="C1998">
    <cfRule type="cellIs" dxfId="110" priority="5989" stopIfTrue="1" operator="equal">
      <formula>"1 Modify"</formula>
    </cfRule>
  </conditionalFormatting>
  <conditionalFormatting sqref="C1998">
    <cfRule type="cellIs" dxfId="109" priority="5990" stopIfTrue="1" operator="equal">
      <formula>"2 Add"</formula>
    </cfRule>
  </conditionalFormatting>
  <conditionalFormatting sqref="C1998">
    <cfRule type="cellIs" dxfId="108" priority="5991" stopIfTrue="1" operator="equal">
      <formula>"3 Delete"</formula>
    </cfRule>
  </conditionalFormatting>
  <conditionalFormatting sqref="C1999">
    <cfRule type="cellIs" dxfId="107" priority="5992" stopIfTrue="1" operator="equal">
      <formula>"1 Modify"</formula>
    </cfRule>
  </conditionalFormatting>
  <conditionalFormatting sqref="C1999">
    <cfRule type="cellIs" dxfId="106" priority="5993" stopIfTrue="1" operator="equal">
      <formula>"2 Add"</formula>
    </cfRule>
  </conditionalFormatting>
  <conditionalFormatting sqref="C1999">
    <cfRule type="cellIs" dxfId="105" priority="5994" stopIfTrue="1" operator="equal">
      <formula>"3 Delete"</formula>
    </cfRule>
  </conditionalFormatting>
  <conditionalFormatting sqref="C2000">
    <cfRule type="cellIs" dxfId="104" priority="5995" stopIfTrue="1" operator="equal">
      <formula>"1 Modify"</formula>
    </cfRule>
  </conditionalFormatting>
  <conditionalFormatting sqref="C2000">
    <cfRule type="cellIs" dxfId="103" priority="5996" stopIfTrue="1" operator="equal">
      <formula>"2 Add"</formula>
    </cfRule>
  </conditionalFormatting>
  <conditionalFormatting sqref="C2000">
    <cfRule type="cellIs" dxfId="102" priority="5997" stopIfTrue="1" operator="equal">
      <formula>"3 Delete"</formula>
    </cfRule>
  </conditionalFormatting>
  <conditionalFormatting sqref="C2001">
    <cfRule type="cellIs" dxfId="101" priority="5998" stopIfTrue="1" operator="equal">
      <formula>"1 Modify"</formula>
    </cfRule>
  </conditionalFormatting>
  <conditionalFormatting sqref="C2001">
    <cfRule type="cellIs" dxfId="100" priority="5999" stopIfTrue="1" operator="equal">
      <formula>"2 Add"</formula>
    </cfRule>
  </conditionalFormatting>
  <conditionalFormatting sqref="C2001">
    <cfRule type="cellIs" dxfId="99" priority="6000" stopIfTrue="1" operator="equal">
      <formula>"3 Delete"</formula>
    </cfRule>
  </conditionalFormatting>
  <conditionalFormatting sqref="C2002">
    <cfRule type="cellIs" dxfId="98" priority="6001" stopIfTrue="1" operator="equal">
      <formula>"1 Modify"</formula>
    </cfRule>
  </conditionalFormatting>
  <conditionalFormatting sqref="C2002">
    <cfRule type="cellIs" dxfId="97" priority="6002" stopIfTrue="1" operator="equal">
      <formula>"2 Add"</formula>
    </cfRule>
  </conditionalFormatting>
  <conditionalFormatting sqref="C2002">
    <cfRule type="cellIs" dxfId="96" priority="6003" stopIfTrue="1" operator="equal">
      <formula>"3 Delete"</formula>
    </cfRule>
  </conditionalFormatting>
  <conditionalFormatting sqref="C2003">
    <cfRule type="cellIs" dxfId="95" priority="6004" stopIfTrue="1" operator="equal">
      <formula>"1 Modify"</formula>
    </cfRule>
  </conditionalFormatting>
  <conditionalFormatting sqref="C2003">
    <cfRule type="cellIs" dxfId="94" priority="6005" stopIfTrue="1" operator="equal">
      <formula>"2 Add"</formula>
    </cfRule>
  </conditionalFormatting>
  <conditionalFormatting sqref="C2003">
    <cfRule type="cellIs" dxfId="93" priority="6006" stopIfTrue="1" operator="equal">
      <formula>"3 Delete"</formula>
    </cfRule>
  </conditionalFormatting>
  <conditionalFormatting sqref="C2004">
    <cfRule type="cellIs" dxfId="92" priority="6007" stopIfTrue="1" operator="equal">
      <formula>"1 Modify"</formula>
    </cfRule>
  </conditionalFormatting>
  <conditionalFormatting sqref="C2004">
    <cfRule type="cellIs" dxfId="91" priority="6008" stopIfTrue="1" operator="equal">
      <formula>"2 Add"</formula>
    </cfRule>
  </conditionalFormatting>
  <conditionalFormatting sqref="C2004">
    <cfRule type="cellIs" dxfId="90" priority="6009" stopIfTrue="1" operator="equal">
      <formula>"3 Delete"</formula>
    </cfRule>
  </conditionalFormatting>
  <conditionalFormatting sqref="C2005">
    <cfRule type="cellIs" dxfId="89" priority="6010" stopIfTrue="1" operator="equal">
      <formula>"1 Modify"</formula>
    </cfRule>
  </conditionalFormatting>
  <conditionalFormatting sqref="C2005">
    <cfRule type="cellIs" dxfId="88" priority="6011" stopIfTrue="1" operator="equal">
      <formula>"2 Add"</formula>
    </cfRule>
  </conditionalFormatting>
  <conditionalFormatting sqref="C2005">
    <cfRule type="cellIs" dxfId="87" priority="6012" stopIfTrue="1" operator="equal">
      <formula>"3 Delete"</formula>
    </cfRule>
  </conditionalFormatting>
  <conditionalFormatting sqref="C2006">
    <cfRule type="cellIs" dxfId="86" priority="6013" stopIfTrue="1" operator="equal">
      <formula>"1 Modify"</formula>
    </cfRule>
  </conditionalFormatting>
  <conditionalFormatting sqref="C2006">
    <cfRule type="cellIs" dxfId="85" priority="6014" stopIfTrue="1" operator="equal">
      <formula>"2 Add"</formula>
    </cfRule>
  </conditionalFormatting>
  <conditionalFormatting sqref="C2006">
    <cfRule type="cellIs" dxfId="84" priority="6015" stopIfTrue="1" operator="equal">
      <formula>"3 Delete"</formula>
    </cfRule>
  </conditionalFormatting>
  <conditionalFormatting sqref="C2007">
    <cfRule type="cellIs" dxfId="83" priority="6016" stopIfTrue="1" operator="equal">
      <formula>"1 Modify"</formula>
    </cfRule>
  </conditionalFormatting>
  <conditionalFormatting sqref="C2007">
    <cfRule type="cellIs" dxfId="82" priority="6017" stopIfTrue="1" operator="equal">
      <formula>"2 Add"</formula>
    </cfRule>
  </conditionalFormatting>
  <conditionalFormatting sqref="C2007">
    <cfRule type="cellIs" dxfId="81" priority="6018" stopIfTrue="1" operator="equal">
      <formula>"3 Delete"</formula>
    </cfRule>
  </conditionalFormatting>
  <conditionalFormatting sqref="C2008">
    <cfRule type="cellIs" dxfId="80" priority="6019" stopIfTrue="1" operator="equal">
      <formula>"1 Modify"</formula>
    </cfRule>
  </conditionalFormatting>
  <conditionalFormatting sqref="C2008">
    <cfRule type="cellIs" dxfId="79" priority="6020" stopIfTrue="1" operator="equal">
      <formula>"2 Add"</formula>
    </cfRule>
  </conditionalFormatting>
  <conditionalFormatting sqref="C2008">
    <cfRule type="cellIs" dxfId="78" priority="6021" stopIfTrue="1" operator="equal">
      <formula>"3 Delete"</formula>
    </cfRule>
  </conditionalFormatting>
  <conditionalFormatting sqref="C2009">
    <cfRule type="cellIs" dxfId="77" priority="6022" stopIfTrue="1" operator="equal">
      <formula>"1 Modify"</formula>
    </cfRule>
  </conditionalFormatting>
  <conditionalFormatting sqref="C2009">
    <cfRule type="cellIs" dxfId="76" priority="6023" stopIfTrue="1" operator="equal">
      <formula>"2 Add"</formula>
    </cfRule>
  </conditionalFormatting>
  <conditionalFormatting sqref="C2009">
    <cfRule type="cellIs" dxfId="75" priority="6024" stopIfTrue="1" operator="equal">
      <formula>"3 Delete"</formula>
    </cfRule>
  </conditionalFormatting>
  <conditionalFormatting sqref="C2010">
    <cfRule type="cellIs" dxfId="74" priority="6025" stopIfTrue="1" operator="equal">
      <formula>"1 Modify"</formula>
    </cfRule>
  </conditionalFormatting>
  <conditionalFormatting sqref="C2010">
    <cfRule type="cellIs" dxfId="73" priority="6026" stopIfTrue="1" operator="equal">
      <formula>"2 Add"</formula>
    </cfRule>
  </conditionalFormatting>
  <conditionalFormatting sqref="C2010">
    <cfRule type="cellIs" dxfId="72" priority="6027" stopIfTrue="1" operator="equal">
      <formula>"3 Delete"</formula>
    </cfRule>
  </conditionalFormatting>
  <conditionalFormatting sqref="C2011">
    <cfRule type="cellIs" dxfId="71" priority="6028" stopIfTrue="1" operator="equal">
      <formula>"1 Modify"</formula>
    </cfRule>
  </conditionalFormatting>
  <conditionalFormatting sqref="C2011">
    <cfRule type="cellIs" dxfId="70" priority="6029" stopIfTrue="1" operator="equal">
      <formula>"2 Add"</formula>
    </cfRule>
  </conditionalFormatting>
  <conditionalFormatting sqref="C2011">
    <cfRule type="cellIs" dxfId="69" priority="6030" stopIfTrue="1" operator="equal">
      <formula>"3 Delete"</formula>
    </cfRule>
  </conditionalFormatting>
  <conditionalFormatting sqref="C2012">
    <cfRule type="cellIs" dxfId="68" priority="6031" stopIfTrue="1" operator="equal">
      <formula>"1 Modify"</formula>
    </cfRule>
  </conditionalFormatting>
  <conditionalFormatting sqref="C2012">
    <cfRule type="cellIs" dxfId="67" priority="6032" stopIfTrue="1" operator="equal">
      <formula>"2 Add"</formula>
    </cfRule>
  </conditionalFormatting>
  <conditionalFormatting sqref="C2012">
    <cfRule type="cellIs" dxfId="66" priority="6033" stopIfTrue="1" operator="equal">
      <formula>"3 Delete"</formula>
    </cfRule>
  </conditionalFormatting>
  <conditionalFormatting sqref="C2013">
    <cfRule type="cellIs" dxfId="65" priority="6034" stopIfTrue="1" operator="equal">
      <formula>"1 Modify"</formula>
    </cfRule>
  </conditionalFormatting>
  <conditionalFormatting sqref="C2013">
    <cfRule type="cellIs" dxfId="64" priority="6035" stopIfTrue="1" operator="equal">
      <formula>"2 Add"</formula>
    </cfRule>
  </conditionalFormatting>
  <conditionalFormatting sqref="C2013">
    <cfRule type="cellIs" dxfId="63" priority="6036" stopIfTrue="1" operator="equal">
      <formula>"3 Delete"</formula>
    </cfRule>
  </conditionalFormatting>
  <conditionalFormatting sqref="C2014">
    <cfRule type="cellIs" dxfId="62" priority="6037" stopIfTrue="1" operator="equal">
      <formula>"1 Modify"</formula>
    </cfRule>
  </conditionalFormatting>
  <conditionalFormatting sqref="C2014">
    <cfRule type="cellIs" dxfId="61" priority="6038" stopIfTrue="1" operator="equal">
      <formula>"2 Add"</formula>
    </cfRule>
  </conditionalFormatting>
  <conditionalFormatting sqref="C2014">
    <cfRule type="cellIs" dxfId="60" priority="6039" stopIfTrue="1" operator="equal">
      <formula>"3 Delete"</formula>
    </cfRule>
  </conditionalFormatting>
  <conditionalFormatting sqref="C2015">
    <cfRule type="cellIs" dxfId="59" priority="6040" stopIfTrue="1" operator="equal">
      <formula>"1 Modify"</formula>
    </cfRule>
  </conditionalFormatting>
  <conditionalFormatting sqref="C2015">
    <cfRule type="cellIs" dxfId="58" priority="6041" stopIfTrue="1" operator="equal">
      <formula>"2 Add"</formula>
    </cfRule>
  </conditionalFormatting>
  <conditionalFormatting sqref="C2015">
    <cfRule type="cellIs" dxfId="57" priority="6042" stopIfTrue="1" operator="equal">
      <formula>"3 Delete"</formula>
    </cfRule>
  </conditionalFormatting>
  <conditionalFormatting sqref="C2016">
    <cfRule type="cellIs" dxfId="56" priority="6043" stopIfTrue="1" operator="equal">
      <formula>"1 Modify"</formula>
    </cfRule>
  </conditionalFormatting>
  <conditionalFormatting sqref="C2016">
    <cfRule type="cellIs" dxfId="55" priority="6044" stopIfTrue="1" operator="equal">
      <formula>"2 Add"</formula>
    </cfRule>
  </conditionalFormatting>
  <conditionalFormatting sqref="C2016">
    <cfRule type="cellIs" dxfId="54" priority="6045" stopIfTrue="1" operator="equal">
      <formula>"3 Delete"</formula>
    </cfRule>
  </conditionalFormatting>
  <conditionalFormatting sqref="C2017">
    <cfRule type="cellIs" dxfId="53" priority="6046" stopIfTrue="1" operator="equal">
      <formula>"1 Modify"</formula>
    </cfRule>
  </conditionalFormatting>
  <conditionalFormatting sqref="C2017">
    <cfRule type="cellIs" dxfId="52" priority="6047" stopIfTrue="1" operator="equal">
      <formula>"2 Add"</formula>
    </cfRule>
  </conditionalFormatting>
  <conditionalFormatting sqref="C2017">
    <cfRule type="cellIs" dxfId="51" priority="6048" stopIfTrue="1" operator="equal">
      <formula>"3 Delete"</formula>
    </cfRule>
  </conditionalFormatting>
  <conditionalFormatting sqref="C2018">
    <cfRule type="cellIs" dxfId="50" priority="6049" stopIfTrue="1" operator="equal">
      <formula>"1 Modify"</formula>
    </cfRule>
  </conditionalFormatting>
  <conditionalFormatting sqref="C2018">
    <cfRule type="cellIs" dxfId="49" priority="6050" stopIfTrue="1" operator="equal">
      <formula>"2 Add"</formula>
    </cfRule>
  </conditionalFormatting>
  <conditionalFormatting sqref="C2018">
    <cfRule type="cellIs" dxfId="48" priority="6051" stopIfTrue="1" operator="equal">
      <formula>"3 Delete"</formula>
    </cfRule>
  </conditionalFormatting>
  <conditionalFormatting sqref="C2019">
    <cfRule type="cellIs" dxfId="47" priority="6052" stopIfTrue="1" operator="equal">
      <formula>"1 Modify"</formula>
    </cfRule>
  </conditionalFormatting>
  <conditionalFormatting sqref="C2019">
    <cfRule type="cellIs" dxfId="46" priority="6053" stopIfTrue="1" operator="equal">
      <formula>"2 Add"</formula>
    </cfRule>
  </conditionalFormatting>
  <conditionalFormatting sqref="C2019">
    <cfRule type="cellIs" dxfId="45" priority="6054" stopIfTrue="1" operator="equal">
      <formula>"3 Delete"</formula>
    </cfRule>
  </conditionalFormatting>
  <conditionalFormatting sqref="C2020">
    <cfRule type="cellIs" dxfId="44" priority="6055" stopIfTrue="1" operator="equal">
      <formula>"1 Modify"</formula>
    </cfRule>
  </conditionalFormatting>
  <conditionalFormatting sqref="C2020">
    <cfRule type="cellIs" dxfId="43" priority="6056" stopIfTrue="1" operator="equal">
      <formula>"2 Add"</formula>
    </cfRule>
  </conditionalFormatting>
  <conditionalFormatting sqref="C2020">
    <cfRule type="cellIs" dxfId="42" priority="6057" stopIfTrue="1" operator="equal">
      <formula>"3 Delete"</formula>
    </cfRule>
  </conditionalFormatting>
  <conditionalFormatting sqref="C2021">
    <cfRule type="cellIs" dxfId="41" priority="6058" stopIfTrue="1" operator="equal">
      <formula>"1 Modify"</formula>
    </cfRule>
  </conditionalFormatting>
  <conditionalFormatting sqref="C2021">
    <cfRule type="cellIs" dxfId="40" priority="6059" stopIfTrue="1" operator="equal">
      <formula>"2 Add"</formula>
    </cfRule>
  </conditionalFormatting>
  <conditionalFormatting sqref="C2021">
    <cfRule type="cellIs" dxfId="39" priority="6060" stopIfTrue="1" operator="equal">
      <formula>"3 Delete"</formula>
    </cfRule>
  </conditionalFormatting>
  <conditionalFormatting sqref="C2022">
    <cfRule type="cellIs" dxfId="38" priority="6061" stopIfTrue="1" operator="equal">
      <formula>"1 Modify"</formula>
    </cfRule>
  </conditionalFormatting>
  <conditionalFormatting sqref="C2022">
    <cfRule type="cellIs" dxfId="37" priority="6062" stopIfTrue="1" operator="equal">
      <formula>"2 Add"</formula>
    </cfRule>
  </conditionalFormatting>
  <conditionalFormatting sqref="C2022">
    <cfRule type="cellIs" dxfId="36" priority="6063" stopIfTrue="1" operator="equal">
      <formula>"3 Delete"</formula>
    </cfRule>
  </conditionalFormatting>
  <conditionalFormatting sqref="C2023">
    <cfRule type="cellIs" dxfId="35" priority="6064" stopIfTrue="1" operator="equal">
      <formula>"1 Modify"</formula>
    </cfRule>
  </conditionalFormatting>
  <conditionalFormatting sqref="C2023">
    <cfRule type="cellIs" dxfId="34" priority="6065" stopIfTrue="1" operator="equal">
      <formula>"2 Add"</formula>
    </cfRule>
  </conditionalFormatting>
  <conditionalFormatting sqref="C2023">
    <cfRule type="cellIs" dxfId="33" priority="6066" stopIfTrue="1" operator="equal">
      <formula>"3 Delete"</formula>
    </cfRule>
  </conditionalFormatting>
  <conditionalFormatting sqref="C2024">
    <cfRule type="cellIs" dxfId="32" priority="6067" stopIfTrue="1" operator="equal">
      <formula>"1 Modify"</formula>
    </cfRule>
  </conditionalFormatting>
  <conditionalFormatting sqref="C2024">
    <cfRule type="cellIs" dxfId="31" priority="6068" stopIfTrue="1" operator="equal">
      <formula>"2 Add"</formula>
    </cfRule>
  </conditionalFormatting>
  <conditionalFormatting sqref="C2024">
    <cfRule type="cellIs" dxfId="30" priority="6069" stopIfTrue="1" operator="equal">
      <formula>"3 Delete"</formula>
    </cfRule>
  </conditionalFormatting>
  <conditionalFormatting sqref="C2025">
    <cfRule type="cellIs" dxfId="29" priority="6070" stopIfTrue="1" operator="equal">
      <formula>"1 Modify"</formula>
    </cfRule>
  </conditionalFormatting>
  <conditionalFormatting sqref="C2025">
    <cfRule type="cellIs" dxfId="28" priority="6071" stopIfTrue="1" operator="equal">
      <formula>"2 Add"</formula>
    </cfRule>
  </conditionalFormatting>
  <conditionalFormatting sqref="C2025">
    <cfRule type="cellIs" dxfId="27" priority="6072" stopIfTrue="1" operator="equal">
      <formula>"3 Delete"</formula>
    </cfRule>
  </conditionalFormatting>
  <conditionalFormatting sqref="C2026">
    <cfRule type="cellIs" dxfId="26" priority="6073" stopIfTrue="1" operator="equal">
      <formula>"1 Modify"</formula>
    </cfRule>
  </conditionalFormatting>
  <conditionalFormatting sqref="C2026">
    <cfRule type="cellIs" dxfId="25" priority="6074" stopIfTrue="1" operator="equal">
      <formula>"2 Add"</formula>
    </cfRule>
  </conditionalFormatting>
  <conditionalFormatting sqref="C2026">
    <cfRule type="cellIs" dxfId="24" priority="6075" stopIfTrue="1" operator="equal">
      <formula>"3 Delete"</formula>
    </cfRule>
  </conditionalFormatting>
  <conditionalFormatting sqref="C2027">
    <cfRule type="cellIs" dxfId="23" priority="6076" stopIfTrue="1" operator="equal">
      <formula>"1 Modify"</formula>
    </cfRule>
  </conditionalFormatting>
  <conditionalFormatting sqref="C2027">
    <cfRule type="cellIs" dxfId="22" priority="6077" stopIfTrue="1" operator="equal">
      <formula>"2 Add"</formula>
    </cfRule>
  </conditionalFormatting>
  <conditionalFormatting sqref="C2027">
    <cfRule type="cellIs" dxfId="21" priority="6078" stopIfTrue="1" operator="equal">
      <formula>"3 Delete"</formula>
    </cfRule>
  </conditionalFormatting>
  <conditionalFormatting sqref="C2028">
    <cfRule type="cellIs" dxfId="20" priority="6079" stopIfTrue="1" operator="equal">
      <formula>"1 Modify"</formula>
    </cfRule>
  </conditionalFormatting>
  <conditionalFormatting sqref="C2028">
    <cfRule type="cellIs" dxfId="19" priority="6080" stopIfTrue="1" operator="equal">
      <formula>"2 Add"</formula>
    </cfRule>
  </conditionalFormatting>
  <conditionalFormatting sqref="C2028">
    <cfRule type="cellIs" dxfId="18" priority="6081" stopIfTrue="1" operator="equal">
      <formula>"3 Delete"</formula>
    </cfRule>
  </conditionalFormatting>
  <conditionalFormatting sqref="C2029">
    <cfRule type="cellIs" dxfId="17" priority="6082" stopIfTrue="1" operator="equal">
      <formula>"1 Modify"</formula>
    </cfRule>
  </conditionalFormatting>
  <conditionalFormatting sqref="C2029">
    <cfRule type="cellIs" dxfId="16" priority="6083" stopIfTrue="1" operator="equal">
      <formula>"2 Add"</formula>
    </cfRule>
  </conditionalFormatting>
  <conditionalFormatting sqref="C2029">
    <cfRule type="cellIs" dxfId="15" priority="6084" stopIfTrue="1" operator="equal">
      <formula>"3 Delete"</formula>
    </cfRule>
  </conditionalFormatting>
  <conditionalFormatting sqref="C2030">
    <cfRule type="cellIs" dxfId="14" priority="6085" stopIfTrue="1" operator="equal">
      <formula>"1 Modify"</formula>
    </cfRule>
  </conditionalFormatting>
  <conditionalFormatting sqref="C2030">
    <cfRule type="cellIs" dxfId="13" priority="6086" stopIfTrue="1" operator="equal">
      <formula>"2 Add"</formula>
    </cfRule>
  </conditionalFormatting>
  <conditionalFormatting sqref="C2030">
    <cfRule type="cellIs" dxfId="12" priority="6087" stopIfTrue="1" operator="equal">
      <formula>"3 Delete"</formula>
    </cfRule>
  </conditionalFormatting>
  <conditionalFormatting sqref="C2031">
    <cfRule type="cellIs" dxfId="11" priority="6088" stopIfTrue="1" operator="equal">
      <formula>"1 Modify"</formula>
    </cfRule>
  </conditionalFormatting>
  <conditionalFormatting sqref="C2031">
    <cfRule type="cellIs" dxfId="10" priority="6089" stopIfTrue="1" operator="equal">
      <formula>"2 Add"</formula>
    </cfRule>
  </conditionalFormatting>
  <conditionalFormatting sqref="C2031">
    <cfRule type="cellIs" dxfId="9" priority="6090" stopIfTrue="1" operator="equal">
      <formula>"3 Delete"</formula>
    </cfRule>
  </conditionalFormatting>
  <conditionalFormatting sqref="C2032">
    <cfRule type="cellIs" dxfId="8" priority="6091" stopIfTrue="1" operator="equal">
      <formula>"1 Modify"</formula>
    </cfRule>
  </conditionalFormatting>
  <conditionalFormatting sqref="C2032">
    <cfRule type="cellIs" dxfId="7" priority="6092" stopIfTrue="1" operator="equal">
      <formula>"2 Add"</formula>
    </cfRule>
  </conditionalFormatting>
  <conditionalFormatting sqref="C2032">
    <cfRule type="cellIs" dxfId="6" priority="6093" stopIfTrue="1" operator="equal">
      <formula>"3 Delete"</formula>
    </cfRule>
  </conditionalFormatting>
  <conditionalFormatting sqref="C2033">
    <cfRule type="cellIs" dxfId="5" priority="6094" stopIfTrue="1" operator="equal">
      <formula>"1 Modify"</formula>
    </cfRule>
  </conditionalFormatting>
  <conditionalFormatting sqref="C2033">
    <cfRule type="cellIs" dxfId="4" priority="6095" stopIfTrue="1" operator="equal">
      <formula>"2 Add"</formula>
    </cfRule>
  </conditionalFormatting>
  <conditionalFormatting sqref="C2033">
    <cfRule type="cellIs" dxfId="3" priority="6096" stopIfTrue="1" operator="equal">
      <formula>"3 Delete"</formula>
    </cfRule>
  </conditionalFormatting>
  <conditionalFormatting sqref="C2034">
    <cfRule type="cellIs" dxfId="2" priority="6097" stopIfTrue="1" operator="equal">
      <formula>"1 Modify"</formula>
    </cfRule>
  </conditionalFormatting>
  <conditionalFormatting sqref="C2034">
    <cfRule type="cellIs" dxfId="1" priority="6098" stopIfTrue="1" operator="equal">
      <formula>"2 Add"</formula>
    </cfRule>
  </conditionalFormatting>
  <conditionalFormatting sqref="C2034">
    <cfRule type="cellIs" dxfId="0" priority="6099" stopIfTrue="1" operator="equal">
      <formula>"3 Delete"</formula>
    </cfRule>
  </conditionalFormatting>
  <dataValidations count="18">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is read-only" sqref="E2:E1048576">
      <formula1>FALSE</formula1>
    </dataValidation>
    <dataValidation type="custom" allowBlank="1" showInputMessage="1" showErrorMessage="1" error="Column Headers are read-only" sqref="E1">
      <formula1>FALSE</formula1>
    </dataValidation>
    <dataValidation type="list" allowBlank="1" showInputMessage="1" showErrorMessage="1" error="Value is a foreign key" sqref="F2:F1048576">
      <formula1>Options__order_id</formula1>
    </dataValidation>
    <dataValidation type="custom" allowBlank="1" showInputMessage="1" showErrorMessage="1" error="Column Headers are read-only" sqref="F1">
      <formula1>FALSE</formula1>
    </dataValidation>
    <dataValidation type="list" allowBlank="1" showInputMessage="1" showErrorMessage="1" error="Value is a foreign key" sqref="G2:G1048576">
      <formula1>Options__product_id</formula1>
    </dataValidation>
    <dataValidation type="custom" allowBlank="1" showInputMessage="1" showErrorMessage="1" error="Column Headers are read-only" sqref="G1">
      <formula1>FALSE</formula1>
    </dataValidation>
    <dataValidation type="decimal" operator="greaterThan" allowBlank="1" showInputMessage="1" showErrorMessage="1" error="Value must be a Decimal Number" sqref="H2:H1048576">
      <formula1>-999999</formula1>
    </dataValidation>
    <dataValidation type="custom" allowBlank="1" showInputMessage="1" showErrorMessage="1" error="Column Headers are read-only" sqref="H1">
      <formula1>FALSE</formula1>
    </dataValidation>
    <dataValidation type="whole" operator="greaterThan" allowBlank="1" showInputMessage="1" showErrorMessage="1" error="Value must be an Integer" sqref="I2:I1048576">
      <formula1>-999999</formula1>
    </dataValidation>
    <dataValidation type="custom" allowBlank="1" showInputMessage="1" showErrorMessage="1" error="Column Headers are read-only" sqref="I1">
      <formula1>FALSE</formula1>
    </dataValidation>
    <dataValidation type="custom" allowBlank="1" showInputMessage="1" showErrorMessage="1" error="Column Headers are read-only" sqref="J1">
      <formula1>FALSE</formula1>
    </dataValidation>
    <dataValidation type="date" operator="greaterThan" allowBlank="1" showInputMessage="1" showErrorMessage="1" error="Value must be a Date" sqref="K2:K1048576">
      <formula1>1</formula1>
    </dataValidation>
    <dataValidation type="custom" allowBlank="1" showInputMessage="1" showErrorMessage="1" error="Column Headers are read-only" sqref="K1">
      <formula1>FALSE</formula1>
    </dataValidation>
    <dataValidation type="custom" allowBlank="1" showInputMessage="1" showErrorMessage="1" error="Column Headers are read-only" sqref="A1">
      <formula1>FALSE</formula1>
    </dataValidation>
  </dataValidations>
  <hyperlinks>
    <hyperlink ref="A2" tooltip="macro:RefreshSheet" display="Refresh"/>
    <hyperlink ref="A3" tooltip="macro:SaveActiveSheet" display="Save"/>
  </hyperlink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2"/>
  <sheetViews>
    <sheetView tabSelected="1" topLeftCell="A93" workbookViewId="0">
      <selection activeCell="A102" sqref="A102"/>
    </sheetView>
  </sheetViews>
  <sheetFormatPr baseColWidth="10" defaultRowHeight="15" x14ac:dyDescent="0.25"/>
  <cols>
    <col min="1" max="1" width="68.85546875" bestFit="1" customWidth="1"/>
    <col min="2" max="2" width="22.42578125" bestFit="1" customWidth="1"/>
    <col min="3" max="5" width="8" bestFit="1" customWidth="1"/>
    <col min="6" max="6" width="7.7109375" bestFit="1" customWidth="1"/>
    <col min="7" max="25" width="8" bestFit="1" customWidth="1"/>
    <col min="26" max="26" width="12.5703125" bestFit="1" customWidth="1"/>
  </cols>
  <sheetData>
    <row r="1" spans="1:26" x14ac:dyDescent="0.25">
      <c r="A1" s="18" t="s">
        <v>4499</v>
      </c>
      <c r="B1" s="18" t="s">
        <v>4494</v>
      </c>
    </row>
    <row r="2" spans="1:26" x14ac:dyDescent="0.25">
      <c r="A2" s="18" t="s">
        <v>4492</v>
      </c>
      <c r="B2" t="s">
        <v>4497</v>
      </c>
      <c r="C2" t="s">
        <v>4501</v>
      </c>
      <c r="D2" t="s">
        <v>4502</v>
      </c>
      <c r="E2" t="s">
        <v>4503</v>
      </c>
      <c r="F2" t="s">
        <v>4504</v>
      </c>
      <c r="G2" t="s">
        <v>4505</v>
      </c>
      <c r="H2" t="s">
        <v>4506</v>
      </c>
      <c r="I2" t="s">
        <v>4507</v>
      </c>
      <c r="J2" t="s">
        <v>4508</v>
      </c>
      <c r="K2" t="s">
        <v>4509</v>
      </c>
      <c r="L2" t="s">
        <v>4510</v>
      </c>
      <c r="M2" t="s">
        <v>4511</v>
      </c>
      <c r="N2" t="s">
        <v>4512</v>
      </c>
      <c r="O2" t="s">
        <v>4513</v>
      </c>
      <c r="P2" t="s">
        <v>4514</v>
      </c>
      <c r="Q2" t="s">
        <v>4515</v>
      </c>
      <c r="R2" t="s">
        <v>4516</v>
      </c>
      <c r="S2" t="s">
        <v>4517</v>
      </c>
      <c r="T2" t="s">
        <v>4518</v>
      </c>
      <c r="U2" t="s">
        <v>4519</v>
      </c>
      <c r="V2" t="s">
        <v>4520</v>
      </c>
      <c r="W2" t="s">
        <v>4521</v>
      </c>
      <c r="X2" t="s">
        <v>4522</v>
      </c>
      <c r="Y2" t="s">
        <v>4523</v>
      </c>
      <c r="Z2" t="s">
        <v>4493</v>
      </c>
    </row>
    <row r="3" spans="1:26" x14ac:dyDescent="0.25">
      <c r="A3" s="19" t="s">
        <v>131</v>
      </c>
      <c r="B3" s="17"/>
      <c r="C3" s="17">
        <v>33.950000000000003</v>
      </c>
      <c r="D3" s="17"/>
      <c r="E3" s="17">
        <v>20.97</v>
      </c>
      <c r="F3" s="17"/>
      <c r="G3" s="17"/>
      <c r="H3" s="17"/>
      <c r="I3" s="17"/>
      <c r="J3" s="17"/>
      <c r="K3" s="17"/>
      <c r="L3" s="17"/>
      <c r="M3" s="17"/>
      <c r="N3" s="17"/>
      <c r="O3" s="17"/>
      <c r="P3" s="17"/>
      <c r="Q3" s="17"/>
      <c r="R3" s="17"/>
      <c r="S3" s="17"/>
      <c r="T3" s="17"/>
      <c r="U3" s="17"/>
      <c r="V3" s="17">
        <v>10.98</v>
      </c>
      <c r="W3" s="17"/>
      <c r="X3" s="17"/>
      <c r="Y3" s="17"/>
      <c r="Z3" s="17">
        <v>65.900000000000006</v>
      </c>
    </row>
    <row r="4" spans="1:26" x14ac:dyDescent="0.25">
      <c r="A4" s="19" t="s">
        <v>347</v>
      </c>
      <c r="B4" s="17"/>
      <c r="C4" s="17">
        <v>44.930000000000007</v>
      </c>
      <c r="D4" s="17">
        <v>15.98</v>
      </c>
      <c r="E4" s="17">
        <v>20.96</v>
      </c>
      <c r="F4" s="17">
        <v>57.92</v>
      </c>
      <c r="G4" s="17"/>
      <c r="H4" s="17">
        <v>37.96</v>
      </c>
      <c r="I4" s="17">
        <v>12.98</v>
      </c>
      <c r="J4" s="17">
        <v>84.88</v>
      </c>
      <c r="K4" s="17">
        <v>24.97</v>
      </c>
      <c r="L4" s="17">
        <v>105.86</v>
      </c>
      <c r="M4" s="17"/>
      <c r="N4" s="17"/>
      <c r="O4" s="17">
        <v>42.93</v>
      </c>
      <c r="P4" s="17"/>
      <c r="Q4" s="17"/>
      <c r="R4" s="17">
        <v>54.91</v>
      </c>
      <c r="S4" s="17"/>
      <c r="T4" s="17"/>
      <c r="U4" s="17"/>
      <c r="V4" s="17"/>
      <c r="W4" s="17"/>
      <c r="X4" s="17"/>
      <c r="Y4" s="17">
        <v>28.96</v>
      </c>
      <c r="Z4" s="17">
        <v>533.24000000000012</v>
      </c>
    </row>
    <row r="5" spans="1:26" x14ac:dyDescent="0.25">
      <c r="A5" s="19" t="s">
        <v>269</v>
      </c>
      <c r="B5" s="17"/>
      <c r="C5" s="17"/>
      <c r="D5" s="17"/>
      <c r="E5" s="17"/>
      <c r="F5" s="17">
        <v>35.94</v>
      </c>
      <c r="G5" s="17"/>
      <c r="H5" s="17"/>
      <c r="I5" s="17"/>
      <c r="J5" s="17"/>
      <c r="K5" s="17">
        <v>5.99</v>
      </c>
      <c r="L5" s="17"/>
      <c r="M5" s="17"/>
      <c r="N5" s="17">
        <v>24.97</v>
      </c>
      <c r="O5" s="17"/>
      <c r="P5" s="17"/>
      <c r="Q5" s="17"/>
      <c r="R5" s="17"/>
      <c r="S5" s="17"/>
      <c r="T5" s="17"/>
      <c r="U5" s="17"/>
      <c r="V5" s="17"/>
      <c r="W5" s="17"/>
      <c r="X5" s="17"/>
      <c r="Y5" s="17"/>
      <c r="Z5" s="17">
        <v>66.900000000000006</v>
      </c>
    </row>
    <row r="6" spans="1:26" x14ac:dyDescent="0.25">
      <c r="A6" s="19" t="s">
        <v>113</v>
      </c>
      <c r="B6" s="17"/>
      <c r="C6" s="17"/>
      <c r="D6" s="17">
        <v>29.97</v>
      </c>
      <c r="E6" s="17">
        <v>53.92</v>
      </c>
      <c r="F6" s="17"/>
      <c r="G6" s="17">
        <v>94.88</v>
      </c>
      <c r="H6" s="17"/>
      <c r="I6" s="17"/>
      <c r="J6" s="17">
        <v>46.95</v>
      </c>
      <c r="K6" s="17"/>
      <c r="L6" s="17"/>
      <c r="M6" s="17"/>
      <c r="N6" s="17"/>
      <c r="O6" s="17"/>
      <c r="P6" s="17"/>
      <c r="Q6" s="17"/>
      <c r="R6" s="17"/>
      <c r="S6" s="17"/>
      <c r="T6" s="17"/>
      <c r="U6" s="17"/>
      <c r="V6" s="17"/>
      <c r="W6" s="17"/>
      <c r="X6" s="17"/>
      <c r="Y6" s="17"/>
      <c r="Z6" s="17">
        <v>225.71999999999997</v>
      </c>
    </row>
    <row r="7" spans="1:26" x14ac:dyDescent="0.25">
      <c r="A7" s="19" t="s">
        <v>197</v>
      </c>
      <c r="B7" s="17"/>
      <c r="C7" s="17"/>
      <c r="D7" s="17">
        <v>33.950000000000003</v>
      </c>
      <c r="E7" s="17"/>
      <c r="F7" s="17"/>
      <c r="G7" s="17"/>
      <c r="H7" s="17"/>
      <c r="I7" s="17"/>
      <c r="J7" s="17"/>
      <c r="K7" s="17"/>
      <c r="L7" s="17"/>
      <c r="M7" s="17">
        <v>10.98</v>
      </c>
      <c r="N7" s="17"/>
      <c r="O7" s="17"/>
      <c r="P7" s="17"/>
      <c r="Q7" s="17"/>
      <c r="R7" s="17"/>
      <c r="S7" s="17"/>
      <c r="T7" s="17"/>
      <c r="U7" s="17"/>
      <c r="V7" s="17"/>
      <c r="W7" s="17">
        <v>33.96</v>
      </c>
      <c r="X7" s="17">
        <v>15.97</v>
      </c>
      <c r="Y7" s="17"/>
      <c r="Z7" s="17">
        <v>94.860000000000014</v>
      </c>
    </row>
    <row r="8" spans="1:26" x14ac:dyDescent="0.25">
      <c r="A8" s="19" t="s">
        <v>224</v>
      </c>
      <c r="B8" s="17"/>
      <c r="C8" s="17"/>
      <c r="D8" s="17">
        <v>71.900000000000006</v>
      </c>
      <c r="E8" s="17">
        <v>36.96</v>
      </c>
      <c r="F8" s="17">
        <v>61.91</v>
      </c>
      <c r="G8" s="17">
        <v>68.92</v>
      </c>
      <c r="H8" s="17">
        <v>43.95</v>
      </c>
      <c r="I8" s="17"/>
      <c r="J8" s="17">
        <v>15.98</v>
      </c>
      <c r="K8" s="17"/>
      <c r="L8" s="17">
        <v>4.99</v>
      </c>
      <c r="M8" s="17"/>
      <c r="N8" s="17">
        <v>42.95</v>
      </c>
      <c r="O8" s="17">
        <v>23.97</v>
      </c>
      <c r="P8" s="17">
        <v>21.97</v>
      </c>
      <c r="Q8" s="17"/>
      <c r="R8" s="17"/>
      <c r="S8" s="17"/>
      <c r="T8" s="17">
        <v>51.94</v>
      </c>
      <c r="U8" s="17">
        <v>27.97</v>
      </c>
      <c r="V8" s="17">
        <v>23.96</v>
      </c>
      <c r="W8" s="17">
        <v>66.92</v>
      </c>
      <c r="X8" s="17"/>
      <c r="Y8" s="17">
        <v>43.93</v>
      </c>
      <c r="Z8" s="17">
        <v>608.21999999999991</v>
      </c>
    </row>
    <row r="9" spans="1:26" x14ac:dyDescent="0.25">
      <c r="A9" s="19" t="s">
        <v>212</v>
      </c>
      <c r="B9" s="17"/>
      <c r="C9" s="17">
        <v>36.96</v>
      </c>
      <c r="D9" s="17">
        <v>56.930000000000007</v>
      </c>
      <c r="E9" s="17"/>
      <c r="F9" s="17">
        <v>40.950000000000003</v>
      </c>
      <c r="G9" s="17">
        <v>15.98</v>
      </c>
      <c r="H9" s="17"/>
      <c r="I9" s="17">
        <v>27.97</v>
      </c>
      <c r="J9" s="17"/>
      <c r="K9" s="17">
        <v>40.950000000000003</v>
      </c>
      <c r="L9" s="17"/>
      <c r="M9" s="17"/>
      <c r="N9" s="17"/>
      <c r="O9" s="17">
        <v>230.68</v>
      </c>
      <c r="P9" s="17">
        <v>42.94</v>
      </c>
      <c r="Q9" s="17">
        <v>192.75</v>
      </c>
      <c r="R9" s="17"/>
      <c r="S9" s="17">
        <v>14.98</v>
      </c>
      <c r="T9" s="17">
        <v>102.88</v>
      </c>
      <c r="U9" s="17"/>
      <c r="V9" s="17"/>
      <c r="W9" s="17">
        <v>49.930000000000007</v>
      </c>
      <c r="X9" s="17">
        <v>5.99</v>
      </c>
      <c r="Y9" s="17"/>
      <c r="Z9" s="17">
        <v>859.8900000000001</v>
      </c>
    </row>
    <row r="10" spans="1:26" x14ac:dyDescent="0.25">
      <c r="A10" s="19" t="s">
        <v>65</v>
      </c>
      <c r="B10" s="17"/>
      <c r="C10" s="17">
        <v>14.97</v>
      </c>
      <c r="D10" s="17"/>
      <c r="E10" s="17">
        <v>33.96</v>
      </c>
      <c r="F10" s="17"/>
      <c r="G10" s="17"/>
      <c r="H10" s="17">
        <v>15.98</v>
      </c>
      <c r="I10" s="17">
        <v>7.99</v>
      </c>
      <c r="J10" s="17">
        <v>27.96</v>
      </c>
      <c r="K10" s="17"/>
      <c r="L10" s="17">
        <v>7.99</v>
      </c>
      <c r="M10" s="17"/>
      <c r="N10" s="17">
        <v>63.93</v>
      </c>
      <c r="O10" s="17">
        <v>148.79999999999998</v>
      </c>
      <c r="P10" s="17">
        <v>74.92</v>
      </c>
      <c r="Q10" s="17">
        <v>191.75000000000003</v>
      </c>
      <c r="R10" s="17">
        <v>12.98</v>
      </c>
      <c r="S10" s="17"/>
      <c r="T10" s="17">
        <v>33.94</v>
      </c>
      <c r="U10" s="17">
        <v>40.950000000000003</v>
      </c>
      <c r="V10" s="17"/>
      <c r="W10" s="17"/>
      <c r="X10" s="17">
        <v>33.96</v>
      </c>
      <c r="Y10" s="17">
        <v>16.98</v>
      </c>
      <c r="Z10" s="17">
        <v>727.06000000000017</v>
      </c>
    </row>
    <row r="11" spans="1:26" x14ac:dyDescent="0.25">
      <c r="A11" s="19" t="s">
        <v>218</v>
      </c>
      <c r="B11" s="17"/>
      <c r="C11" s="17"/>
      <c r="D11" s="17"/>
      <c r="E11" s="17"/>
      <c r="F11" s="17"/>
      <c r="G11" s="17"/>
      <c r="H11" s="17"/>
      <c r="I11" s="17">
        <v>32.950000000000003</v>
      </c>
      <c r="J11" s="17">
        <v>27.96</v>
      </c>
      <c r="K11" s="17">
        <v>57.92</v>
      </c>
      <c r="L11" s="17"/>
      <c r="M11" s="17"/>
      <c r="N11" s="17"/>
      <c r="O11" s="17"/>
      <c r="P11" s="17">
        <v>81.89</v>
      </c>
      <c r="Q11" s="17">
        <v>5.99</v>
      </c>
      <c r="R11" s="17">
        <v>53.94</v>
      </c>
      <c r="S11" s="17"/>
      <c r="T11" s="17">
        <v>78.900000000000006</v>
      </c>
      <c r="U11" s="17"/>
      <c r="V11" s="17"/>
      <c r="W11" s="17">
        <v>52.93</v>
      </c>
      <c r="X11" s="17"/>
      <c r="Y11" s="17">
        <v>58.92</v>
      </c>
      <c r="Z11" s="17">
        <v>451.40000000000009</v>
      </c>
    </row>
    <row r="12" spans="1:26" x14ac:dyDescent="0.25">
      <c r="A12" s="19" t="s">
        <v>203</v>
      </c>
      <c r="B12" s="17"/>
      <c r="C12" s="17">
        <v>13.98</v>
      </c>
      <c r="D12" s="17">
        <v>60.92</v>
      </c>
      <c r="E12" s="17"/>
      <c r="F12" s="17"/>
      <c r="G12" s="17"/>
      <c r="H12" s="17"/>
      <c r="I12" s="17"/>
      <c r="J12" s="17">
        <v>13.98</v>
      </c>
      <c r="K12" s="17">
        <v>5.99</v>
      </c>
      <c r="L12" s="17"/>
      <c r="M12" s="17"/>
      <c r="N12" s="17"/>
      <c r="O12" s="17">
        <v>90.89</v>
      </c>
      <c r="P12" s="17"/>
      <c r="Q12" s="17">
        <v>67.92</v>
      </c>
      <c r="R12" s="17">
        <v>8.99</v>
      </c>
      <c r="S12" s="17">
        <v>51.93</v>
      </c>
      <c r="T12" s="17">
        <v>48.93</v>
      </c>
      <c r="U12" s="17"/>
      <c r="V12" s="17">
        <v>17.98</v>
      </c>
      <c r="W12" s="17">
        <v>29.96</v>
      </c>
      <c r="X12" s="17"/>
      <c r="Y12" s="17"/>
      <c r="Z12" s="17">
        <v>411.47</v>
      </c>
    </row>
    <row r="13" spans="1:26" x14ac:dyDescent="0.25">
      <c r="A13" s="19" t="s">
        <v>128</v>
      </c>
      <c r="B13" s="17"/>
      <c r="C13" s="17"/>
      <c r="D13" s="17"/>
      <c r="E13" s="17"/>
      <c r="F13" s="17"/>
      <c r="G13" s="17">
        <v>32.96</v>
      </c>
      <c r="H13" s="17">
        <v>75.900000000000006</v>
      </c>
      <c r="I13" s="17"/>
      <c r="J13" s="17"/>
      <c r="K13" s="17"/>
      <c r="L13" s="17"/>
      <c r="M13" s="17">
        <v>16.98</v>
      </c>
      <c r="N13" s="17"/>
      <c r="O13" s="17">
        <v>159.79999999999998</v>
      </c>
      <c r="P13" s="17">
        <v>120.83</v>
      </c>
      <c r="Q13" s="17">
        <v>253.67000000000002</v>
      </c>
      <c r="R13" s="17"/>
      <c r="S13" s="17">
        <v>61.91</v>
      </c>
      <c r="T13" s="17"/>
      <c r="U13" s="17"/>
      <c r="V13" s="17"/>
      <c r="W13" s="17"/>
      <c r="X13" s="17">
        <v>62.91</v>
      </c>
      <c r="Y13" s="17">
        <v>29.96</v>
      </c>
      <c r="Z13" s="17">
        <v>814.92</v>
      </c>
    </row>
    <row r="14" spans="1:26" x14ac:dyDescent="0.25">
      <c r="A14" s="19" t="s">
        <v>209</v>
      </c>
      <c r="B14" s="17"/>
      <c r="C14" s="17"/>
      <c r="D14" s="17"/>
      <c r="E14" s="17"/>
      <c r="F14" s="17"/>
      <c r="G14" s="17"/>
      <c r="H14" s="17"/>
      <c r="I14" s="17"/>
      <c r="J14" s="17"/>
      <c r="K14" s="17"/>
      <c r="L14" s="17"/>
      <c r="M14" s="17"/>
      <c r="N14" s="17"/>
      <c r="O14" s="17">
        <v>21.96</v>
      </c>
      <c r="P14" s="17"/>
      <c r="Q14" s="17"/>
      <c r="R14" s="17"/>
      <c r="S14" s="17"/>
      <c r="T14" s="17"/>
      <c r="U14" s="17"/>
      <c r="V14" s="17">
        <v>54.92</v>
      </c>
      <c r="W14" s="17"/>
      <c r="X14" s="17"/>
      <c r="Y14" s="17">
        <v>21.97</v>
      </c>
      <c r="Z14" s="17">
        <v>98.85</v>
      </c>
    </row>
    <row r="15" spans="1:26" x14ac:dyDescent="0.25">
      <c r="A15" s="19" t="s">
        <v>260</v>
      </c>
      <c r="B15" s="17"/>
      <c r="C15" s="17">
        <v>159.78</v>
      </c>
      <c r="D15" s="17">
        <v>90.89</v>
      </c>
      <c r="E15" s="17">
        <v>49.95</v>
      </c>
      <c r="F15" s="17">
        <v>49.94</v>
      </c>
      <c r="G15" s="17">
        <v>95.87</v>
      </c>
      <c r="H15" s="17">
        <v>16.98</v>
      </c>
      <c r="I15" s="17">
        <v>153.81</v>
      </c>
      <c r="J15" s="17">
        <v>89.88</v>
      </c>
      <c r="K15" s="17">
        <v>43.95</v>
      </c>
      <c r="L15" s="17">
        <v>161.81</v>
      </c>
      <c r="M15" s="17">
        <v>203.74</v>
      </c>
      <c r="N15" s="17">
        <v>197.74</v>
      </c>
      <c r="O15" s="17">
        <v>19.97</v>
      </c>
      <c r="P15" s="17"/>
      <c r="Q15" s="17">
        <v>112.87</v>
      </c>
      <c r="R15" s="17">
        <v>70.900000000000006</v>
      </c>
      <c r="S15" s="17">
        <v>21.97</v>
      </c>
      <c r="T15" s="17">
        <v>101.88</v>
      </c>
      <c r="U15" s="17">
        <v>74.91</v>
      </c>
      <c r="V15" s="17"/>
      <c r="W15" s="17">
        <v>182.79</v>
      </c>
      <c r="X15" s="17">
        <v>34.950000000000003</v>
      </c>
      <c r="Y15" s="17">
        <v>55.94</v>
      </c>
      <c r="Z15" s="17">
        <v>1990.5200000000004</v>
      </c>
    </row>
    <row r="16" spans="1:26" x14ac:dyDescent="0.25">
      <c r="A16" s="19" t="s">
        <v>80</v>
      </c>
      <c r="B16" s="17"/>
      <c r="C16" s="17"/>
      <c r="D16" s="17"/>
      <c r="E16" s="17"/>
      <c r="F16" s="17"/>
      <c r="G16" s="17"/>
      <c r="H16" s="17"/>
      <c r="I16" s="17">
        <v>26.97</v>
      </c>
      <c r="J16" s="17"/>
      <c r="K16" s="17">
        <v>78.89</v>
      </c>
      <c r="L16" s="17"/>
      <c r="M16" s="17"/>
      <c r="N16" s="17"/>
      <c r="O16" s="17"/>
      <c r="P16" s="17"/>
      <c r="Q16" s="17"/>
      <c r="R16" s="17">
        <v>15.98</v>
      </c>
      <c r="S16" s="17"/>
      <c r="T16" s="17">
        <v>19.97</v>
      </c>
      <c r="U16" s="17">
        <v>100.88</v>
      </c>
      <c r="V16" s="17"/>
      <c r="W16" s="17"/>
      <c r="X16" s="17">
        <v>13.98</v>
      </c>
      <c r="Y16" s="17"/>
      <c r="Z16" s="17">
        <v>256.67</v>
      </c>
    </row>
    <row r="17" spans="1:26" x14ac:dyDescent="0.25">
      <c r="A17" s="19" t="s">
        <v>242</v>
      </c>
      <c r="B17" s="17"/>
      <c r="C17" s="17"/>
      <c r="D17" s="17">
        <v>34.950000000000003</v>
      </c>
      <c r="E17" s="17">
        <v>103.85</v>
      </c>
      <c r="F17" s="17">
        <v>38.950000000000003</v>
      </c>
      <c r="G17" s="17">
        <v>54.910000000000004</v>
      </c>
      <c r="H17" s="17">
        <v>42.94</v>
      </c>
      <c r="I17" s="17">
        <v>25.96</v>
      </c>
      <c r="J17" s="17">
        <v>165.79000000000002</v>
      </c>
      <c r="K17" s="17">
        <v>15.97</v>
      </c>
      <c r="L17" s="17">
        <v>20.97</v>
      </c>
      <c r="M17" s="17">
        <v>56.93</v>
      </c>
      <c r="N17" s="17">
        <v>30.95</v>
      </c>
      <c r="O17" s="17">
        <v>62.91</v>
      </c>
      <c r="P17" s="17">
        <v>102.86000000000001</v>
      </c>
      <c r="Q17" s="17">
        <v>29.96</v>
      </c>
      <c r="R17" s="17">
        <v>317.61999999999995</v>
      </c>
      <c r="S17" s="17"/>
      <c r="T17" s="17">
        <v>148.80000000000001</v>
      </c>
      <c r="U17" s="17">
        <v>184.75</v>
      </c>
      <c r="V17" s="17">
        <v>195.74</v>
      </c>
      <c r="W17" s="17">
        <v>158.79999999999998</v>
      </c>
      <c r="X17" s="17">
        <v>82.89</v>
      </c>
      <c r="Y17" s="17"/>
      <c r="Z17" s="17">
        <v>1876.5</v>
      </c>
    </row>
    <row r="18" spans="1:26" x14ac:dyDescent="0.25">
      <c r="A18" s="19" t="s">
        <v>338</v>
      </c>
      <c r="B18" s="17"/>
      <c r="C18" s="17"/>
      <c r="D18" s="17">
        <v>44.94</v>
      </c>
      <c r="E18" s="17"/>
      <c r="F18" s="17">
        <v>46.93</v>
      </c>
      <c r="G18" s="17"/>
      <c r="H18" s="17">
        <v>35.950000000000003</v>
      </c>
      <c r="I18" s="17">
        <v>84.9</v>
      </c>
      <c r="J18" s="17">
        <v>44.94</v>
      </c>
      <c r="K18" s="17">
        <v>38.950000000000003</v>
      </c>
      <c r="L18" s="17"/>
      <c r="M18" s="17"/>
      <c r="N18" s="17"/>
      <c r="O18" s="17"/>
      <c r="P18" s="17">
        <v>41.94</v>
      </c>
      <c r="Q18" s="17"/>
      <c r="R18" s="17">
        <v>41.94</v>
      </c>
      <c r="S18" s="17">
        <v>16.98</v>
      </c>
      <c r="T18" s="17"/>
      <c r="U18" s="17"/>
      <c r="V18" s="17"/>
      <c r="W18" s="17"/>
      <c r="X18" s="17">
        <v>28.96</v>
      </c>
      <c r="Y18" s="17"/>
      <c r="Z18" s="17">
        <v>426.43</v>
      </c>
    </row>
    <row r="19" spans="1:26" x14ac:dyDescent="0.25">
      <c r="A19" s="19" t="s">
        <v>323</v>
      </c>
      <c r="B19" s="17"/>
      <c r="C19" s="17"/>
      <c r="D19" s="17"/>
      <c r="E19" s="17"/>
      <c r="F19" s="17"/>
      <c r="G19" s="17"/>
      <c r="H19" s="17"/>
      <c r="I19" s="17"/>
      <c r="J19" s="17"/>
      <c r="K19" s="17"/>
      <c r="L19" s="17"/>
      <c r="M19" s="17"/>
      <c r="N19" s="17"/>
      <c r="O19" s="17">
        <v>195.75</v>
      </c>
      <c r="P19" s="17">
        <v>56.92</v>
      </c>
      <c r="Q19" s="17">
        <v>40.950000000000003</v>
      </c>
      <c r="R19" s="17"/>
      <c r="S19" s="17"/>
      <c r="T19" s="17"/>
      <c r="U19" s="17"/>
      <c r="V19" s="17"/>
      <c r="W19" s="17"/>
      <c r="X19" s="17"/>
      <c r="Y19" s="17"/>
      <c r="Z19" s="17">
        <v>293.62</v>
      </c>
    </row>
    <row r="20" spans="1:26" x14ac:dyDescent="0.25">
      <c r="A20" s="19" t="s">
        <v>122</v>
      </c>
      <c r="B20" s="17"/>
      <c r="C20" s="17"/>
      <c r="D20" s="17">
        <v>49.94</v>
      </c>
      <c r="E20" s="17"/>
      <c r="F20" s="17"/>
      <c r="G20" s="17"/>
      <c r="H20" s="17"/>
      <c r="I20" s="17"/>
      <c r="J20" s="17"/>
      <c r="K20" s="17"/>
      <c r="L20" s="17"/>
      <c r="M20" s="17"/>
      <c r="N20" s="17"/>
      <c r="O20" s="17"/>
      <c r="P20" s="17"/>
      <c r="Q20" s="17"/>
      <c r="R20" s="17">
        <v>30.95</v>
      </c>
      <c r="S20" s="17"/>
      <c r="T20" s="17"/>
      <c r="U20" s="17">
        <v>11.98</v>
      </c>
      <c r="V20" s="17"/>
      <c r="W20" s="17"/>
      <c r="X20" s="17"/>
      <c r="Y20" s="17"/>
      <c r="Z20" s="17">
        <v>92.87</v>
      </c>
    </row>
    <row r="21" spans="1:26" x14ac:dyDescent="0.25">
      <c r="A21" s="19" t="s">
        <v>107</v>
      </c>
      <c r="B21" s="17"/>
      <c r="C21" s="17"/>
      <c r="D21" s="17"/>
      <c r="E21" s="17"/>
      <c r="F21" s="17">
        <v>22.97</v>
      </c>
      <c r="G21" s="17"/>
      <c r="H21" s="17"/>
      <c r="I21" s="17"/>
      <c r="J21" s="17"/>
      <c r="K21" s="17"/>
      <c r="L21" s="17"/>
      <c r="M21" s="17"/>
      <c r="N21" s="17"/>
      <c r="O21" s="17"/>
      <c r="P21" s="17"/>
      <c r="Q21" s="17"/>
      <c r="R21" s="17"/>
      <c r="S21" s="17"/>
      <c r="T21" s="17"/>
      <c r="U21" s="17"/>
      <c r="V21" s="17"/>
      <c r="W21" s="17"/>
      <c r="X21" s="17"/>
      <c r="Y21" s="17"/>
      <c r="Z21" s="17">
        <v>22.97</v>
      </c>
    </row>
    <row r="22" spans="1:26" x14ac:dyDescent="0.25">
      <c r="A22" s="19" t="s">
        <v>287</v>
      </c>
      <c r="B22" s="17"/>
      <c r="C22" s="17"/>
      <c r="D22" s="17">
        <v>26.95</v>
      </c>
      <c r="E22" s="17"/>
      <c r="F22" s="17"/>
      <c r="G22" s="17"/>
      <c r="H22" s="17"/>
      <c r="I22" s="17"/>
      <c r="J22" s="17"/>
      <c r="K22" s="17"/>
      <c r="L22" s="17"/>
      <c r="M22" s="17"/>
      <c r="N22" s="17"/>
      <c r="O22" s="17">
        <v>48.94</v>
      </c>
      <c r="P22" s="17">
        <v>33.950000000000003</v>
      </c>
      <c r="Q22" s="17">
        <v>20.97</v>
      </c>
      <c r="R22" s="17"/>
      <c r="S22" s="17"/>
      <c r="T22" s="17"/>
      <c r="U22" s="17"/>
      <c r="V22" s="17"/>
      <c r="W22" s="17"/>
      <c r="X22" s="17">
        <v>51.92</v>
      </c>
      <c r="Y22" s="17"/>
      <c r="Z22" s="17">
        <v>182.73000000000002</v>
      </c>
    </row>
    <row r="23" spans="1:26" x14ac:dyDescent="0.25">
      <c r="A23" s="19" t="s">
        <v>326</v>
      </c>
      <c r="B23" s="17"/>
      <c r="C23" s="17">
        <v>141.82000000000002</v>
      </c>
      <c r="D23" s="17"/>
      <c r="E23" s="17">
        <v>69.92</v>
      </c>
      <c r="F23" s="17">
        <v>15.98</v>
      </c>
      <c r="G23" s="17">
        <v>134.83000000000001</v>
      </c>
      <c r="H23" s="17">
        <v>7.99</v>
      </c>
      <c r="I23" s="17">
        <v>81.88</v>
      </c>
      <c r="J23" s="17">
        <v>54.93</v>
      </c>
      <c r="K23" s="17">
        <v>95.87</v>
      </c>
      <c r="L23" s="17">
        <v>23.97</v>
      </c>
      <c r="M23" s="17">
        <v>116.83</v>
      </c>
      <c r="N23" s="17">
        <v>15.98</v>
      </c>
      <c r="O23" s="17">
        <v>220.73000000000002</v>
      </c>
      <c r="P23" s="17"/>
      <c r="Q23" s="17">
        <v>130.83000000000001</v>
      </c>
      <c r="R23" s="17">
        <v>100.87</v>
      </c>
      <c r="S23" s="17">
        <v>92.89</v>
      </c>
      <c r="T23" s="17">
        <v>34.94</v>
      </c>
      <c r="U23" s="17">
        <v>79.900000000000006</v>
      </c>
      <c r="V23" s="17">
        <v>120.84</v>
      </c>
      <c r="W23" s="17">
        <v>116.84</v>
      </c>
      <c r="X23" s="17">
        <v>14.98</v>
      </c>
      <c r="Y23" s="17">
        <v>111.86</v>
      </c>
      <c r="Z23" s="17">
        <v>1784.6800000000003</v>
      </c>
    </row>
    <row r="24" spans="1:26" x14ac:dyDescent="0.25">
      <c r="A24" s="19" t="s">
        <v>290</v>
      </c>
      <c r="B24" s="17"/>
      <c r="C24" s="17"/>
      <c r="D24" s="17"/>
      <c r="E24" s="17"/>
      <c r="F24" s="17"/>
      <c r="G24" s="17"/>
      <c r="H24" s="17"/>
      <c r="I24" s="17"/>
      <c r="J24" s="17"/>
      <c r="K24" s="17"/>
      <c r="L24" s="17"/>
      <c r="M24" s="17"/>
      <c r="N24" s="17"/>
      <c r="O24" s="17">
        <v>133.82</v>
      </c>
      <c r="P24" s="17">
        <v>162.79</v>
      </c>
      <c r="Q24" s="17">
        <v>145.80999999999997</v>
      </c>
      <c r="R24" s="17">
        <v>4.99</v>
      </c>
      <c r="S24" s="17"/>
      <c r="T24" s="17"/>
      <c r="U24" s="17"/>
      <c r="V24" s="17"/>
      <c r="W24" s="17"/>
      <c r="X24" s="17"/>
      <c r="Y24" s="17"/>
      <c r="Z24" s="17">
        <v>447.40999999999997</v>
      </c>
    </row>
    <row r="25" spans="1:26" x14ac:dyDescent="0.25">
      <c r="A25" s="19" t="s">
        <v>104</v>
      </c>
      <c r="B25" s="17"/>
      <c r="C25" s="17"/>
      <c r="D25" s="17"/>
      <c r="E25" s="17"/>
      <c r="F25" s="17"/>
      <c r="G25" s="17"/>
      <c r="H25" s="17"/>
      <c r="I25" s="17"/>
      <c r="J25" s="17"/>
      <c r="K25" s="17"/>
      <c r="L25" s="17"/>
      <c r="M25" s="17"/>
      <c r="N25" s="17"/>
      <c r="O25" s="17"/>
      <c r="P25" s="17"/>
      <c r="Q25" s="17"/>
      <c r="R25" s="17"/>
      <c r="S25" s="17"/>
      <c r="T25" s="17"/>
      <c r="U25" s="17">
        <v>33.96</v>
      </c>
      <c r="V25" s="17"/>
      <c r="W25" s="17"/>
      <c r="X25" s="17">
        <v>25.97</v>
      </c>
      <c r="Y25" s="17"/>
      <c r="Z25" s="17">
        <v>59.93</v>
      </c>
    </row>
    <row r="26" spans="1:26" x14ac:dyDescent="0.25">
      <c r="A26" s="19" t="s">
        <v>170</v>
      </c>
      <c r="B26" s="17"/>
      <c r="C26" s="17">
        <v>92.88</v>
      </c>
      <c r="D26" s="17">
        <v>51.94</v>
      </c>
      <c r="E26" s="17">
        <v>105.86</v>
      </c>
      <c r="F26" s="17">
        <v>183.74</v>
      </c>
      <c r="G26" s="17">
        <v>26.97</v>
      </c>
      <c r="H26" s="17">
        <v>60.92</v>
      </c>
      <c r="I26" s="17">
        <v>69.91</v>
      </c>
      <c r="J26" s="17">
        <v>64.900000000000006</v>
      </c>
      <c r="K26" s="17"/>
      <c r="L26" s="17">
        <v>193.74999999999997</v>
      </c>
      <c r="M26" s="17">
        <v>17.97</v>
      </c>
      <c r="N26" s="17">
        <v>19.96</v>
      </c>
      <c r="O26" s="17">
        <v>53.94</v>
      </c>
      <c r="P26" s="17">
        <v>146.80999999999997</v>
      </c>
      <c r="Q26" s="17">
        <v>24.97</v>
      </c>
      <c r="R26" s="17">
        <v>5.99</v>
      </c>
      <c r="S26" s="17">
        <v>49.92</v>
      </c>
      <c r="T26" s="17">
        <v>70.900000000000006</v>
      </c>
      <c r="U26" s="17">
        <v>83.88</v>
      </c>
      <c r="V26" s="17">
        <v>37.950000000000003</v>
      </c>
      <c r="W26" s="17">
        <v>16.97</v>
      </c>
      <c r="X26" s="17">
        <v>34.950000000000003</v>
      </c>
      <c r="Y26" s="17">
        <v>108.87</v>
      </c>
      <c r="Z26" s="17">
        <v>1523.9500000000003</v>
      </c>
    </row>
    <row r="27" spans="1:26" x14ac:dyDescent="0.25">
      <c r="A27" s="19" t="s">
        <v>125</v>
      </c>
      <c r="B27" s="17"/>
      <c r="C27" s="17"/>
      <c r="D27" s="17"/>
      <c r="E27" s="17">
        <v>11.98</v>
      </c>
      <c r="F27" s="17">
        <v>83.9</v>
      </c>
      <c r="G27" s="17">
        <v>22.97</v>
      </c>
      <c r="H27" s="17">
        <v>25.97</v>
      </c>
      <c r="I27" s="17">
        <v>26.97</v>
      </c>
      <c r="J27" s="17"/>
      <c r="K27" s="17">
        <v>93.88</v>
      </c>
      <c r="L27" s="17">
        <v>52.94</v>
      </c>
      <c r="M27" s="17"/>
      <c r="N27" s="17">
        <v>16.98</v>
      </c>
      <c r="O27" s="17"/>
      <c r="P27" s="17"/>
      <c r="Q27" s="17">
        <v>6.99</v>
      </c>
      <c r="R27" s="17">
        <v>27.96</v>
      </c>
      <c r="S27" s="17"/>
      <c r="T27" s="17"/>
      <c r="U27" s="17">
        <v>36.96</v>
      </c>
      <c r="V27" s="17">
        <v>71.91</v>
      </c>
      <c r="W27" s="17">
        <v>28.96</v>
      </c>
      <c r="X27" s="17"/>
      <c r="Y27" s="17"/>
      <c r="Z27" s="17">
        <v>508.36999999999995</v>
      </c>
    </row>
    <row r="28" spans="1:26" x14ac:dyDescent="0.25">
      <c r="A28" s="19" t="s">
        <v>215</v>
      </c>
      <c r="B28" s="17"/>
      <c r="C28" s="17">
        <v>49.94</v>
      </c>
      <c r="D28" s="17"/>
      <c r="E28" s="17">
        <v>54.93</v>
      </c>
      <c r="F28" s="17">
        <v>37.950000000000003</v>
      </c>
      <c r="G28" s="17"/>
      <c r="H28" s="17"/>
      <c r="I28" s="17"/>
      <c r="J28" s="17">
        <v>23.96</v>
      </c>
      <c r="K28" s="17"/>
      <c r="L28" s="17">
        <v>38.950000000000003</v>
      </c>
      <c r="M28" s="17"/>
      <c r="N28" s="17"/>
      <c r="O28" s="17">
        <v>39.950000000000003</v>
      </c>
      <c r="P28" s="17"/>
      <c r="Q28" s="17"/>
      <c r="R28" s="17"/>
      <c r="S28" s="17">
        <v>175.78</v>
      </c>
      <c r="T28" s="17"/>
      <c r="U28" s="17">
        <v>6.99</v>
      </c>
      <c r="V28" s="17"/>
      <c r="W28" s="17">
        <v>15.98</v>
      </c>
      <c r="X28" s="17"/>
      <c r="Y28" s="17">
        <v>118.84</v>
      </c>
      <c r="Z28" s="17">
        <v>563.2700000000001</v>
      </c>
    </row>
    <row r="29" spans="1:26" x14ac:dyDescent="0.25">
      <c r="A29" s="19" t="s">
        <v>354</v>
      </c>
      <c r="B29" s="17"/>
      <c r="C29" s="17">
        <v>87.9</v>
      </c>
      <c r="D29" s="17">
        <v>45.94</v>
      </c>
      <c r="E29" s="17">
        <v>55.92</v>
      </c>
      <c r="F29" s="17"/>
      <c r="G29" s="17">
        <v>18.97</v>
      </c>
      <c r="H29" s="17"/>
      <c r="I29" s="17"/>
      <c r="J29" s="17"/>
      <c r="K29" s="17"/>
      <c r="L29" s="17">
        <v>18.98</v>
      </c>
      <c r="M29" s="17">
        <v>24.97</v>
      </c>
      <c r="N29" s="17">
        <v>136.82999999999998</v>
      </c>
      <c r="O29" s="17"/>
      <c r="P29" s="17"/>
      <c r="Q29" s="17">
        <v>44.95</v>
      </c>
      <c r="R29" s="17"/>
      <c r="S29" s="17"/>
      <c r="T29" s="17"/>
      <c r="U29" s="17"/>
      <c r="V29" s="17">
        <v>36.96</v>
      </c>
      <c r="W29" s="17"/>
      <c r="X29" s="17"/>
      <c r="Y29" s="17"/>
      <c r="Z29" s="17">
        <v>471.41999999999996</v>
      </c>
    </row>
    <row r="30" spans="1:26" x14ac:dyDescent="0.25">
      <c r="A30" s="19" t="s">
        <v>363</v>
      </c>
      <c r="B30" s="17"/>
      <c r="C30" s="17"/>
      <c r="D30" s="17">
        <v>38.950000000000003</v>
      </c>
      <c r="E30" s="17"/>
      <c r="F30" s="17"/>
      <c r="G30" s="17">
        <v>4.99</v>
      </c>
      <c r="H30" s="17"/>
      <c r="I30" s="17">
        <v>99.88</v>
      </c>
      <c r="J30" s="17"/>
      <c r="K30" s="17"/>
      <c r="L30" s="17"/>
      <c r="M30" s="17"/>
      <c r="N30" s="17"/>
      <c r="O30" s="17"/>
      <c r="P30" s="17"/>
      <c r="Q30" s="17"/>
      <c r="R30" s="17"/>
      <c r="S30" s="17"/>
      <c r="T30" s="17"/>
      <c r="U30" s="17"/>
      <c r="V30" s="17">
        <v>27.95</v>
      </c>
      <c r="W30" s="17"/>
      <c r="X30" s="17"/>
      <c r="Y30" s="17"/>
      <c r="Z30" s="17">
        <v>171.76999999999998</v>
      </c>
    </row>
    <row r="31" spans="1:26" x14ac:dyDescent="0.25">
      <c r="A31" s="19" t="s">
        <v>230</v>
      </c>
      <c r="B31" s="17"/>
      <c r="C31" s="17"/>
      <c r="D31" s="17"/>
      <c r="E31" s="17"/>
      <c r="F31" s="17"/>
      <c r="G31" s="17"/>
      <c r="H31" s="17"/>
      <c r="I31" s="17">
        <v>14.98</v>
      </c>
      <c r="J31" s="17"/>
      <c r="K31" s="17"/>
      <c r="L31" s="17"/>
      <c r="M31" s="17"/>
      <c r="N31" s="17">
        <v>19.98</v>
      </c>
      <c r="O31" s="17"/>
      <c r="P31" s="17">
        <v>58.94</v>
      </c>
      <c r="Q31" s="17">
        <v>18.98</v>
      </c>
      <c r="R31" s="17">
        <v>57.92</v>
      </c>
      <c r="S31" s="17"/>
      <c r="T31" s="17">
        <v>76.900000000000006</v>
      </c>
      <c r="U31" s="17">
        <v>48.93</v>
      </c>
      <c r="V31" s="17"/>
      <c r="W31" s="17"/>
      <c r="X31" s="17"/>
      <c r="Y31" s="17"/>
      <c r="Z31" s="17">
        <v>296.63</v>
      </c>
    </row>
    <row r="32" spans="1:26" x14ac:dyDescent="0.25">
      <c r="A32" s="19" t="s">
        <v>239</v>
      </c>
      <c r="B32" s="17"/>
      <c r="C32" s="17">
        <v>8.99</v>
      </c>
      <c r="D32" s="17">
        <v>52.93</v>
      </c>
      <c r="E32" s="17"/>
      <c r="F32" s="17">
        <v>91.87</v>
      </c>
      <c r="G32" s="17">
        <v>59.92</v>
      </c>
      <c r="H32" s="17">
        <v>50.94</v>
      </c>
      <c r="I32" s="17"/>
      <c r="J32" s="17"/>
      <c r="K32" s="17"/>
      <c r="L32" s="17"/>
      <c r="M32" s="17"/>
      <c r="N32" s="17">
        <v>108.87</v>
      </c>
      <c r="O32" s="17">
        <v>27.97</v>
      </c>
      <c r="P32" s="17"/>
      <c r="Q32" s="17"/>
      <c r="R32" s="17"/>
      <c r="S32" s="17">
        <v>93.88</v>
      </c>
      <c r="T32" s="17">
        <v>72.91</v>
      </c>
      <c r="U32" s="17">
        <v>32.94</v>
      </c>
      <c r="V32" s="17"/>
      <c r="W32" s="17">
        <v>74.91</v>
      </c>
      <c r="X32" s="17"/>
      <c r="Y32" s="17"/>
      <c r="Z32" s="17">
        <v>676.13</v>
      </c>
    </row>
    <row r="33" spans="1:26" x14ac:dyDescent="0.25">
      <c r="A33" s="19" t="s">
        <v>116</v>
      </c>
      <c r="B33" s="17"/>
      <c r="C33" s="17"/>
      <c r="D33" s="17"/>
      <c r="E33" s="17"/>
      <c r="F33" s="17"/>
      <c r="G33" s="17"/>
      <c r="H33" s="17"/>
      <c r="I33" s="17"/>
      <c r="J33" s="17"/>
      <c r="K33" s="17">
        <v>33.94</v>
      </c>
      <c r="L33" s="17"/>
      <c r="M33" s="17"/>
      <c r="N33" s="17"/>
      <c r="O33" s="17"/>
      <c r="P33" s="17"/>
      <c r="Q33" s="17"/>
      <c r="R33" s="17"/>
      <c r="S33" s="17"/>
      <c r="T33" s="17"/>
      <c r="U33" s="17">
        <v>20.97</v>
      </c>
      <c r="V33" s="17"/>
      <c r="W33" s="17"/>
      <c r="X33" s="17"/>
      <c r="Y33" s="17"/>
      <c r="Z33" s="17">
        <v>54.91</v>
      </c>
    </row>
    <row r="34" spans="1:26" x14ac:dyDescent="0.25">
      <c r="A34" s="19" t="s">
        <v>134</v>
      </c>
      <c r="B34" s="17"/>
      <c r="C34" s="17">
        <v>43.94</v>
      </c>
      <c r="D34" s="17">
        <v>47.94</v>
      </c>
      <c r="E34" s="17">
        <v>113.85</v>
      </c>
      <c r="F34" s="17">
        <v>74.900000000000006</v>
      </c>
      <c r="G34" s="17">
        <v>39.94</v>
      </c>
      <c r="H34" s="17">
        <v>122.85</v>
      </c>
      <c r="I34" s="17">
        <v>24.97</v>
      </c>
      <c r="J34" s="17">
        <v>41.95</v>
      </c>
      <c r="K34" s="17">
        <v>85.89</v>
      </c>
      <c r="L34" s="17">
        <v>41.94</v>
      </c>
      <c r="M34" s="17">
        <v>64.91</v>
      </c>
      <c r="N34" s="17">
        <v>115.86</v>
      </c>
      <c r="O34" s="17">
        <v>259.65999999999997</v>
      </c>
      <c r="P34" s="17">
        <v>111.85</v>
      </c>
      <c r="Q34" s="17">
        <v>15.98</v>
      </c>
      <c r="R34" s="17">
        <v>75.91</v>
      </c>
      <c r="S34" s="17">
        <v>54.94</v>
      </c>
      <c r="T34" s="17">
        <v>73.900000000000006</v>
      </c>
      <c r="U34" s="17">
        <v>66.91</v>
      </c>
      <c r="V34" s="17"/>
      <c r="W34" s="17">
        <v>91.87</v>
      </c>
      <c r="X34" s="17">
        <v>26.95</v>
      </c>
      <c r="Y34" s="17">
        <v>88.89</v>
      </c>
      <c r="Z34" s="17">
        <v>1685.8000000000002</v>
      </c>
    </row>
    <row r="35" spans="1:26" x14ac:dyDescent="0.25">
      <c r="A35" s="19" t="s">
        <v>95</v>
      </c>
      <c r="B35" s="17"/>
      <c r="C35" s="17"/>
      <c r="D35" s="17"/>
      <c r="E35" s="17"/>
      <c r="F35" s="17"/>
      <c r="G35" s="17"/>
      <c r="H35" s="17"/>
      <c r="I35" s="17"/>
      <c r="J35" s="17"/>
      <c r="K35" s="17">
        <v>30.96</v>
      </c>
      <c r="L35" s="17"/>
      <c r="M35" s="17"/>
      <c r="N35" s="17"/>
      <c r="O35" s="17"/>
      <c r="P35" s="17"/>
      <c r="Q35" s="17"/>
      <c r="R35" s="17"/>
      <c r="S35" s="17"/>
      <c r="T35" s="17"/>
      <c r="U35" s="17"/>
      <c r="V35" s="17"/>
      <c r="W35" s="17"/>
      <c r="X35" s="17"/>
      <c r="Y35" s="17"/>
      <c r="Z35" s="17">
        <v>30.96</v>
      </c>
    </row>
    <row r="36" spans="1:26" x14ac:dyDescent="0.25">
      <c r="A36" s="19" t="s">
        <v>227</v>
      </c>
      <c r="B36" s="17"/>
      <c r="C36" s="17"/>
      <c r="D36" s="17"/>
      <c r="E36" s="17"/>
      <c r="F36" s="17"/>
      <c r="G36" s="17"/>
      <c r="H36" s="17"/>
      <c r="I36" s="17"/>
      <c r="J36" s="17"/>
      <c r="K36" s="17"/>
      <c r="L36" s="17"/>
      <c r="M36" s="17"/>
      <c r="N36" s="17"/>
      <c r="O36" s="17"/>
      <c r="P36" s="17"/>
      <c r="Q36" s="17"/>
      <c r="R36" s="17"/>
      <c r="S36" s="17"/>
      <c r="T36" s="17"/>
      <c r="U36" s="17">
        <v>73.91</v>
      </c>
      <c r="V36" s="17"/>
      <c r="W36" s="17"/>
      <c r="X36" s="17"/>
      <c r="Y36" s="17"/>
      <c r="Z36" s="17">
        <v>73.91</v>
      </c>
    </row>
    <row r="37" spans="1:26" x14ac:dyDescent="0.25">
      <c r="A37" s="19" t="s">
        <v>284</v>
      </c>
      <c r="B37" s="17"/>
      <c r="C37" s="17"/>
      <c r="D37" s="17"/>
      <c r="E37" s="17"/>
      <c r="F37" s="17"/>
      <c r="G37" s="17"/>
      <c r="H37" s="17"/>
      <c r="I37" s="17"/>
      <c r="J37" s="17"/>
      <c r="K37" s="17">
        <v>70.92</v>
      </c>
      <c r="L37" s="17"/>
      <c r="M37" s="17"/>
      <c r="N37" s="17"/>
      <c r="O37" s="17"/>
      <c r="P37" s="17"/>
      <c r="Q37" s="17">
        <v>16.97</v>
      </c>
      <c r="R37" s="17">
        <v>14.98</v>
      </c>
      <c r="S37" s="17"/>
      <c r="T37" s="17">
        <v>84.88000000000001</v>
      </c>
      <c r="U37" s="17">
        <v>60.93</v>
      </c>
      <c r="V37" s="17">
        <v>26.96</v>
      </c>
      <c r="W37" s="17">
        <v>33.96</v>
      </c>
      <c r="X37" s="17"/>
      <c r="Y37" s="17"/>
      <c r="Z37" s="17">
        <v>309.59999999999997</v>
      </c>
    </row>
    <row r="38" spans="1:26" x14ac:dyDescent="0.25">
      <c r="A38" s="19" t="s">
        <v>233</v>
      </c>
      <c r="B38" s="17"/>
      <c r="C38" s="17">
        <v>25.97</v>
      </c>
      <c r="D38" s="17">
        <v>69.92</v>
      </c>
      <c r="E38" s="17"/>
      <c r="F38" s="17">
        <v>10.98</v>
      </c>
      <c r="G38" s="17"/>
      <c r="H38" s="17">
        <v>6.99</v>
      </c>
      <c r="I38" s="17">
        <v>97.86</v>
      </c>
      <c r="J38" s="17"/>
      <c r="K38" s="17"/>
      <c r="L38" s="17"/>
      <c r="M38" s="17">
        <v>50.930000000000007</v>
      </c>
      <c r="N38" s="17"/>
      <c r="O38" s="17">
        <v>52.92</v>
      </c>
      <c r="P38" s="17"/>
      <c r="Q38" s="17"/>
      <c r="R38" s="17">
        <v>53.94</v>
      </c>
      <c r="S38" s="17"/>
      <c r="T38" s="17">
        <v>53.92</v>
      </c>
      <c r="U38" s="17"/>
      <c r="V38" s="17"/>
      <c r="W38" s="17"/>
      <c r="X38" s="17">
        <v>98.87</v>
      </c>
      <c r="Y38" s="17"/>
      <c r="Z38" s="17">
        <v>522.29999999999995</v>
      </c>
    </row>
    <row r="39" spans="1:26" x14ac:dyDescent="0.25">
      <c r="A39" s="19" t="s">
        <v>152</v>
      </c>
      <c r="B39" s="17"/>
      <c r="C39" s="17">
        <v>41.95</v>
      </c>
      <c r="D39" s="17"/>
      <c r="E39" s="17"/>
      <c r="F39" s="17"/>
      <c r="G39" s="17">
        <v>76.91</v>
      </c>
      <c r="H39" s="17"/>
      <c r="I39" s="17">
        <v>68.91</v>
      </c>
      <c r="J39" s="17"/>
      <c r="K39" s="17"/>
      <c r="L39" s="17"/>
      <c r="M39" s="17">
        <v>43.94</v>
      </c>
      <c r="N39" s="17"/>
      <c r="O39" s="17">
        <v>24.97</v>
      </c>
      <c r="P39" s="17"/>
      <c r="Q39" s="17"/>
      <c r="R39" s="17"/>
      <c r="S39" s="17">
        <v>4.99</v>
      </c>
      <c r="T39" s="17">
        <v>11.98</v>
      </c>
      <c r="U39" s="17"/>
      <c r="V39" s="17"/>
      <c r="W39" s="17"/>
      <c r="X39" s="17">
        <v>34.96</v>
      </c>
      <c r="Y39" s="17">
        <v>32.96</v>
      </c>
      <c r="Z39" s="17">
        <v>341.56999999999994</v>
      </c>
    </row>
    <row r="40" spans="1:26" x14ac:dyDescent="0.25">
      <c r="A40" s="19" t="s">
        <v>350</v>
      </c>
      <c r="B40" s="17"/>
      <c r="C40" s="17">
        <v>15.98</v>
      </c>
      <c r="D40" s="17">
        <v>15.98</v>
      </c>
      <c r="E40" s="17">
        <v>17.98</v>
      </c>
      <c r="F40" s="17"/>
      <c r="G40" s="17"/>
      <c r="H40" s="17"/>
      <c r="I40" s="17">
        <v>6.99</v>
      </c>
      <c r="J40" s="17">
        <v>54.94</v>
      </c>
      <c r="K40" s="17"/>
      <c r="L40" s="17">
        <v>36.950000000000003</v>
      </c>
      <c r="M40" s="17"/>
      <c r="N40" s="17"/>
      <c r="O40" s="17">
        <v>26.97</v>
      </c>
      <c r="P40" s="17">
        <v>70.89</v>
      </c>
      <c r="Q40" s="17"/>
      <c r="R40" s="17"/>
      <c r="S40" s="17"/>
      <c r="T40" s="17"/>
      <c r="U40" s="17"/>
      <c r="V40" s="17"/>
      <c r="W40" s="17"/>
      <c r="X40" s="17"/>
      <c r="Y40" s="17"/>
      <c r="Z40" s="17">
        <v>246.68</v>
      </c>
    </row>
    <row r="41" spans="1:26" x14ac:dyDescent="0.25">
      <c r="A41" s="19" t="s">
        <v>188</v>
      </c>
      <c r="B41" s="17"/>
      <c r="C41" s="17"/>
      <c r="D41" s="17">
        <v>81.900000000000006</v>
      </c>
      <c r="E41" s="17"/>
      <c r="F41" s="17"/>
      <c r="G41" s="17"/>
      <c r="H41" s="17">
        <v>33.950000000000003</v>
      </c>
      <c r="I41" s="17">
        <v>97.88</v>
      </c>
      <c r="J41" s="17"/>
      <c r="K41" s="17">
        <v>24.96</v>
      </c>
      <c r="L41" s="17"/>
      <c r="M41" s="17"/>
      <c r="N41" s="17"/>
      <c r="O41" s="17">
        <v>96.86</v>
      </c>
      <c r="P41" s="17">
        <v>100.86</v>
      </c>
      <c r="Q41" s="17">
        <v>116.85</v>
      </c>
      <c r="R41" s="17">
        <v>14.98</v>
      </c>
      <c r="S41" s="17"/>
      <c r="T41" s="17"/>
      <c r="U41" s="17"/>
      <c r="V41" s="17"/>
      <c r="W41" s="17">
        <v>7.99</v>
      </c>
      <c r="X41" s="17"/>
      <c r="Y41" s="17"/>
      <c r="Z41" s="17">
        <v>576.23</v>
      </c>
    </row>
    <row r="42" spans="1:26" x14ac:dyDescent="0.25">
      <c r="A42" s="19" t="s">
        <v>164</v>
      </c>
      <c r="B42" s="17"/>
      <c r="C42" s="17"/>
      <c r="D42" s="17"/>
      <c r="E42" s="17"/>
      <c r="F42" s="17"/>
      <c r="G42" s="17"/>
      <c r="H42" s="17"/>
      <c r="I42" s="17">
        <v>18.98</v>
      </c>
      <c r="J42" s="17"/>
      <c r="K42" s="17"/>
      <c r="L42" s="17"/>
      <c r="M42" s="17"/>
      <c r="N42" s="17">
        <v>8.99</v>
      </c>
      <c r="O42" s="17"/>
      <c r="P42" s="17">
        <v>29.96</v>
      </c>
      <c r="Q42" s="17">
        <v>11.98</v>
      </c>
      <c r="R42" s="17">
        <v>23.97</v>
      </c>
      <c r="S42" s="17"/>
      <c r="T42" s="17"/>
      <c r="U42" s="17">
        <v>19.98</v>
      </c>
      <c r="V42" s="17">
        <v>23.96</v>
      </c>
      <c r="W42" s="17">
        <v>18.97</v>
      </c>
      <c r="X42" s="17">
        <v>66.91</v>
      </c>
      <c r="Y42" s="17">
        <v>82.899999999999991</v>
      </c>
      <c r="Z42" s="17">
        <v>306.59999999999997</v>
      </c>
    </row>
    <row r="43" spans="1:26" x14ac:dyDescent="0.25">
      <c r="A43" s="19" t="s">
        <v>314</v>
      </c>
      <c r="B43" s="17"/>
      <c r="C43" s="17">
        <v>57.93</v>
      </c>
      <c r="D43" s="17"/>
      <c r="E43" s="17"/>
      <c r="F43" s="17"/>
      <c r="G43" s="17"/>
      <c r="H43" s="17"/>
      <c r="I43" s="17"/>
      <c r="J43" s="17"/>
      <c r="K43" s="17"/>
      <c r="L43" s="17"/>
      <c r="M43" s="17"/>
      <c r="N43" s="17"/>
      <c r="O43" s="17"/>
      <c r="P43" s="17"/>
      <c r="Q43" s="17"/>
      <c r="R43" s="17"/>
      <c r="S43" s="17"/>
      <c r="T43" s="17"/>
      <c r="U43" s="17"/>
      <c r="V43" s="17"/>
      <c r="W43" s="17"/>
      <c r="X43" s="17"/>
      <c r="Y43" s="17"/>
      <c r="Z43" s="17">
        <v>57.93</v>
      </c>
    </row>
    <row r="44" spans="1:26" x14ac:dyDescent="0.25">
      <c r="A44" s="19" t="s">
        <v>275</v>
      </c>
      <c r="B44" s="17"/>
      <c r="C44" s="17">
        <v>32.96</v>
      </c>
      <c r="D44" s="17"/>
      <c r="E44" s="17">
        <v>84.9</v>
      </c>
      <c r="F44" s="17"/>
      <c r="G44" s="17">
        <v>20.97</v>
      </c>
      <c r="H44" s="17">
        <v>18.97</v>
      </c>
      <c r="I44" s="17">
        <v>19.97</v>
      </c>
      <c r="J44" s="17">
        <v>37.950000000000003</v>
      </c>
      <c r="K44" s="17"/>
      <c r="L44" s="17"/>
      <c r="M44" s="17">
        <v>19.98</v>
      </c>
      <c r="N44" s="17">
        <v>41.95</v>
      </c>
      <c r="O44" s="17">
        <v>325.58</v>
      </c>
      <c r="P44" s="17">
        <v>106.85</v>
      </c>
      <c r="Q44" s="17">
        <v>60.910000000000004</v>
      </c>
      <c r="R44" s="17"/>
      <c r="S44" s="17">
        <v>89.88</v>
      </c>
      <c r="T44" s="17">
        <v>39.94</v>
      </c>
      <c r="U44" s="17"/>
      <c r="V44" s="17"/>
      <c r="W44" s="17">
        <v>143.80000000000001</v>
      </c>
      <c r="X44" s="17">
        <v>32.96</v>
      </c>
      <c r="Y44" s="17">
        <v>9.99</v>
      </c>
      <c r="Z44" s="17">
        <v>1087.56</v>
      </c>
    </row>
    <row r="45" spans="1:26" x14ac:dyDescent="0.25">
      <c r="A45" s="19" t="s">
        <v>311</v>
      </c>
      <c r="B45" s="17"/>
      <c r="C45" s="17">
        <v>24.97</v>
      </c>
      <c r="D45" s="17"/>
      <c r="E45" s="17"/>
      <c r="F45" s="17">
        <v>57.930000000000007</v>
      </c>
      <c r="G45" s="17"/>
      <c r="H45" s="17">
        <v>67.900000000000006</v>
      </c>
      <c r="I45" s="17">
        <v>43.95</v>
      </c>
      <c r="J45" s="17">
        <v>33.96</v>
      </c>
      <c r="K45" s="17"/>
      <c r="L45" s="17">
        <v>64.91</v>
      </c>
      <c r="M45" s="17"/>
      <c r="N45" s="17"/>
      <c r="O45" s="17">
        <v>163.79</v>
      </c>
      <c r="P45" s="17">
        <v>38.950000000000003</v>
      </c>
      <c r="Q45" s="17">
        <v>106.88</v>
      </c>
      <c r="R45" s="17">
        <v>68.92</v>
      </c>
      <c r="S45" s="17"/>
      <c r="T45" s="17"/>
      <c r="U45" s="17"/>
      <c r="V45" s="17"/>
      <c r="W45" s="17">
        <v>37.950000000000003</v>
      </c>
      <c r="X45" s="17"/>
      <c r="Y45" s="17"/>
      <c r="Z45" s="17">
        <v>710.11</v>
      </c>
    </row>
    <row r="46" spans="1:26" x14ac:dyDescent="0.25">
      <c r="A46" s="19" t="s">
        <v>257</v>
      </c>
      <c r="B46" s="17"/>
      <c r="C46" s="17"/>
      <c r="D46" s="17"/>
      <c r="E46" s="17">
        <v>41.95</v>
      </c>
      <c r="F46" s="17">
        <v>24.97</v>
      </c>
      <c r="G46" s="17"/>
      <c r="H46" s="17"/>
      <c r="I46" s="17">
        <v>17.98</v>
      </c>
      <c r="J46" s="17"/>
      <c r="K46" s="17">
        <v>11.98</v>
      </c>
      <c r="L46" s="17"/>
      <c r="M46" s="17"/>
      <c r="N46" s="17">
        <v>43.95</v>
      </c>
      <c r="O46" s="17">
        <v>83.91</v>
      </c>
      <c r="P46" s="17"/>
      <c r="Q46" s="17">
        <v>346.57000000000005</v>
      </c>
      <c r="R46" s="17"/>
      <c r="S46" s="17"/>
      <c r="T46" s="17"/>
      <c r="U46" s="17"/>
      <c r="V46" s="17">
        <v>45.95</v>
      </c>
      <c r="W46" s="17"/>
      <c r="X46" s="17"/>
      <c r="Y46" s="17"/>
      <c r="Z46" s="17">
        <v>617.2600000000001</v>
      </c>
    </row>
    <row r="47" spans="1:26" x14ac:dyDescent="0.25">
      <c r="A47" s="19" t="s">
        <v>281</v>
      </c>
      <c r="B47" s="17"/>
      <c r="C47" s="17"/>
      <c r="D47" s="17"/>
      <c r="E47" s="17">
        <v>60.92</v>
      </c>
      <c r="F47" s="17">
        <v>116.86</v>
      </c>
      <c r="G47" s="17"/>
      <c r="H47" s="17"/>
      <c r="I47" s="17">
        <v>92.89</v>
      </c>
      <c r="J47" s="17">
        <v>17.98</v>
      </c>
      <c r="K47" s="17">
        <v>23.97</v>
      </c>
      <c r="L47" s="17"/>
      <c r="M47" s="17">
        <v>5.99</v>
      </c>
      <c r="N47" s="17"/>
      <c r="O47" s="17">
        <v>128.82</v>
      </c>
      <c r="P47" s="17">
        <v>46.94</v>
      </c>
      <c r="Q47" s="17">
        <v>151.79</v>
      </c>
      <c r="R47" s="17">
        <v>61.91</v>
      </c>
      <c r="S47" s="17"/>
      <c r="T47" s="17"/>
      <c r="U47" s="17"/>
      <c r="V47" s="17">
        <v>37.950000000000003</v>
      </c>
      <c r="W47" s="17"/>
      <c r="X47" s="17"/>
      <c r="Y47" s="17">
        <v>77.900000000000006</v>
      </c>
      <c r="Z47" s="17">
        <v>823.92</v>
      </c>
    </row>
    <row r="48" spans="1:26" x14ac:dyDescent="0.25">
      <c r="A48" s="19" t="s">
        <v>194</v>
      </c>
      <c r="B48" s="17"/>
      <c r="C48" s="17"/>
      <c r="D48" s="17"/>
      <c r="E48" s="17"/>
      <c r="F48" s="17"/>
      <c r="G48" s="17"/>
      <c r="H48" s="17"/>
      <c r="I48" s="17"/>
      <c r="J48" s="17"/>
      <c r="K48" s="17"/>
      <c r="L48" s="17"/>
      <c r="M48" s="17"/>
      <c r="N48" s="17">
        <v>64.930000000000007</v>
      </c>
      <c r="O48" s="17"/>
      <c r="P48" s="17"/>
      <c r="Q48" s="17">
        <v>34.950000000000003</v>
      </c>
      <c r="R48" s="17"/>
      <c r="S48" s="17"/>
      <c r="T48" s="17"/>
      <c r="U48" s="17"/>
      <c r="V48" s="17"/>
      <c r="W48" s="17"/>
      <c r="X48" s="17"/>
      <c r="Y48" s="17"/>
      <c r="Z48" s="17">
        <v>99.88000000000001</v>
      </c>
    </row>
    <row r="49" spans="1:26" x14ac:dyDescent="0.25">
      <c r="A49" s="19" t="s">
        <v>272</v>
      </c>
      <c r="B49" s="17"/>
      <c r="C49" s="17">
        <v>123.86</v>
      </c>
      <c r="D49" s="17"/>
      <c r="E49" s="17"/>
      <c r="F49" s="17">
        <v>34.950000000000003</v>
      </c>
      <c r="G49" s="17">
        <v>21.96</v>
      </c>
      <c r="H49" s="17">
        <v>180.74999999999997</v>
      </c>
      <c r="I49" s="17">
        <v>29.97</v>
      </c>
      <c r="J49" s="17">
        <v>21.97</v>
      </c>
      <c r="K49" s="17">
        <v>24.97</v>
      </c>
      <c r="L49" s="17">
        <v>119.85</v>
      </c>
      <c r="M49" s="17">
        <v>109.86</v>
      </c>
      <c r="N49" s="17">
        <v>108.86</v>
      </c>
      <c r="O49" s="17">
        <v>69.91</v>
      </c>
      <c r="P49" s="17">
        <v>88.89</v>
      </c>
      <c r="Q49" s="17">
        <v>98.87</v>
      </c>
      <c r="R49" s="17">
        <v>47.940000000000005</v>
      </c>
      <c r="S49" s="17">
        <v>36.950000000000003</v>
      </c>
      <c r="T49" s="17">
        <v>23.97</v>
      </c>
      <c r="U49" s="17">
        <v>17.98</v>
      </c>
      <c r="V49" s="17">
        <v>48.94</v>
      </c>
      <c r="W49" s="17">
        <v>66.91</v>
      </c>
      <c r="X49" s="17">
        <v>80.89</v>
      </c>
      <c r="Y49" s="17">
        <v>29.95</v>
      </c>
      <c r="Z49" s="17">
        <v>1388.2000000000005</v>
      </c>
    </row>
    <row r="50" spans="1:26" x14ac:dyDescent="0.25">
      <c r="A50" s="19" t="s">
        <v>101</v>
      </c>
      <c r="B50" s="17"/>
      <c r="C50" s="17"/>
      <c r="D50" s="17"/>
      <c r="E50" s="17"/>
      <c r="F50" s="17"/>
      <c r="G50" s="17"/>
      <c r="H50" s="17"/>
      <c r="I50" s="17"/>
      <c r="J50" s="17">
        <v>34.96</v>
      </c>
      <c r="K50" s="17">
        <v>27.96</v>
      </c>
      <c r="L50" s="17"/>
      <c r="M50" s="17"/>
      <c r="N50" s="17"/>
      <c r="O50" s="17">
        <v>194.74999999999997</v>
      </c>
      <c r="P50" s="17">
        <v>136.81</v>
      </c>
      <c r="Q50" s="17">
        <v>167.77</v>
      </c>
      <c r="R50" s="17"/>
      <c r="S50" s="17">
        <v>12.98</v>
      </c>
      <c r="T50" s="17">
        <v>20.96</v>
      </c>
      <c r="U50" s="17">
        <v>84.87</v>
      </c>
      <c r="V50" s="17">
        <v>48.92</v>
      </c>
      <c r="W50" s="17"/>
      <c r="X50" s="17"/>
      <c r="Y50" s="17"/>
      <c r="Z50" s="17">
        <v>729.98</v>
      </c>
    </row>
    <row r="51" spans="1:26" x14ac:dyDescent="0.25">
      <c r="A51" s="19" t="s">
        <v>161</v>
      </c>
      <c r="B51" s="17"/>
      <c r="C51" s="17"/>
      <c r="D51" s="17"/>
      <c r="E51" s="17"/>
      <c r="F51" s="17"/>
      <c r="G51" s="17"/>
      <c r="H51" s="17"/>
      <c r="I51" s="17"/>
      <c r="J51" s="17"/>
      <c r="K51" s="17"/>
      <c r="L51" s="17"/>
      <c r="M51" s="17"/>
      <c r="N51" s="17"/>
      <c r="O51" s="17">
        <v>127.83</v>
      </c>
      <c r="P51" s="17">
        <v>81.89</v>
      </c>
      <c r="Q51" s="17">
        <v>58.92</v>
      </c>
      <c r="R51" s="17">
        <v>58.91</v>
      </c>
      <c r="S51" s="17"/>
      <c r="T51" s="17"/>
      <c r="U51" s="17"/>
      <c r="V51" s="17"/>
      <c r="W51" s="17"/>
      <c r="X51" s="17"/>
      <c r="Y51" s="17"/>
      <c r="Z51" s="17">
        <v>327.54999999999995</v>
      </c>
    </row>
    <row r="52" spans="1:26" x14ac:dyDescent="0.25">
      <c r="A52" s="19" t="s">
        <v>155</v>
      </c>
      <c r="B52" s="17"/>
      <c r="C52" s="17">
        <v>6.99</v>
      </c>
      <c r="D52" s="17"/>
      <c r="E52" s="17"/>
      <c r="F52" s="17">
        <v>79.91</v>
      </c>
      <c r="G52" s="17">
        <v>43.94</v>
      </c>
      <c r="H52" s="17"/>
      <c r="I52" s="17"/>
      <c r="J52" s="17"/>
      <c r="K52" s="17"/>
      <c r="L52" s="17"/>
      <c r="M52" s="17"/>
      <c r="N52" s="17">
        <v>40.94</v>
      </c>
      <c r="O52" s="17"/>
      <c r="P52" s="17"/>
      <c r="Q52" s="17">
        <v>29.96</v>
      </c>
      <c r="R52" s="17"/>
      <c r="S52" s="17">
        <v>48.93</v>
      </c>
      <c r="T52" s="17">
        <v>46.93</v>
      </c>
      <c r="U52" s="17"/>
      <c r="V52" s="17"/>
      <c r="W52" s="17"/>
      <c r="X52" s="17"/>
      <c r="Y52" s="17">
        <v>6.99</v>
      </c>
      <c r="Z52" s="17">
        <v>304.58999999999997</v>
      </c>
    </row>
    <row r="53" spans="1:26" x14ac:dyDescent="0.25">
      <c r="A53" s="19" t="s">
        <v>173</v>
      </c>
      <c r="B53" s="17"/>
      <c r="C53" s="17">
        <v>43.94</v>
      </c>
      <c r="D53" s="17"/>
      <c r="E53" s="17"/>
      <c r="F53" s="17"/>
      <c r="G53" s="17"/>
      <c r="H53" s="17"/>
      <c r="I53" s="17"/>
      <c r="J53" s="17"/>
      <c r="K53" s="17"/>
      <c r="L53" s="17"/>
      <c r="M53" s="17"/>
      <c r="N53" s="17">
        <v>33.96</v>
      </c>
      <c r="O53" s="17"/>
      <c r="P53" s="17"/>
      <c r="Q53" s="17"/>
      <c r="R53" s="17"/>
      <c r="S53" s="17"/>
      <c r="T53" s="17"/>
      <c r="U53" s="17">
        <v>38.950000000000003</v>
      </c>
      <c r="V53" s="17"/>
      <c r="W53" s="17"/>
      <c r="X53" s="17"/>
      <c r="Y53" s="17"/>
      <c r="Z53" s="17">
        <v>116.85000000000001</v>
      </c>
    </row>
    <row r="54" spans="1:26" x14ac:dyDescent="0.25">
      <c r="A54" s="19" t="s">
        <v>248</v>
      </c>
      <c r="B54" s="17"/>
      <c r="C54" s="17"/>
      <c r="D54" s="17">
        <v>13.98</v>
      </c>
      <c r="E54" s="17"/>
      <c r="F54" s="17"/>
      <c r="G54" s="17"/>
      <c r="H54" s="17"/>
      <c r="I54" s="17"/>
      <c r="J54" s="17"/>
      <c r="K54" s="17"/>
      <c r="L54" s="17"/>
      <c r="M54" s="17"/>
      <c r="N54" s="17"/>
      <c r="O54" s="17">
        <v>196.73000000000002</v>
      </c>
      <c r="P54" s="17">
        <v>181.78</v>
      </c>
      <c r="Q54" s="17">
        <v>145.81</v>
      </c>
      <c r="R54" s="17">
        <v>29.96</v>
      </c>
      <c r="S54" s="17">
        <v>76.900000000000006</v>
      </c>
      <c r="T54" s="17">
        <v>36.950000000000003</v>
      </c>
      <c r="U54" s="17">
        <v>6.99</v>
      </c>
      <c r="V54" s="17"/>
      <c r="W54" s="17"/>
      <c r="X54" s="17"/>
      <c r="Y54" s="17">
        <v>14.98</v>
      </c>
      <c r="Z54" s="17">
        <v>704.08</v>
      </c>
    </row>
    <row r="55" spans="1:26" x14ac:dyDescent="0.25">
      <c r="A55" s="19" t="s">
        <v>305</v>
      </c>
      <c r="B55" s="17"/>
      <c r="C55" s="17">
        <v>31.96</v>
      </c>
      <c r="D55" s="17">
        <v>30.96</v>
      </c>
      <c r="E55" s="17"/>
      <c r="F55" s="17"/>
      <c r="G55" s="17">
        <v>48.92</v>
      </c>
      <c r="H55" s="17">
        <v>33.950000000000003</v>
      </c>
      <c r="I55" s="17"/>
      <c r="J55" s="17"/>
      <c r="K55" s="17">
        <v>43.94</v>
      </c>
      <c r="L55" s="17"/>
      <c r="M55" s="17"/>
      <c r="N55" s="17"/>
      <c r="O55" s="17">
        <v>62.91</v>
      </c>
      <c r="P55" s="17">
        <v>211.72000000000003</v>
      </c>
      <c r="Q55" s="17">
        <v>187.74</v>
      </c>
      <c r="R55" s="17">
        <v>23.97</v>
      </c>
      <c r="S55" s="17">
        <v>52.930000000000007</v>
      </c>
      <c r="T55" s="17"/>
      <c r="U55" s="17">
        <v>55.93</v>
      </c>
      <c r="V55" s="17"/>
      <c r="W55" s="17">
        <v>78.900000000000006</v>
      </c>
      <c r="X55" s="17"/>
      <c r="Y55" s="17"/>
      <c r="Z55" s="17">
        <v>863.82999999999993</v>
      </c>
    </row>
    <row r="56" spans="1:26" x14ac:dyDescent="0.25">
      <c r="A56" s="19" t="s">
        <v>89</v>
      </c>
      <c r="B56" s="17"/>
      <c r="C56" s="17"/>
      <c r="D56" s="17"/>
      <c r="E56" s="17">
        <v>70.91</v>
      </c>
      <c r="F56" s="17"/>
      <c r="G56" s="17">
        <v>50.92</v>
      </c>
      <c r="H56" s="17">
        <v>78.900000000000006</v>
      </c>
      <c r="I56" s="17"/>
      <c r="J56" s="17">
        <v>43.940000000000005</v>
      </c>
      <c r="K56" s="17"/>
      <c r="L56" s="17">
        <v>73.91</v>
      </c>
      <c r="M56" s="17"/>
      <c r="N56" s="17"/>
      <c r="O56" s="17"/>
      <c r="P56" s="17">
        <v>35.96</v>
      </c>
      <c r="Q56" s="17"/>
      <c r="R56" s="17">
        <v>94.88</v>
      </c>
      <c r="S56" s="17"/>
      <c r="T56" s="17">
        <v>12.98</v>
      </c>
      <c r="U56" s="17">
        <v>68.92</v>
      </c>
      <c r="V56" s="17">
        <v>56.92</v>
      </c>
      <c r="W56" s="17">
        <v>52.92</v>
      </c>
      <c r="X56" s="17">
        <v>13.98</v>
      </c>
      <c r="Y56" s="17"/>
      <c r="Z56" s="17">
        <v>655.14</v>
      </c>
    </row>
    <row r="57" spans="1:26" x14ac:dyDescent="0.25">
      <c r="A57" s="19" t="s">
        <v>206</v>
      </c>
      <c r="B57" s="17"/>
      <c r="C57" s="17"/>
      <c r="D57" s="17"/>
      <c r="E57" s="17"/>
      <c r="F57" s="17"/>
      <c r="G57" s="17"/>
      <c r="H57" s="17"/>
      <c r="I57" s="17"/>
      <c r="J57" s="17"/>
      <c r="K57" s="17">
        <v>79.900000000000006</v>
      </c>
      <c r="L57" s="17">
        <v>34.950000000000003</v>
      </c>
      <c r="M57" s="17"/>
      <c r="N57" s="17"/>
      <c r="O57" s="17"/>
      <c r="P57" s="17"/>
      <c r="Q57" s="17"/>
      <c r="R57" s="17"/>
      <c r="S57" s="17"/>
      <c r="T57" s="17"/>
      <c r="U57" s="17"/>
      <c r="V57" s="17"/>
      <c r="W57" s="17"/>
      <c r="X57" s="17">
        <v>43.94</v>
      </c>
      <c r="Y57" s="17"/>
      <c r="Z57" s="17">
        <v>158.79000000000002</v>
      </c>
    </row>
    <row r="58" spans="1:26" x14ac:dyDescent="0.25">
      <c r="A58" s="19" t="s">
        <v>302</v>
      </c>
      <c r="B58" s="17"/>
      <c r="C58" s="17">
        <v>105.86</v>
      </c>
      <c r="D58" s="17">
        <v>56.92</v>
      </c>
      <c r="E58" s="17">
        <v>136.83000000000001</v>
      </c>
      <c r="F58" s="17"/>
      <c r="G58" s="17">
        <v>167.79</v>
      </c>
      <c r="H58" s="17">
        <v>83.87</v>
      </c>
      <c r="I58" s="17">
        <v>172.76999999999998</v>
      </c>
      <c r="J58" s="17">
        <v>106.86</v>
      </c>
      <c r="K58" s="17">
        <v>47.94</v>
      </c>
      <c r="L58" s="17">
        <v>55.92</v>
      </c>
      <c r="M58" s="17">
        <v>32.96</v>
      </c>
      <c r="N58" s="17">
        <v>33.96</v>
      </c>
      <c r="O58" s="17">
        <v>89.87</v>
      </c>
      <c r="P58" s="17">
        <v>9.98</v>
      </c>
      <c r="Q58" s="17">
        <v>107.85000000000001</v>
      </c>
      <c r="R58" s="17">
        <v>70.900000000000006</v>
      </c>
      <c r="S58" s="17">
        <v>136.81</v>
      </c>
      <c r="T58" s="17">
        <v>136.82999999999998</v>
      </c>
      <c r="U58" s="17">
        <v>28.96</v>
      </c>
      <c r="V58" s="17"/>
      <c r="W58" s="17">
        <v>45.94</v>
      </c>
      <c r="X58" s="17">
        <v>153.81</v>
      </c>
      <c r="Y58" s="17">
        <v>85.88</v>
      </c>
      <c r="Z58" s="17">
        <v>1868.5099999999998</v>
      </c>
    </row>
    <row r="59" spans="1:26" x14ac:dyDescent="0.25">
      <c r="A59" s="19" t="s">
        <v>83</v>
      </c>
      <c r="B59" s="17"/>
      <c r="C59" s="17"/>
      <c r="D59" s="17"/>
      <c r="E59" s="17"/>
      <c r="F59" s="17"/>
      <c r="G59" s="17"/>
      <c r="H59" s="17">
        <v>46.93</v>
      </c>
      <c r="I59" s="17"/>
      <c r="J59" s="17"/>
      <c r="K59" s="17"/>
      <c r="L59" s="17">
        <v>27.97</v>
      </c>
      <c r="M59" s="17"/>
      <c r="N59" s="17"/>
      <c r="O59" s="17"/>
      <c r="P59" s="17"/>
      <c r="Q59" s="17"/>
      <c r="R59" s="17"/>
      <c r="S59" s="17">
        <v>38.950000000000003</v>
      </c>
      <c r="T59" s="17">
        <v>9.99</v>
      </c>
      <c r="U59" s="17">
        <v>7.99</v>
      </c>
      <c r="V59" s="17"/>
      <c r="W59" s="17"/>
      <c r="X59" s="17">
        <v>5.99</v>
      </c>
      <c r="Y59" s="17"/>
      <c r="Z59" s="17">
        <v>137.82000000000002</v>
      </c>
    </row>
    <row r="60" spans="1:26" x14ac:dyDescent="0.25">
      <c r="A60" s="19" t="s">
        <v>353</v>
      </c>
      <c r="B60" s="17"/>
      <c r="C60" s="17"/>
      <c r="D60" s="17"/>
      <c r="E60" s="17">
        <v>14.97</v>
      </c>
      <c r="F60" s="17"/>
      <c r="G60" s="17"/>
      <c r="H60" s="17"/>
      <c r="I60" s="17"/>
      <c r="J60" s="17"/>
      <c r="K60" s="17"/>
      <c r="L60" s="17"/>
      <c r="M60" s="17"/>
      <c r="N60" s="17"/>
      <c r="O60" s="17">
        <v>145.79000000000002</v>
      </c>
      <c r="P60" s="17">
        <v>129.83000000000001</v>
      </c>
      <c r="Q60" s="17">
        <v>93.88</v>
      </c>
      <c r="R60" s="17">
        <v>13.98</v>
      </c>
      <c r="S60" s="17"/>
      <c r="T60" s="17"/>
      <c r="U60" s="17"/>
      <c r="V60" s="17"/>
      <c r="W60" s="17"/>
      <c r="X60" s="17"/>
      <c r="Y60" s="17"/>
      <c r="Z60" s="17">
        <v>398.45000000000005</v>
      </c>
    </row>
    <row r="61" spans="1:26" x14ac:dyDescent="0.25">
      <c r="A61" s="19" t="s">
        <v>179</v>
      </c>
      <c r="B61" s="17"/>
      <c r="C61" s="17"/>
      <c r="D61" s="17"/>
      <c r="E61" s="17"/>
      <c r="F61" s="17"/>
      <c r="G61" s="17"/>
      <c r="H61" s="17"/>
      <c r="I61" s="17"/>
      <c r="J61" s="17"/>
      <c r="K61" s="17">
        <v>24.97</v>
      </c>
      <c r="L61" s="17"/>
      <c r="M61" s="17"/>
      <c r="N61" s="17"/>
      <c r="O61" s="17"/>
      <c r="P61" s="17"/>
      <c r="Q61" s="17"/>
      <c r="R61" s="17"/>
      <c r="S61" s="17"/>
      <c r="T61" s="17"/>
      <c r="U61" s="17"/>
      <c r="V61" s="17"/>
      <c r="W61" s="17"/>
      <c r="X61" s="17"/>
      <c r="Y61" s="17"/>
      <c r="Z61" s="17">
        <v>24.97</v>
      </c>
    </row>
    <row r="62" spans="1:26" x14ac:dyDescent="0.25">
      <c r="A62" s="19" t="s">
        <v>236</v>
      </c>
      <c r="B62" s="17"/>
      <c r="C62" s="17"/>
      <c r="D62" s="17"/>
      <c r="E62" s="17"/>
      <c r="F62" s="17"/>
      <c r="G62" s="17"/>
      <c r="H62" s="17"/>
      <c r="I62" s="17"/>
      <c r="J62" s="17"/>
      <c r="K62" s="17"/>
      <c r="L62" s="17"/>
      <c r="M62" s="17"/>
      <c r="N62" s="17"/>
      <c r="O62" s="17"/>
      <c r="P62" s="17">
        <v>38.950000000000003</v>
      </c>
      <c r="Q62" s="17"/>
      <c r="R62" s="17"/>
      <c r="S62" s="17"/>
      <c r="T62" s="17"/>
      <c r="U62" s="17"/>
      <c r="V62" s="17"/>
      <c r="W62" s="17"/>
      <c r="X62" s="17"/>
      <c r="Y62" s="17"/>
      <c r="Z62" s="17">
        <v>38.950000000000003</v>
      </c>
    </row>
    <row r="63" spans="1:26" x14ac:dyDescent="0.25">
      <c r="A63" s="19" t="s">
        <v>191</v>
      </c>
      <c r="B63" s="17"/>
      <c r="C63" s="17"/>
      <c r="D63" s="17"/>
      <c r="E63" s="17"/>
      <c r="F63" s="17"/>
      <c r="G63" s="17"/>
      <c r="H63" s="17"/>
      <c r="I63" s="17"/>
      <c r="J63" s="17">
        <v>48.93</v>
      </c>
      <c r="K63" s="17"/>
      <c r="L63" s="17">
        <v>78.91</v>
      </c>
      <c r="M63" s="17"/>
      <c r="N63" s="17"/>
      <c r="O63" s="17"/>
      <c r="P63" s="17"/>
      <c r="Q63" s="17"/>
      <c r="R63" s="17"/>
      <c r="S63" s="17"/>
      <c r="T63" s="17"/>
      <c r="U63" s="17"/>
      <c r="V63" s="17"/>
      <c r="W63" s="17"/>
      <c r="X63" s="17"/>
      <c r="Y63" s="17"/>
      <c r="Z63" s="17">
        <v>127.84</v>
      </c>
    </row>
    <row r="64" spans="1:26" x14ac:dyDescent="0.25">
      <c r="A64" s="19" t="s">
        <v>137</v>
      </c>
      <c r="B64" s="17"/>
      <c r="C64" s="17">
        <v>40.94</v>
      </c>
      <c r="D64" s="17">
        <v>59.93</v>
      </c>
      <c r="E64" s="17">
        <v>40.94</v>
      </c>
      <c r="F64" s="17">
        <v>52.92</v>
      </c>
      <c r="G64" s="17"/>
      <c r="H64" s="17"/>
      <c r="I64" s="17"/>
      <c r="J64" s="17"/>
      <c r="K64" s="17"/>
      <c r="L64" s="17"/>
      <c r="M64" s="17"/>
      <c r="N64" s="17"/>
      <c r="O64" s="17"/>
      <c r="P64" s="17"/>
      <c r="Q64" s="17"/>
      <c r="R64" s="17">
        <v>14.98</v>
      </c>
      <c r="S64" s="17"/>
      <c r="T64" s="17">
        <v>18.97</v>
      </c>
      <c r="U64" s="17"/>
      <c r="V64" s="17">
        <v>19.97</v>
      </c>
      <c r="W64" s="17">
        <v>56.93</v>
      </c>
      <c r="X64" s="17"/>
      <c r="Y64" s="17"/>
      <c r="Z64" s="17">
        <v>305.58</v>
      </c>
    </row>
    <row r="65" spans="1:26" x14ac:dyDescent="0.25">
      <c r="A65" s="19" t="s">
        <v>92</v>
      </c>
      <c r="B65" s="17"/>
      <c r="C65" s="17"/>
      <c r="D65" s="17"/>
      <c r="E65" s="17"/>
      <c r="F65" s="17"/>
      <c r="G65" s="17"/>
      <c r="H65" s="17"/>
      <c r="I65" s="17"/>
      <c r="J65" s="17"/>
      <c r="K65" s="17"/>
      <c r="L65" s="17"/>
      <c r="M65" s="17"/>
      <c r="N65" s="17"/>
      <c r="O65" s="17">
        <v>213.72</v>
      </c>
      <c r="P65" s="17">
        <v>58.92</v>
      </c>
      <c r="Q65" s="17">
        <v>98.88</v>
      </c>
      <c r="R65" s="17">
        <v>26.97</v>
      </c>
      <c r="S65" s="17"/>
      <c r="T65" s="17"/>
      <c r="U65" s="17"/>
      <c r="V65" s="17"/>
      <c r="W65" s="17"/>
      <c r="X65" s="17"/>
      <c r="Y65" s="17"/>
      <c r="Z65" s="17">
        <v>398.49</v>
      </c>
    </row>
    <row r="66" spans="1:26" x14ac:dyDescent="0.25">
      <c r="A66" s="19" t="s">
        <v>176</v>
      </c>
      <c r="B66" s="17"/>
      <c r="C66" s="17">
        <v>14.98</v>
      </c>
      <c r="D66" s="17"/>
      <c r="E66" s="17"/>
      <c r="F66" s="17"/>
      <c r="G66" s="17"/>
      <c r="H66" s="17">
        <v>48.940000000000005</v>
      </c>
      <c r="I66" s="17"/>
      <c r="J66" s="17"/>
      <c r="K66" s="17"/>
      <c r="L66" s="17"/>
      <c r="M66" s="17"/>
      <c r="N66" s="17"/>
      <c r="O66" s="17">
        <v>46.93</v>
      </c>
      <c r="P66" s="17"/>
      <c r="Q66" s="17">
        <v>29.96</v>
      </c>
      <c r="R66" s="17"/>
      <c r="S66" s="17"/>
      <c r="T66" s="17"/>
      <c r="U66" s="17"/>
      <c r="V66" s="17"/>
      <c r="W66" s="17"/>
      <c r="X66" s="17"/>
      <c r="Y66" s="17"/>
      <c r="Z66" s="17">
        <v>140.81</v>
      </c>
    </row>
    <row r="67" spans="1:26" x14ac:dyDescent="0.25">
      <c r="A67" s="19" t="s">
        <v>143</v>
      </c>
      <c r="B67" s="17"/>
      <c r="C67" s="17"/>
      <c r="D67" s="17"/>
      <c r="E67" s="17"/>
      <c r="F67" s="17">
        <v>40.950000000000003</v>
      </c>
      <c r="G67" s="17"/>
      <c r="H67" s="17"/>
      <c r="I67" s="17"/>
      <c r="J67" s="17"/>
      <c r="K67" s="17"/>
      <c r="L67" s="17"/>
      <c r="M67" s="17"/>
      <c r="N67" s="17"/>
      <c r="O67" s="17"/>
      <c r="P67" s="17"/>
      <c r="Q67" s="17">
        <v>11.98</v>
      </c>
      <c r="R67" s="17"/>
      <c r="S67" s="17"/>
      <c r="T67" s="17">
        <v>34.96</v>
      </c>
      <c r="U67" s="17"/>
      <c r="V67" s="17"/>
      <c r="W67" s="17"/>
      <c r="X67" s="17"/>
      <c r="Y67" s="17"/>
      <c r="Z67" s="17">
        <v>87.890000000000015</v>
      </c>
    </row>
    <row r="68" spans="1:26" x14ac:dyDescent="0.25">
      <c r="A68" s="19" t="s">
        <v>266</v>
      </c>
      <c r="B68" s="17"/>
      <c r="C68" s="17"/>
      <c r="D68" s="17"/>
      <c r="E68" s="17"/>
      <c r="F68" s="17"/>
      <c r="G68" s="17"/>
      <c r="H68" s="17"/>
      <c r="I68" s="17"/>
      <c r="J68" s="17"/>
      <c r="K68" s="17"/>
      <c r="L68" s="17"/>
      <c r="M68" s="17"/>
      <c r="N68" s="17"/>
      <c r="O68" s="17"/>
      <c r="P68" s="17"/>
      <c r="Q68" s="17">
        <v>19.97</v>
      </c>
      <c r="R68" s="17"/>
      <c r="S68" s="17">
        <v>92.86</v>
      </c>
      <c r="T68" s="17"/>
      <c r="U68" s="17">
        <v>23.97</v>
      </c>
      <c r="V68" s="17"/>
      <c r="W68" s="17"/>
      <c r="X68" s="17"/>
      <c r="Y68" s="17"/>
      <c r="Z68" s="17">
        <v>136.80000000000001</v>
      </c>
    </row>
    <row r="69" spans="1:26" x14ac:dyDescent="0.25">
      <c r="A69" s="19" t="s">
        <v>200</v>
      </c>
      <c r="B69" s="17"/>
      <c r="C69" s="17"/>
      <c r="D69" s="17"/>
      <c r="E69" s="17"/>
      <c r="F69" s="17"/>
      <c r="G69" s="17"/>
      <c r="H69" s="17"/>
      <c r="I69" s="17"/>
      <c r="J69" s="17"/>
      <c r="K69" s="17">
        <v>63.92</v>
      </c>
      <c r="L69" s="17"/>
      <c r="M69" s="17"/>
      <c r="N69" s="17"/>
      <c r="O69" s="17"/>
      <c r="P69" s="17"/>
      <c r="Q69" s="17"/>
      <c r="R69" s="17"/>
      <c r="S69" s="17"/>
      <c r="T69" s="17"/>
      <c r="U69" s="17"/>
      <c r="V69" s="17"/>
      <c r="W69" s="17"/>
      <c r="X69" s="17"/>
      <c r="Y69" s="17"/>
      <c r="Z69" s="17">
        <v>63.92</v>
      </c>
    </row>
    <row r="70" spans="1:26" x14ac:dyDescent="0.25">
      <c r="A70" s="19" t="s">
        <v>73</v>
      </c>
      <c r="B70" s="17"/>
      <c r="C70" s="17"/>
      <c r="D70" s="17">
        <v>29.97</v>
      </c>
      <c r="E70" s="17"/>
      <c r="F70" s="17"/>
      <c r="G70" s="17"/>
      <c r="H70" s="17"/>
      <c r="I70" s="17"/>
      <c r="J70" s="17"/>
      <c r="K70" s="17">
        <v>25.97</v>
      </c>
      <c r="L70" s="17"/>
      <c r="M70" s="17"/>
      <c r="N70" s="17"/>
      <c r="O70" s="17">
        <v>13.98</v>
      </c>
      <c r="P70" s="17">
        <v>16.97</v>
      </c>
      <c r="Q70" s="17">
        <v>60.92</v>
      </c>
      <c r="R70" s="17"/>
      <c r="S70" s="17">
        <v>36.950000000000003</v>
      </c>
      <c r="T70" s="17"/>
      <c r="U70" s="17"/>
      <c r="V70" s="17"/>
      <c r="W70" s="17">
        <v>74.92</v>
      </c>
      <c r="X70" s="17">
        <v>9.99</v>
      </c>
      <c r="Y70" s="17"/>
      <c r="Z70" s="17">
        <v>269.67</v>
      </c>
    </row>
    <row r="71" spans="1:26" x14ac:dyDescent="0.25">
      <c r="A71" s="19" t="s">
        <v>221</v>
      </c>
      <c r="B71" s="17"/>
      <c r="C71" s="17">
        <v>206.73</v>
      </c>
      <c r="D71" s="17">
        <v>14.98</v>
      </c>
      <c r="E71" s="17">
        <v>56.92</v>
      </c>
      <c r="F71" s="17">
        <v>4.99</v>
      </c>
      <c r="G71" s="17">
        <v>57.93</v>
      </c>
      <c r="H71" s="17">
        <v>90.87</v>
      </c>
      <c r="I71" s="17">
        <v>78.89</v>
      </c>
      <c r="J71" s="17">
        <v>177.78</v>
      </c>
      <c r="K71" s="17">
        <v>63.91</v>
      </c>
      <c r="L71" s="17">
        <v>43.94</v>
      </c>
      <c r="M71" s="17">
        <v>17.98</v>
      </c>
      <c r="N71" s="17">
        <v>182.77</v>
      </c>
      <c r="O71" s="17">
        <v>146.82999999999998</v>
      </c>
      <c r="P71" s="17">
        <v>116.85</v>
      </c>
      <c r="Q71" s="17">
        <v>64.92</v>
      </c>
      <c r="R71" s="17">
        <v>31.96</v>
      </c>
      <c r="S71" s="17">
        <v>138.82999999999998</v>
      </c>
      <c r="T71" s="17">
        <v>12.98</v>
      </c>
      <c r="U71" s="17">
        <v>129.82</v>
      </c>
      <c r="V71" s="17">
        <v>102.86</v>
      </c>
      <c r="W71" s="17">
        <v>161.78</v>
      </c>
      <c r="X71" s="17">
        <v>25.96</v>
      </c>
      <c r="Y71" s="17">
        <v>57.92</v>
      </c>
      <c r="Z71" s="17">
        <v>1988.3999999999999</v>
      </c>
    </row>
    <row r="72" spans="1:26" x14ac:dyDescent="0.25">
      <c r="A72" s="19" t="s">
        <v>335</v>
      </c>
      <c r="B72" s="17"/>
      <c r="C72" s="17"/>
      <c r="D72" s="17"/>
      <c r="E72" s="17"/>
      <c r="F72" s="17"/>
      <c r="G72" s="17"/>
      <c r="H72" s="17"/>
      <c r="I72" s="17"/>
      <c r="J72" s="17">
        <v>40.950000000000003</v>
      </c>
      <c r="K72" s="17"/>
      <c r="L72" s="17"/>
      <c r="M72" s="17"/>
      <c r="N72" s="17"/>
      <c r="O72" s="17"/>
      <c r="P72" s="17"/>
      <c r="Q72" s="17"/>
      <c r="R72" s="17"/>
      <c r="S72" s="17"/>
      <c r="T72" s="17"/>
      <c r="U72" s="17"/>
      <c r="V72" s="17"/>
      <c r="W72" s="17"/>
      <c r="X72" s="17"/>
      <c r="Y72" s="17"/>
      <c r="Z72" s="17">
        <v>40.950000000000003</v>
      </c>
    </row>
    <row r="73" spans="1:26" x14ac:dyDescent="0.25">
      <c r="A73" s="19" t="s">
        <v>245</v>
      </c>
      <c r="B73" s="17"/>
      <c r="C73" s="17">
        <v>5.99</v>
      </c>
      <c r="D73" s="17">
        <v>81.89</v>
      </c>
      <c r="E73" s="17">
        <v>22.97</v>
      </c>
      <c r="F73" s="17">
        <v>97.87</v>
      </c>
      <c r="G73" s="17">
        <v>6.99</v>
      </c>
      <c r="H73" s="17">
        <v>30.96</v>
      </c>
      <c r="I73" s="17">
        <v>158.80000000000001</v>
      </c>
      <c r="J73" s="17">
        <v>195.76000000000002</v>
      </c>
      <c r="K73" s="17">
        <v>17.98</v>
      </c>
      <c r="L73" s="17">
        <v>177.75</v>
      </c>
      <c r="M73" s="17">
        <v>80.900000000000006</v>
      </c>
      <c r="N73" s="17">
        <v>69.91</v>
      </c>
      <c r="O73" s="17">
        <v>526.32000000000005</v>
      </c>
      <c r="P73" s="17">
        <v>172.77</v>
      </c>
      <c r="Q73" s="17">
        <v>197.73000000000002</v>
      </c>
      <c r="R73" s="17">
        <v>53.93</v>
      </c>
      <c r="S73" s="17">
        <v>105.85000000000001</v>
      </c>
      <c r="T73" s="17">
        <v>158.81</v>
      </c>
      <c r="U73" s="17">
        <v>98.88</v>
      </c>
      <c r="V73" s="17">
        <v>76.89</v>
      </c>
      <c r="W73" s="17">
        <v>38.94</v>
      </c>
      <c r="X73" s="17">
        <v>82.890000000000015</v>
      </c>
      <c r="Y73" s="17">
        <v>132.84</v>
      </c>
      <c r="Z73" s="17">
        <v>2593.6200000000003</v>
      </c>
    </row>
    <row r="74" spans="1:26" x14ac:dyDescent="0.25">
      <c r="A74" s="19" t="s">
        <v>98</v>
      </c>
      <c r="B74" s="17"/>
      <c r="C74" s="17">
        <v>55.92</v>
      </c>
      <c r="D74" s="17">
        <v>45.93</v>
      </c>
      <c r="E74" s="17">
        <v>12.98</v>
      </c>
      <c r="F74" s="17">
        <v>65.92</v>
      </c>
      <c r="G74" s="17"/>
      <c r="H74" s="17">
        <v>72.89</v>
      </c>
      <c r="I74" s="17">
        <v>141.80000000000001</v>
      </c>
      <c r="J74" s="17">
        <v>19.98</v>
      </c>
      <c r="K74" s="17">
        <v>16.97</v>
      </c>
      <c r="L74" s="17">
        <v>124.84</v>
      </c>
      <c r="M74" s="17">
        <v>20.96</v>
      </c>
      <c r="N74" s="17"/>
      <c r="O74" s="17">
        <v>141.79</v>
      </c>
      <c r="P74" s="17">
        <v>228.70000000000002</v>
      </c>
      <c r="Q74" s="17">
        <v>69.91</v>
      </c>
      <c r="R74" s="17">
        <v>38.950000000000003</v>
      </c>
      <c r="S74" s="17">
        <v>193.77</v>
      </c>
      <c r="T74" s="17">
        <v>124.85</v>
      </c>
      <c r="U74" s="17"/>
      <c r="V74" s="17"/>
      <c r="W74" s="17"/>
      <c r="X74" s="17">
        <v>79.88000000000001</v>
      </c>
      <c r="Y74" s="17">
        <v>87.9</v>
      </c>
      <c r="Z74" s="17">
        <v>1543.94</v>
      </c>
    </row>
    <row r="75" spans="1:26" x14ac:dyDescent="0.25">
      <c r="A75" s="19" t="s">
        <v>296</v>
      </c>
      <c r="B75" s="17"/>
      <c r="C75" s="17"/>
      <c r="D75" s="17"/>
      <c r="E75" s="17"/>
      <c r="F75" s="17"/>
      <c r="G75" s="17"/>
      <c r="H75" s="17"/>
      <c r="I75" s="17"/>
      <c r="J75" s="17"/>
      <c r="K75" s="17"/>
      <c r="L75" s="17"/>
      <c r="M75" s="17"/>
      <c r="N75" s="17"/>
      <c r="O75" s="17">
        <v>64.930000000000007</v>
      </c>
      <c r="P75" s="17">
        <v>154.81</v>
      </c>
      <c r="Q75" s="17">
        <v>74.900000000000006</v>
      </c>
      <c r="R75" s="17">
        <v>108.85000000000001</v>
      </c>
      <c r="S75" s="17">
        <v>29.96</v>
      </c>
      <c r="T75" s="17"/>
      <c r="U75" s="17"/>
      <c r="V75" s="17"/>
      <c r="W75" s="17"/>
      <c r="X75" s="17"/>
      <c r="Y75" s="17"/>
      <c r="Z75" s="17">
        <v>433.45</v>
      </c>
    </row>
    <row r="76" spans="1:26" x14ac:dyDescent="0.25">
      <c r="A76" s="19" t="s">
        <v>254</v>
      </c>
      <c r="B76" s="17"/>
      <c r="C76" s="17"/>
      <c r="D76" s="17"/>
      <c r="E76" s="17"/>
      <c r="F76" s="17"/>
      <c r="G76" s="17"/>
      <c r="H76" s="17"/>
      <c r="I76" s="17"/>
      <c r="J76" s="17"/>
      <c r="K76" s="17"/>
      <c r="L76" s="17"/>
      <c r="M76" s="17"/>
      <c r="N76" s="17"/>
      <c r="O76" s="17"/>
      <c r="P76" s="17"/>
      <c r="Q76" s="17"/>
      <c r="R76" s="17"/>
      <c r="S76" s="17"/>
      <c r="T76" s="17"/>
      <c r="U76" s="17"/>
      <c r="V76" s="17"/>
      <c r="W76" s="17">
        <v>13.98</v>
      </c>
      <c r="X76" s="17"/>
      <c r="Y76" s="17"/>
      <c r="Z76" s="17">
        <v>13.98</v>
      </c>
    </row>
    <row r="77" spans="1:26" x14ac:dyDescent="0.25">
      <c r="A77" s="19" t="s">
        <v>332</v>
      </c>
      <c r="B77" s="17"/>
      <c r="C77" s="17"/>
      <c r="D77" s="17"/>
      <c r="E77" s="17"/>
      <c r="F77" s="17"/>
      <c r="G77" s="17"/>
      <c r="H77" s="17"/>
      <c r="I77" s="17"/>
      <c r="J77" s="17"/>
      <c r="K77" s="17"/>
      <c r="L77" s="17"/>
      <c r="M77" s="17">
        <v>53.94</v>
      </c>
      <c r="N77" s="17"/>
      <c r="O77" s="17"/>
      <c r="P77" s="17"/>
      <c r="Q77" s="17"/>
      <c r="R77" s="17"/>
      <c r="S77" s="17"/>
      <c r="T77" s="17"/>
      <c r="U77" s="17"/>
      <c r="V77" s="17"/>
      <c r="W77" s="17"/>
      <c r="X77" s="17"/>
      <c r="Y77" s="17"/>
      <c r="Z77" s="17">
        <v>53.94</v>
      </c>
    </row>
    <row r="78" spans="1:26" x14ac:dyDescent="0.25">
      <c r="A78" s="19" t="s">
        <v>278</v>
      </c>
      <c r="B78" s="17"/>
      <c r="C78" s="17">
        <v>8.99</v>
      </c>
      <c r="D78" s="17"/>
      <c r="E78" s="17"/>
      <c r="F78" s="17"/>
      <c r="G78" s="17"/>
      <c r="H78" s="17">
        <v>47.94</v>
      </c>
      <c r="I78" s="17"/>
      <c r="J78" s="17">
        <v>177.78000000000003</v>
      </c>
      <c r="K78" s="17"/>
      <c r="L78" s="17"/>
      <c r="M78" s="17"/>
      <c r="N78" s="17"/>
      <c r="O78" s="17">
        <v>174.76</v>
      </c>
      <c r="P78" s="17">
        <v>79.91</v>
      </c>
      <c r="Q78" s="17">
        <v>102.86</v>
      </c>
      <c r="R78" s="17">
        <v>31.96</v>
      </c>
      <c r="S78" s="17"/>
      <c r="T78" s="17"/>
      <c r="U78" s="17"/>
      <c r="V78" s="17"/>
      <c r="W78" s="17"/>
      <c r="X78" s="17">
        <v>40.94</v>
      </c>
      <c r="Y78" s="17"/>
      <c r="Z78" s="17">
        <v>665.1400000000001</v>
      </c>
    </row>
    <row r="79" spans="1:26" x14ac:dyDescent="0.25">
      <c r="A79" s="19" t="s">
        <v>158</v>
      </c>
      <c r="B79" s="17"/>
      <c r="C79" s="17"/>
      <c r="D79" s="17"/>
      <c r="E79" s="17"/>
      <c r="F79" s="17"/>
      <c r="G79" s="17"/>
      <c r="H79" s="17"/>
      <c r="I79" s="17"/>
      <c r="J79" s="17">
        <v>17.98</v>
      </c>
      <c r="K79" s="17"/>
      <c r="L79" s="17"/>
      <c r="M79" s="17"/>
      <c r="N79" s="17"/>
      <c r="O79" s="17">
        <v>5.99</v>
      </c>
      <c r="P79" s="17"/>
      <c r="Q79" s="17"/>
      <c r="R79" s="17"/>
      <c r="S79" s="17"/>
      <c r="T79" s="17"/>
      <c r="U79" s="17"/>
      <c r="V79" s="17">
        <v>71.91</v>
      </c>
      <c r="W79" s="17"/>
      <c r="X79" s="17"/>
      <c r="Y79" s="17"/>
      <c r="Z79" s="17">
        <v>95.88</v>
      </c>
    </row>
    <row r="80" spans="1:26" x14ac:dyDescent="0.25">
      <c r="A80" s="19" t="s">
        <v>119</v>
      </c>
      <c r="B80" s="17"/>
      <c r="C80" s="17"/>
      <c r="D80" s="17"/>
      <c r="E80" s="17"/>
      <c r="F80" s="17"/>
      <c r="G80" s="17">
        <v>73.91</v>
      </c>
      <c r="H80" s="17">
        <v>102.88</v>
      </c>
      <c r="I80" s="17"/>
      <c r="J80" s="17">
        <v>103.87</v>
      </c>
      <c r="K80" s="17"/>
      <c r="L80" s="17"/>
      <c r="M80" s="17">
        <v>47.94</v>
      </c>
      <c r="N80" s="17"/>
      <c r="O80" s="17">
        <v>14.98</v>
      </c>
      <c r="P80" s="17"/>
      <c r="Q80" s="17">
        <v>17.98</v>
      </c>
      <c r="R80" s="17">
        <v>103.87</v>
      </c>
      <c r="S80" s="17">
        <v>58.930000000000007</v>
      </c>
      <c r="T80" s="17">
        <v>8.99</v>
      </c>
      <c r="U80" s="17">
        <v>99.87</v>
      </c>
      <c r="V80" s="17">
        <v>44.94</v>
      </c>
      <c r="W80" s="17">
        <v>82.9</v>
      </c>
      <c r="X80" s="17"/>
      <c r="Y80" s="17">
        <v>6.99</v>
      </c>
      <c r="Z80" s="17">
        <v>768.05000000000007</v>
      </c>
    </row>
    <row r="81" spans="1:26" x14ac:dyDescent="0.25">
      <c r="A81" s="19" t="s">
        <v>344</v>
      </c>
      <c r="B81" s="17"/>
      <c r="C81" s="17"/>
      <c r="D81" s="17"/>
      <c r="E81" s="17"/>
      <c r="F81" s="17"/>
      <c r="G81" s="17"/>
      <c r="H81" s="17"/>
      <c r="I81" s="17"/>
      <c r="J81" s="17"/>
      <c r="K81" s="17">
        <v>45.94</v>
      </c>
      <c r="L81" s="17"/>
      <c r="M81" s="17"/>
      <c r="N81" s="17"/>
      <c r="O81" s="17">
        <v>76.900000000000006</v>
      </c>
      <c r="P81" s="17">
        <v>61.910000000000004</v>
      </c>
      <c r="Q81" s="17">
        <v>110.85</v>
      </c>
      <c r="R81" s="17"/>
      <c r="S81" s="17"/>
      <c r="T81" s="17"/>
      <c r="U81" s="17"/>
      <c r="V81" s="17"/>
      <c r="W81" s="17"/>
      <c r="X81" s="17"/>
      <c r="Y81" s="17"/>
      <c r="Z81" s="17">
        <v>295.60000000000002</v>
      </c>
    </row>
    <row r="82" spans="1:26" x14ac:dyDescent="0.25">
      <c r="A82" s="19" t="s">
        <v>110</v>
      </c>
      <c r="B82" s="17"/>
      <c r="C82" s="17"/>
      <c r="D82" s="17"/>
      <c r="E82" s="17"/>
      <c r="F82" s="17"/>
      <c r="G82" s="17"/>
      <c r="H82" s="17"/>
      <c r="I82" s="17"/>
      <c r="J82" s="17"/>
      <c r="K82" s="17"/>
      <c r="L82" s="17"/>
      <c r="M82" s="17"/>
      <c r="N82" s="17"/>
      <c r="O82" s="17"/>
      <c r="P82" s="17"/>
      <c r="Q82" s="17"/>
      <c r="R82" s="17"/>
      <c r="S82" s="17"/>
      <c r="T82" s="17"/>
      <c r="U82" s="17"/>
      <c r="V82" s="17">
        <v>59.92</v>
      </c>
      <c r="W82" s="17"/>
      <c r="X82" s="17"/>
      <c r="Y82" s="17"/>
      <c r="Z82" s="17">
        <v>59.92</v>
      </c>
    </row>
    <row r="83" spans="1:26" x14ac:dyDescent="0.25">
      <c r="A83" s="19" t="s">
        <v>185</v>
      </c>
      <c r="B83" s="17"/>
      <c r="C83" s="17"/>
      <c r="D83" s="17"/>
      <c r="E83" s="17"/>
      <c r="F83" s="17"/>
      <c r="G83" s="17"/>
      <c r="H83" s="17"/>
      <c r="I83" s="17">
        <v>58.92</v>
      </c>
      <c r="J83" s="17"/>
      <c r="K83" s="17"/>
      <c r="L83" s="17"/>
      <c r="M83" s="17"/>
      <c r="N83" s="17"/>
      <c r="O83" s="17"/>
      <c r="P83" s="17"/>
      <c r="Q83" s="17"/>
      <c r="R83" s="17"/>
      <c r="S83" s="17"/>
      <c r="T83" s="17"/>
      <c r="U83" s="17"/>
      <c r="V83" s="17"/>
      <c r="W83" s="17"/>
      <c r="X83" s="17"/>
      <c r="Y83" s="17"/>
      <c r="Z83" s="17">
        <v>58.92</v>
      </c>
    </row>
    <row r="84" spans="1:26" x14ac:dyDescent="0.25">
      <c r="A84" s="19" t="s">
        <v>182</v>
      </c>
      <c r="B84" s="17"/>
      <c r="C84" s="17">
        <v>16.97</v>
      </c>
      <c r="D84" s="17"/>
      <c r="E84" s="17"/>
      <c r="F84" s="17"/>
      <c r="G84" s="17">
        <v>69.92</v>
      </c>
      <c r="H84" s="17"/>
      <c r="I84" s="17"/>
      <c r="J84" s="17">
        <v>40.950000000000003</v>
      </c>
      <c r="K84" s="17">
        <v>44.94</v>
      </c>
      <c r="L84" s="17"/>
      <c r="M84" s="17"/>
      <c r="N84" s="17">
        <v>57.92</v>
      </c>
      <c r="O84" s="17">
        <v>153.81</v>
      </c>
      <c r="P84" s="17">
        <v>156.80000000000001</v>
      </c>
      <c r="Q84" s="17">
        <v>173.79000000000002</v>
      </c>
      <c r="R84" s="17">
        <v>93.89</v>
      </c>
      <c r="S84" s="17">
        <v>42.94</v>
      </c>
      <c r="T84" s="17"/>
      <c r="U84" s="17"/>
      <c r="V84" s="17">
        <v>35.96</v>
      </c>
      <c r="W84" s="17"/>
      <c r="X84" s="17">
        <v>53.94</v>
      </c>
      <c r="Y84" s="17"/>
      <c r="Z84" s="17">
        <v>941.82999999999993</v>
      </c>
    </row>
    <row r="85" spans="1:26" x14ac:dyDescent="0.25">
      <c r="A85" s="19" t="s">
        <v>317</v>
      </c>
      <c r="B85" s="17"/>
      <c r="C85" s="17">
        <v>24.97</v>
      </c>
      <c r="D85" s="17"/>
      <c r="E85" s="17">
        <v>73.91</v>
      </c>
      <c r="F85" s="17">
        <v>30.95</v>
      </c>
      <c r="G85" s="17"/>
      <c r="H85" s="17">
        <v>14.98</v>
      </c>
      <c r="I85" s="17"/>
      <c r="J85" s="17"/>
      <c r="K85" s="17">
        <v>45.94</v>
      </c>
      <c r="L85" s="17"/>
      <c r="M85" s="17"/>
      <c r="N85" s="17"/>
      <c r="O85" s="17">
        <v>236.69</v>
      </c>
      <c r="P85" s="17">
        <v>112.86000000000001</v>
      </c>
      <c r="Q85" s="17">
        <v>166.76999999999998</v>
      </c>
      <c r="R85" s="17">
        <v>102.86</v>
      </c>
      <c r="S85" s="17"/>
      <c r="T85" s="17"/>
      <c r="U85" s="17"/>
      <c r="V85" s="17">
        <v>86.89</v>
      </c>
      <c r="W85" s="17">
        <v>61.92</v>
      </c>
      <c r="X85" s="17">
        <v>13.98</v>
      </c>
      <c r="Y85" s="17"/>
      <c r="Z85" s="17">
        <v>972.71999999999991</v>
      </c>
    </row>
    <row r="86" spans="1:26" x14ac:dyDescent="0.25">
      <c r="A86" s="19" t="s">
        <v>320</v>
      </c>
      <c r="B86" s="17"/>
      <c r="C86" s="17">
        <v>9.99</v>
      </c>
      <c r="D86" s="17">
        <v>73.89</v>
      </c>
      <c r="E86" s="17">
        <v>53.93</v>
      </c>
      <c r="F86" s="17">
        <v>8.99</v>
      </c>
      <c r="G86" s="17"/>
      <c r="H86" s="17">
        <v>40.950000000000003</v>
      </c>
      <c r="I86" s="17"/>
      <c r="J86" s="17"/>
      <c r="K86" s="17"/>
      <c r="L86" s="17"/>
      <c r="M86" s="17">
        <v>39.93</v>
      </c>
      <c r="N86" s="17"/>
      <c r="O86" s="17"/>
      <c r="P86" s="17"/>
      <c r="Q86" s="17"/>
      <c r="R86" s="17">
        <v>36.950000000000003</v>
      </c>
      <c r="S86" s="17"/>
      <c r="T86" s="17"/>
      <c r="U86" s="17"/>
      <c r="V86" s="17">
        <v>44.95</v>
      </c>
      <c r="W86" s="17"/>
      <c r="X86" s="17"/>
      <c r="Y86" s="17">
        <v>20.97</v>
      </c>
      <c r="Z86" s="17">
        <v>330.54999999999995</v>
      </c>
    </row>
    <row r="87" spans="1:26" x14ac:dyDescent="0.25">
      <c r="A87" s="19" t="s">
        <v>251</v>
      </c>
      <c r="B87" s="17"/>
      <c r="C87" s="17"/>
      <c r="D87" s="17"/>
      <c r="E87" s="17"/>
      <c r="F87" s="17"/>
      <c r="G87" s="17"/>
      <c r="H87" s="17"/>
      <c r="I87" s="17"/>
      <c r="J87" s="17"/>
      <c r="K87" s="17"/>
      <c r="L87" s="17"/>
      <c r="M87" s="17"/>
      <c r="N87" s="17">
        <v>57.92</v>
      </c>
      <c r="O87" s="17">
        <v>176.77</v>
      </c>
      <c r="P87" s="17">
        <v>44.94</v>
      </c>
      <c r="Q87" s="17">
        <v>194.74</v>
      </c>
      <c r="R87" s="17">
        <v>38.950000000000003</v>
      </c>
      <c r="S87" s="17"/>
      <c r="T87" s="17">
        <v>44.95</v>
      </c>
      <c r="U87" s="17"/>
      <c r="V87" s="17"/>
      <c r="W87" s="17">
        <v>86.899999999999991</v>
      </c>
      <c r="X87" s="17"/>
      <c r="Y87" s="17"/>
      <c r="Z87" s="17">
        <v>645.17000000000007</v>
      </c>
    </row>
    <row r="88" spans="1:26" x14ac:dyDescent="0.25">
      <c r="A88" s="19" t="s">
        <v>146</v>
      </c>
      <c r="B88" s="17"/>
      <c r="C88" s="17"/>
      <c r="D88" s="17"/>
      <c r="E88" s="17"/>
      <c r="F88" s="17">
        <v>53.93</v>
      </c>
      <c r="G88" s="17">
        <v>57.930000000000007</v>
      </c>
      <c r="H88" s="17"/>
      <c r="I88" s="17"/>
      <c r="J88" s="17">
        <v>37.94</v>
      </c>
      <c r="K88" s="17"/>
      <c r="L88" s="17">
        <v>21.97</v>
      </c>
      <c r="M88" s="17"/>
      <c r="N88" s="17">
        <v>32.96</v>
      </c>
      <c r="O88" s="17">
        <v>63.91</v>
      </c>
      <c r="P88" s="17"/>
      <c r="Q88" s="17">
        <v>17.98</v>
      </c>
      <c r="R88" s="17"/>
      <c r="S88" s="17"/>
      <c r="T88" s="17">
        <v>45.95</v>
      </c>
      <c r="U88" s="17"/>
      <c r="V88" s="17"/>
      <c r="W88" s="17">
        <v>30.96</v>
      </c>
      <c r="X88" s="17"/>
      <c r="Y88" s="17"/>
      <c r="Z88" s="17">
        <v>363.53</v>
      </c>
    </row>
    <row r="89" spans="1:26" x14ac:dyDescent="0.25">
      <c r="A89" s="19" t="s">
        <v>360</v>
      </c>
      <c r="B89" s="17"/>
      <c r="C89" s="17"/>
      <c r="D89" s="17"/>
      <c r="E89" s="17"/>
      <c r="F89" s="17"/>
      <c r="G89" s="17"/>
      <c r="H89" s="17">
        <v>28.97</v>
      </c>
      <c r="I89" s="17"/>
      <c r="J89" s="17">
        <v>40.950000000000003</v>
      </c>
      <c r="K89" s="17"/>
      <c r="L89" s="17">
        <v>45.94</v>
      </c>
      <c r="M89" s="17">
        <v>43.94</v>
      </c>
      <c r="N89" s="17">
        <v>9.99</v>
      </c>
      <c r="O89" s="17"/>
      <c r="P89" s="17">
        <v>52.92</v>
      </c>
      <c r="Q89" s="17"/>
      <c r="R89" s="17"/>
      <c r="S89" s="17">
        <v>45.93</v>
      </c>
      <c r="T89" s="17"/>
      <c r="U89" s="17"/>
      <c r="V89" s="17">
        <v>17.97</v>
      </c>
      <c r="W89" s="17"/>
      <c r="X89" s="17"/>
      <c r="Y89" s="17"/>
      <c r="Z89" s="17">
        <v>286.61</v>
      </c>
    </row>
    <row r="90" spans="1:26" x14ac:dyDescent="0.25">
      <c r="A90" s="19" t="s">
        <v>293</v>
      </c>
      <c r="B90" s="17"/>
      <c r="C90" s="17"/>
      <c r="D90" s="17"/>
      <c r="E90" s="17">
        <v>73.900000000000006</v>
      </c>
      <c r="F90" s="17">
        <v>60.91</v>
      </c>
      <c r="G90" s="17">
        <v>11.98</v>
      </c>
      <c r="H90" s="17">
        <v>24.97</v>
      </c>
      <c r="I90" s="17">
        <v>27.97</v>
      </c>
      <c r="J90" s="17"/>
      <c r="K90" s="17">
        <v>25.96</v>
      </c>
      <c r="L90" s="17">
        <v>118.86000000000001</v>
      </c>
      <c r="M90" s="17">
        <v>25.97</v>
      </c>
      <c r="N90" s="17">
        <v>18.97</v>
      </c>
      <c r="O90" s="17"/>
      <c r="P90" s="17"/>
      <c r="Q90" s="17"/>
      <c r="R90" s="17"/>
      <c r="S90" s="17"/>
      <c r="T90" s="17"/>
      <c r="U90" s="17"/>
      <c r="V90" s="17"/>
      <c r="W90" s="17">
        <v>54.92</v>
      </c>
      <c r="X90" s="17"/>
      <c r="Y90" s="17"/>
      <c r="Z90" s="17">
        <v>444.41</v>
      </c>
    </row>
    <row r="91" spans="1:26" x14ac:dyDescent="0.25">
      <c r="A91" s="19" t="s">
        <v>329</v>
      </c>
      <c r="B91" s="17"/>
      <c r="C91" s="17">
        <v>51.92</v>
      </c>
      <c r="D91" s="17">
        <v>132.84</v>
      </c>
      <c r="E91" s="17"/>
      <c r="F91" s="17"/>
      <c r="G91" s="17">
        <v>4.99</v>
      </c>
      <c r="H91" s="17"/>
      <c r="I91" s="17"/>
      <c r="J91" s="17"/>
      <c r="K91" s="17"/>
      <c r="L91" s="17">
        <v>85.89</v>
      </c>
      <c r="M91" s="17"/>
      <c r="N91" s="17"/>
      <c r="O91" s="17"/>
      <c r="P91" s="17"/>
      <c r="Q91" s="17">
        <v>95.87</v>
      </c>
      <c r="R91" s="17"/>
      <c r="S91" s="17">
        <v>18.97</v>
      </c>
      <c r="T91" s="17"/>
      <c r="U91" s="17"/>
      <c r="V91" s="17"/>
      <c r="W91" s="17"/>
      <c r="X91" s="17">
        <v>61.92</v>
      </c>
      <c r="Y91" s="17"/>
      <c r="Z91" s="17">
        <v>452.40000000000003</v>
      </c>
    </row>
    <row r="92" spans="1:26" x14ac:dyDescent="0.25">
      <c r="A92" s="19" t="s">
        <v>86</v>
      </c>
      <c r="B92" s="17"/>
      <c r="C92" s="17">
        <v>67.91</v>
      </c>
      <c r="D92" s="17"/>
      <c r="E92" s="17"/>
      <c r="F92" s="17">
        <v>9.99</v>
      </c>
      <c r="G92" s="17">
        <v>24.97</v>
      </c>
      <c r="H92" s="17"/>
      <c r="I92" s="17"/>
      <c r="J92" s="17">
        <v>79.87</v>
      </c>
      <c r="K92" s="17"/>
      <c r="L92" s="17">
        <v>39.950000000000003</v>
      </c>
      <c r="M92" s="17"/>
      <c r="N92" s="17">
        <v>110.85</v>
      </c>
      <c r="O92" s="17">
        <v>9.99</v>
      </c>
      <c r="P92" s="17"/>
      <c r="Q92" s="17"/>
      <c r="R92" s="17">
        <v>84.9</v>
      </c>
      <c r="S92" s="17">
        <v>6.99</v>
      </c>
      <c r="T92" s="17">
        <v>56.93</v>
      </c>
      <c r="U92" s="17"/>
      <c r="V92" s="17"/>
      <c r="W92" s="17"/>
      <c r="X92" s="17"/>
      <c r="Y92" s="17"/>
      <c r="Z92" s="17">
        <v>492.34999999999997</v>
      </c>
    </row>
    <row r="93" spans="1:26" x14ac:dyDescent="0.25">
      <c r="A93" s="19" t="s">
        <v>308</v>
      </c>
      <c r="B93" s="17"/>
      <c r="C93" s="17">
        <v>30.96</v>
      </c>
      <c r="D93" s="17"/>
      <c r="E93" s="17">
        <v>81.89</v>
      </c>
      <c r="F93" s="17"/>
      <c r="G93" s="17"/>
      <c r="H93" s="17"/>
      <c r="I93" s="17">
        <v>50.93</v>
      </c>
      <c r="J93" s="17"/>
      <c r="K93" s="17">
        <v>47.94</v>
      </c>
      <c r="L93" s="17">
        <v>43.95</v>
      </c>
      <c r="M93" s="17"/>
      <c r="N93" s="17">
        <v>35.96</v>
      </c>
      <c r="O93" s="17">
        <v>94.88</v>
      </c>
      <c r="P93" s="17">
        <v>115.84</v>
      </c>
      <c r="Q93" s="17">
        <v>176.78</v>
      </c>
      <c r="R93" s="17">
        <v>33.96</v>
      </c>
      <c r="S93" s="17"/>
      <c r="T93" s="17">
        <v>22.97</v>
      </c>
      <c r="U93" s="17">
        <v>77.91</v>
      </c>
      <c r="V93" s="17"/>
      <c r="W93" s="17"/>
      <c r="X93" s="17">
        <v>44.94</v>
      </c>
      <c r="Y93" s="17"/>
      <c r="Z93" s="17">
        <v>858.91000000000008</v>
      </c>
    </row>
    <row r="94" spans="1:26" x14ac:dyDescent="0.25">
      <c r="A94" s="19" t="s">
        <v>167</v>
      </c>
      <c r="B94" s="17"/>
      <c r="C94" s="17"/>
      <c r="D94" s="17"/>
      <c r="E94" s="17"/>
      <c r="F94" s="17"/>
      <c r="G94" s="17"/>
      <c r="H94" s="17"/>
      <c r="I94" s="17"/>
      <c r="J94" s="17"/>
      <c r="K94" s="17"/>
      <c r="L94" s="17"/>
      <c r="M94" s="17"/>
      <c r="N94" s="17"/>
      <c r="O94" s="17"/>
      <c r="P94" s="17"/>
      <c r="Q94" s="17"/>
      <c r="R94" s="17"/>
      <c r="S94" s="17"/>
      <c r="T94" s="17"/>
      <c r="U94" s="17"/>
      <c r="V94" s="17"/>
      <c r="W94" s="17"/>
      <c r="X94" s="17">
        <v>46.94</v>
      </c>
      <c r="Y94" s="17">
        <v>41.94</v>
      </c>
      <c r="Z94" s="17">
        <v>88.88</v>
      </c>
    </row>
    <row r="95" spans="1:26" x14ac:dyDescent="0.25">
      <c r="A95" s="19" t="s">
        <v>341</v>
      </c>
      <c r="B95" s="17"/>
      <c r="C95" s="17"/>
      <c r="D95" s="17">
        <v>67.91</v>
      </c>
      <c r="E95" s="17"/>
      <c r="F95" s="17"/>
      <c r="G95" s="17">
        <v>20.97</v>
      </c>
      <c r="H95" s="17">
        <v>15.98</v>
      </c>
      <c r="I95" s="17">
        <v>157.79000000000002</v>
      </c>
      <c r="J95" s="17"/>
      <c r="K95" s="17">
        <v>33.950000000000003</v>
      </c>
      <c r="L95" s="17"/>
      <c r="M95" s="17">
        <v>50.93</v>
      </c>
      <c r="N95" s="17">
        <v>102.86</v>
      </c>
      <c r="O95" s="17"/>
      <c r="P95" s="17"/>
      <c r="Q95" s="17">
        <v>16.98</v>
      </c>
      <c r="R95" s="17"/>
      <c r="S95" s="17"/>
      <c r="T95" s="17">
        <v>46.94</v>
      </c>
      <c r="U95" s="17">
        <v>51.93</v>
      </c>
      <c r="V95" s="17"/>
      <c r="W95" s="17">
        <v>81.89</v>
      </c>
      <c r="X95" s="17"/>
      <c r="Y95" s="17"/>
      <c r="Z95" s="17">
        <v>648.13</v>
      </c>
    </row>
    <row r="96" spans="1:26" x14ac:dyDescent="0.25">
      <c r="A96" s="19" t="s">
        <v>140</v>
      </c>
      <c r="B96" s="17"/>
      <c r="C96" s="17"/>
      <c r="D96" s="17"/>
      <c r="E96" s="17"/>
      <c r="F96" s="17"/>
      <c r="G96" s="17"/>
      <c r="H96" s="17"/>
      <c r="I96" s="17"/>
      <c r="J96" s="17"/>
      <c r="K96" s="17"/>
      <c r="L96" s="17"/>
      <c r="M96" s="17"/>
      <c r="N96" s="17"/>
      <c r="O96" s="17">
        <v>132.82</v>
      </c>
      <c r="P96" s="17">
        <v>123.82000000000001</v>
      </c>
      <c r="Q96" s="17">
        <v>135.84</v>
      </c>
      <c r="R96" s="17"/>
      <c r="S96" s="17">
        <v>34.96</v>
      </c>
      <c r="T96" s="17"/>
      <c r="U96" s="17"/>
      <c r="V96" s="17"/>
      <c r="W96" s="17">
        <v>29.96</v>
      </c>
      <c r="X96" s="17"/>
      <c r="Y96" s="17"/>
      <c r="Z96" s="17">
        <v>457.4</v>
      </c>
    </row>
    <row r="97" spans="1:26" x14ac:dyDescent="0.25">
      <c r="A97" s="19" t="s">
        <v>77</v>
      </c>
      <c r="B97" s="17"/>
      <c r="C97" s="17"/>
      <c r="D97" s="17">
        <v>7.99</v>
      </c>
      <c r="E97" s="17"/>
      <c r="F97" s="17"/>
      <c r="G97" s="17"/>
      <c r="H97" s="17"/>
      <c r="I97" s="17"/>
      <c r="J97" s="17"/>
      <c r="K97" s="17"/>
      <c r="L97" s="17"/>
      <c r="M97" s="17"/>
      <c r="N97" s="17">
        <v>54.93</v>
      </c>
      <c r="O97" s="17">
        <v>9.98</v>
      </c>
      <c r="P97" s="17"/>
      <c r="Q97" s="17"/>
      <c r="R97" s="17"/>
      <c r="S97" s="17"/>
      <c r="T97" s="17"/>
      <c r="U97" s="17"/>
      <c r="V97" s="17"/>
      <c r="W97" s="17"/>
      <c r="X97" s="17"/>
      <c r="Y97" s="17"/>
      <c r="Z97" s="17">
        <v>72.900000000000006</v>
      </c>
    </row>
    <row r="98" spans="1:26" x14ac:dyDescent="0.25">
      <c r="A98" s="19" t="s">
        <v>263</v>
      </c>
      <c r="B98" s="17"/>
      <c r="C98" s="17">
        <v>22.97</v>
      </c>
      <c r="D98" s="17"/>
      <c r="E98" s="17"/>
      <c r="F98" s="17"/>
      <c r="G98" s="17">
        <v>33.96</v>
      </c>
      <c r="H98" s="17">
        <v>28.96</v>
      </c>
      <c r="I98" s="17">
        <v>16.98</v>
      </c>
      <c r="J98" s="17">
        <v>18.98</v>
      </c>
      <c r="K98" s="17">
        <v>48.94</v>
      </c>
      <c r="L98" s="17"/>
      <c r="M98" s="17"/>
      <c r="N98" s="17">
        <v>78.900000000000006</v>
      </c>
      <c r="O98" s="17"/>
      <c r="P98" s="17">
        <v>68.91</v>
      </c>
      <c r="Q98" s="17"/>
      <c r="R98" s="17">
        <v>47.95</v>
      </c>
      <c r="S98" s="17"/>
      <c r="T98" s="17"/>
      <c r="U98" s="17"/>
      <c r="V98" s="17"/>
      <c r="W98" s="17"/>
      <c r="X98" s="17">
        <v>11.98</v>
      </c>
      <c r="Y98" s="17">
        <v>42.95</v>
      </c>
      <c r="Z98" s="17">
        <v>421.48</v>
      </c>
    </row>
    <row r="99" spans="1:26" x14ac:dyDescent="0.25">
      <c r="A99" s="19" t="s">
        <v>149</v>
      </c>
      <c r="B99" s="17"/>
      <c r="C99" s="17">
        <v>50.93</v>
      </c>
      <c r="D99" s="17"/>
      <c r="E99" s="17"/>
      <c r="F99" s="17">
        <v>52.93</v>
      </c>
      <c r="G99" s="17"/>
      <c r="H99" s="17">
        <v>16.98</v>
      </c>
      <c r="I99" s="17"/>
      <c r="J99" s="17"/>
      <c r="K99" s="17">
        <v>54.93</v>
      </c>
      <c r="L99" s="17"/>
      <c r="M99" s="17"/>
      <c r="N99" s="17"/>
      <c r="O99" s="17"/>
      <c r="P99" s="17">
        <v>6.99</v>
      </c>
      <c r="Q99" s="17">
        <v>50.93</v>
      </c>
      <c r="R99" s="17">
        <v>32.950000000000003</v>
      </c>
      <c r="S99" s="17">
        <v>6.99</v>
      </c>
      <c r="T99" s="17"/>
      <c r="U99" s="17"/>
      <c r="V99" s="17"/>
      <c r="W99" s="17"/>
      <c r="X99" s="17"/>
      <c r="Y99" s="17">
        <v>23.96</v>
      </c>
      <c r="Z99" s="17">
        <v>297.59000000000003</v>
      </c>
    </row>
    <row r="100" spans="1:26" x14ac:dyDescent="0.25">
      <c r="A100" s="19" t="s">
        <v>69</v>
      </c>
      <c r="B100" s="17"/>
      <c r="C100" s="17"/>
      <c r="D100" s="17"/>
      <c r="E100" s="17"/>
      <c r="F100" s="17"/>
      <c r="G100" s="17"/>
      <c r="H100" s="17"/>
      <c r="I100" s="17"/>
      <c r="J100" s="17"/>
      <c r="K100" s="17">
        <v>21.96</v>
      </c>
      <c r="L100" s="17"/>
      <c r="M100" s="17"/>
      <c r="N100" s="17"/>
      <c r="O100" s="17">
        <v>11.98</v>
      </c>
      <c r="P100" s="17">
        <v>8.99</v>
      </c>
      <c r="Q100" s="17">
        <v>6.99</v>
      </c>
      <c r="R100" s="17">
        <v>6.99</v>
      </c>
      <c r="S100" s="17"/>
      <c r="T100" s="17"/>
      <c r="U100" s="17"/>
      <c r="V100" s="17"/>
      <c r="W100" s="17"/>
      <c r="X100" s="17"/>
      <c r="Y100" s="17"/>
      <c r="Z100" s="17">
        <v>56.910000000000004</v>
      </c>
    </row>
    <row r="101" spans="1:26" x14ac:dyDescent="0.25">
      <c r="A101" s="19" t="s">
        <v>4497</v>
      </c>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spans="1:26" x14ac:dyDescent="0.25">
      <c r="A102" s="19" t="s">
        <v>4493</v>
      </c>
      <c r="B102" s="17"/>
      <c r="C102" s="17">
        <v>1852.5800000000006</v>
      </c>
      <c r="D102" s="17">
        <v>1540.0100000000004</v>
      </c>
      <c r="E102" s="17">
        <v>1578.9300000000005</v>
      </c>
      <c r="F102" s="17">
        <v>1649.8000000000006</v>
      </c>
      <c r="G102" s="17">
        <v>1467.0700000000004</v>
      </c>
      <c r="H102" s="17">
        <v>1656.8100000000006</v>
      </c>
      <c r="I102" s="17">
        <v>2052.3500000000004</v>
      </c>
      <c r="J102" s="17">
        <v>2058.34</v>
      </c>
      <c r="K102" s="17">
        <v>1594.8800000000008</v>
      </c>
      <c r="L102" s="17">
        <v>1868.6100000000004</v>
      </c>
      <c r="M102" s="17">
        <v>1159.4600000000005</v>
      </c>
      <c r="N102" s="17">
        <v>1986.4800000000005</v>
      </c>
      <c r="O102" s="17">
        <v>5892.239999999998</v>
      </c>
      <c r="P102" s="17">
        <v>3951.7799999999993</v>
      </c>
      <c r="Q102" s="17">
        <v>4940.57</v>
      </c>
      <c r="R102" s="17">
        <v>2351.96</v>
      </c>
      <c r="S102" s="17">
        <v>1948.43</v>
      </c>
      <c r="T102" s="17">
        <v>1973.4200000000003</v>
      </c>
      <c r="U102" s="17">
        <v>1800.67</v>
      </c>
      <c r="V102" s="17">
        <v>1451.0500000000006</v>
      </c>
      <c r="W102" s="17">
        <v>2184.1600000000008</v>
      </c>
      <c r="X102" s="17">
        <v>1440.0500000000006</v>
      </c>
      <c r="Y102" s="17">
        <v>1442.1400000000003</v>
      </c>
      <c r="Z102" s="17">
        <v>49841.790000000015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65"/>
  <sheetViews>
    <sheetView workbookViewId="0">
      <selection activeCell="A2" sqref="A2"/>
    </sheetView>
  </sheetViews>
  <sheetFormatPr baseColWidth="10" defaultRowHeight="15" x14ac:dyDescent="0.25"/>
  <cols>
    <col min="1" max="1" width="32.5703125" bestFit="1" customWidth="1"/>
    <col min="2" max="2" width="22.42578125" bestFit="1" customWidth="1"/>
    <col min="3" max="4" width="8" bestFit="1" customWidth="1"/>
    <col min="5" max="5" width="7.7109375" bestFit="1" customWidth="1"/>
    <col min="6" max="7" width="8" bestFit="1" customWidth="1"/>
    <col min="8" max="8" width="7.7109375" bestFit="1" customWidth="1"/>
    <col min="9" max="10" width="8" customWidth="1"/>
    <col min="11" max="13" width="8" bestFit="1" customWidth="1"/>
    <col min="14" max="14" width="12.5703125" bestFit="1" customWidth="1"/>
    <col min="15" max="15" width="11" bestFit="1" customWidth="1"/>
    <col min="16" max="16" width="12.5703125" bestFit="1" customWidth="1"/>
    <col min="17" max="292" width="10.42578125" customWidth="1"/>
    <col min="293" max="293" width="12.5703125" customWidth="1"/>
    <col min="294" max="294" width="18.140625" bestFit="1" customWidth="1"/>
    <col min="295" max="295" width="16.5703125" bestFit="1" customWidth="1"/>
    <col min="296" max="296" width="18.140625" bestFit="1" customWidth="1"/>
    <col min="297" max="297" width="16.5703125" bestFit="1" customWidth="1"/>
    <col min="298" max="298" width="18.140625" bestFit="1" customWidth="1"/>
    <col min="299" max="299" width="16.5703125" bestFit="1" customWidth="1"/>
    <col min="300" max="300" width="18.140625" bestFit="1" customWidth="1"/>
    <col min="301" max="301" width="16.5703125" bestFit="1" customWidth="1"/>
    <col min="302" max="302" width="18.140625" bestFit="1" customWidth="1"/>
    <col min="303" max="303" width="16.5703125" bestFit="1" customWidth="1"/>
    <col min="304" max="304" width="18.140625" bestFit="1" customWidth="1"/>
    <col min="305" max="305" width="16.5703125" bestFit="1" customWidth="1"/>
    <col min="306" max="306" width="18.140625" bestFit="1" customWidth="1"/>
    <col min="307" max="307" width="16.5703125" bestFit="1" customWidth="1"/>
    <col min="308" max="308" width="18.140625" bestFit="1" customWidth="1"/>
    <col min="309" max="309" width="16.5703125" bestFit="1" customWidth="1"/>
    <col min="310" max="310" width="18.140625" bestFit="1" customWidth="1"/>
    <col min="311" max="311" width="16.5703125" bestFit="1" customWidth="1"/>
    <col min="312" max="312" width="18.140625" bestFit="1" customWidth="1"/>
    <col min="313" max="313" width="16.5703125" bestFit="1" customWidth="1"/>
    <col min="314" max="314" width="18.140625" bestFit="1" customWidth="1"/>
    <col min="315" max="315" width="16.5703125" bestFit="1" customWidth="1"/>
    <col min="316" max="316" width="18.140625" bestFit="1" customWidth="1"/>
    <col min="317" max="317" width="16.5703125" bestFit="1" customWidth="1"/>
    <col min="318" max="318" width="18.140625" bestFit="1" customWidth="1"/>
    <col min="319" max="319" width="16.5703125" bestFit="1" customWidth="1"/>
    <col min="320" max="320" width="18.140625" bestFit="1" customWidth="1"/>
    <col min="321" max="321" width="16.5703125" bestFit="1" customWidth="1"/>
    <col min="322" max="322" width="18.140625" bestFit="1" customWidth="1"/>
    <col min="323" max="323" width="16.5703125" bestFit="1" customWidth="1"/>
    <col min="324" max="324" width="18.140625" bestFit="1" customWidth="1"/>
    <col min="325" max="325" width="16.5703125" bestFit="1" customWidth="1"/>
    <col min="326" max="326" width="18.140625" bestFit="1" customWidth="1"/>
    <col min="327" max="327" width="16.5703125" bestFit="1" customWidth="1"/>
    <col min="328" max="328" width="18.140625" bestFit="1" customWidth="1"/>
    <col min="329" max="329" width="16.5703125" bestFit="1" customWidth="1"/>
    <col min="330" max="330" width="18.140625" bestFit="1" customWidth="1"/>
    <col min="331" max="331" width="16.5703125" bestFit="1" customWidth="1"/>
    <col min="332" max="332" width="18.140625" bestFit="1" customWidth="1"/>
    <col min="333" max="333" width="16.5703125" bestFit="1" customWidth="1"/>
    <col min="334" max="334" width="18.140625" bestFit="1" customWidth="1"/>
    <col min="335" max="335" width="16.5703125" bestFit="1" customWidth="1"/>
    <col min="336" max="336" width="18.140625" bestFit="1" customWidth="1"/>
    <col min="337" max="337" width="16.5703125" bestFit="1" customWidth="1"/>
    <col min="338" max="338" width="18.140625" bestFit="1" customWidth="1"/>
    <col min="339" max="339" width="16.5703125" bestFit="1" customWidth="1"/>
    <col min="340" max="340" width="18.140625" bestFit="1" customWidth="1"/>
    <col min="341" max="341" width="16.5703125" bestFit="1" customWidth="1"/>
    <col min="342" max="342" width="18.140625" bestFit="1" customWidth="1"/>
    <col min="343" max="343" width="16.5703125" bestFit="1" customWidth="1"/>
    <col min="344" max="344" width="18.140625" bestFit="1" customWidth="1"/>
    <col min="345" max="345" width="16.5703125" bestFit="1" customWidth="1"/>
    <col min="346" max="346" width="18.140625" bestFit="1" customWidth="1"/>
    <col min="347" max="347" width="16.5703125" bestFit="1" customWidth="1"/>
    <col min="348" max="348" width="18.140625" bestFit="1" customWidth="1"/>
    <col min="349" max="349" width="16.5703125" bestFit="1" customWidth="1"/>
    <col min="350" max="350" width="18.140625" bestFit="1" customWidth="1"/>
    <col min="351" max="351" width="16.5703125" bestFit="1" customWidth="1"/>
    <col min="352" max="352" width="18.140625" bestFit="1" customWidth="1"/>
    <col min="353" max="353" width="16.5703125" bestFit="1" customWidth="1"/>
    <col min="354" max="354" width="18.140625" bestFit="1" customWidth="1"/>
    <col min="355" max="355" width="16.5703125" bestFit="1" customWidth="1"/>
    <col min="356" max="356" width="18.140625" bestFit="1" customWidth="1"/>
    <col min="357" max="357" width="16.5703125" bestFit="1" customWidth="1"/>
    <col min="358" max="358" width="18.140625" bestFit="1" customWidth="1"/>
    <col min="359" max="359" width="16.5703125" bestFit="1" customWidth="1"/>
    <col min="360" max="360" width="18.140625" bestFit="1" customWidth="1"/>
    <col min="361" max="361" width="16.5703125" bestFit="1" customWidth="1"/>
    <col min="362" max="362" width="18.140625" bestFit="1" customWidth="1"/>
    <col min="363" max="363" width="16.5703125" bestFit="1" customWidth="1"/>
    <col min="364" max="364" width="18.140625" bestFit="1" customWidth="1"/>
    <col min="365" max="365" width="16.5703125" bestFit="1" customWidth="1"/>
    <col min="366" max="366" width="18.140625" bestFit="1" customWidth="1"/>
    <col min="367" max="367" width="16.5703125" bestFit="1" customWidth="1"/>
    <col min="368" max="368" width="18.140625" bestFit="1" customWidth="1"/>
    <col min="369" max="369" width="16.5703125" bestFit="1" customWidth="1"/>
    <col min="370" max="370" width="18.140625" bestFit="1" customWidth="1"/>
    <col min="371" max="371" width="16.5703125" bestFit="1" customWidth="1"/>
    <col min="372" max="372" width="18.140625" bestFit="1" customWidth="1"/>
    <col min="373" max="373" width="16.5703125" bestFit="1" customWidth="1"/>
    <col min="374" max="374" width="18.140625" bestFit="1" customWidth="1"/>
    <col min="375" max="375" width="16.5703125" bestFit="1" customWidth="1"/>
    <col min="376" max="376" width="18.140625" bestFit="1" customWidth="1"/>
    <col min="377" max="377" width="16.5703125" bestFit="1" customWidth="1"/>
    <col min="378" max="378" width="18.140625" bestFit="1" customWidth="1"/>
    <col min="379" max="379" width="16.5703125" bestFit="1" customWidth="1"/>
    <col min="380" max="380" width="18.140625" bestFit="1" customWidth="1"/>
    <col min="381" max="381" width="16.5703125" bestFit="1" customWidth="1"/>
    <col min="382" max="382" width="18.140625" bestFit="1" customWidth="1"/>
    <col min="383" max="383" width="16.5703125" bestFit="1" customWidth="1"/>
    <col min="384" max="384" width="18.140625" bestFit="1" customWidth="1"/>
    <col min="385" max="385" width="16.5703125" bestFit="1" customWidth="1"/>
    <col min="386" max="386" width="18.140625" bestFit="1" customWidth="1"/>
    <col min="387" max="387" width="16.5703125" bestFit="1" customWidth="1"/>
    <col min="388" max="388" width="18.140625" bestFit="1" customWidth="1"/>
    <col min="389" max="389" width="16.5703125" bestFit="1" customWidth="1"/>
    <col min="390" max="390" width="18.140625" bestFit="1" customWidth="1"/>
    <col min="391" max="391" width="16.5703125" bestFit="1" customWidth="1"/>
    <col min="392" max="392" width="18.140625" bestFit="1" customWidth="1"/>
    <col min="393" max="393" width="16.5703125" bestFit="1" customWidth="1"/>
    <col min="394" max="394" width="18.140625" bestFit="1" customWidth="1"/>
    <col min="395" max="395" width="16.5703125" bestFit="1" customWidth="1"/>
    <col min="396" max="396" width="18.140625" bestFit="1" customWidth="1"/>
    <col min="397" max="397" width="16.5703125" bestFit="1" customWidth="1"/>
    <col min="398" max="398" width="18.140625" bestFit="1" customWidth="1"/>
    <col min="399" max="399" width="16.5703125" bestFit="1" customWidth="1"/>
    <col min="400" max="400" width="18.140625" bestFit="1" customWidth="1"/>
    <col min="401" max="401" width="16.5703125" bestFit="1" customWidth="1"/>
    <col min="402" max="402" width="18.140625" bestFit="1" customWidth="1"/>
    <col min="403" max="403" width="16.5703125" bestFit="1" customWidth="1"/>
    <col min="404" max="404" width="18.140625" bestFit="1" customWidth="1"/>
    <col min="405" max="405" width="16.5703125" bestFit="1" customWidth="1"/>
    <col min="406" max="406" width="18.140625" bestFit="1" customWidth="1"/>
    <col min="407" max="407" width="16.5703125" bestFit="1" customWidth="1"/>
    <col min="408" max="408" width="18.140625" bestFit="1" customWidth="1"/>
    <col min="409" max="409" width="16.5703125" bestFit="1" customWidth="1"/>
    <col min="410" max="410" width="18.140625" bestFit="1" customWidth="1"/>
    <col min="411" max="411" width="16.5703125" bestFit="1" customWidth="1"/>
    <col min="412" max="412" width="18.140625" bestFit="1" customWidth="1"/>
    <col min="413" max="413" width="16.5703125" bestFit="1" customWidth="1"/>
    <col min="414" max="414" width="18.140625" bestFit="1" customWidth="1"/>
    <col min="415" max="415" width="16.5703125" bestFit="1" customWidth="1"/>
    <col min="416" max="416" width="18.140625" bestFit="1" customWidth="1"/>
    <col min="417" max="417" width="16.5703125" bestFit="1" customWidth="1"/>
    <col min="418" max="418" width="18.140625" bestFit="1" customWidth="1"/>
    <col min="419" max="419" width="16.5703125" bestFit="1" customWidth="1"/>
    <col min="420" max="420" width="18.140625" bestFit="1" customWidth="1"/>
    <col min="421" max="421" width="16.5703125" bestFit="1" customWidth="1"/>
    <col min="422" max="422" width="18.140625" bestFit="1" customWidth="1"/>
    <col min="423" max="423" width="16.5703125" bestFit="1" customWidth="1"/>
    <col min="424" max="424" width="18.140625" bestFit="1" customWidth="1"/>
    <col min="425" max="425" width="16.5703125" bestFit="1" customWidth="1"/>
    <col min="426" max="426" width="18.140625" bestFit="1" customWidth="1"/>
    <col min="427" max="427" width="16.5703125" bestFit="1" customWidth="1"/>
    <col min="428" max="428" width="18.140625" bestFit="1" customWidth="1"/>
    <col min="429" max="429" width="16.5703125" bestFit="1" customWidth="1"/>
    <col min="430" max="430" width="18.140625" bestFit="1" customWidth="1"/>
    <col min="431" max="431" width="16.5703125" bestFit="1" customWidth="1"/>
    <col min="432" max="432" width="18.140625" bestFit="1" customWidth="1"/>
    <col min="433" max="433" width="16.5703125" bestFit="1" customWidth="1"/>
    <col min="434" max="434" width="18.140625" bestFit="1" customWidth="1"/>
    <col min="435" max="435" width="16.5703125" bestFit="1" customWidth="1"/>
    <col min="436" max="436" width="18.140625" bestFit="1" customWidth="1"/>
    <col min="437" max="437" width="16.5703125" bestFit="1" customWidth="1"/>
    <col min="438" max="438" width="18.140625" bestFit="1" customWidth="1"/>
    <col min="439" max="439" width="16.5703125" bestFit="1" customWidth="1"/>
    <col min="440" max="440" width="18.140625" bestFit="1" customWidth="1"/>
    <col min="441" max="441" width="16.5703125" bestFit="1" customWidth="1"/>
    <col min="442" max="442" width="18.140625" bestFit="1" customWidth="1"/>
    <col min="443" max="443" width="16.5703125" bestFit="1" customWidth="1"/>
    <col min="444" max="444" width="18.140625" bestFit="1" customWidth="1"/>
    <col min="445" max="445" width="16.5703125" bestFit="1" customWidth="1"/>
    <col min="446" max="446" width="18.140625" bestFit="1" customWidth="1"/>
    <col min="447" max="447" width="16.5703125" bestFit="1" customWidth="1"/>
    <col min="448" max="448" width="18.140625" bestFit="1" customWidth="1"/>
    <col min="449" max="449" width="16.5703125" bestFit="1" customWidth="1"/>
    <col min="450" max="450" width="18.140625" bestFit="1" customWidth="1"/>
    <col min="451" max="451" width="16.5703125" bestFit="1" customWidth="1"/>
    <col min="452" max="452" width="18.140625" bestFit="1" customWidth="1"/>
    <col min="453" max="453" width="16.5703125" bestFit="1" customWidth="1"/>
    <col min="454" max="454" width="18.140625" bestFit="1" customWidth="1"/>
    <col min="455" max="455" width="16.5703125" bestFit="1" customWidth="1"/>
    <col min="456" max="456" width="18.140625" bestFit="1" customWidth="1"/>
    <col min="457" max="457" width="16.5703125" bestFit="1" customWidth="1"/>
    <col min="458" max="458" width="18.140625" bestFit="1" customWidth="1"/>
    <col min="459" max="459" width="16.5703125" bestFit="1" customWidth="1"/>
    <col min="460" max="460" width="18.140625" bestFit="1" customWidth="1"/>
    <col min="461" max="461" width="16.5703125" bestFit="1" customWidth="1"/>
    <col min="462" max="462" width="18.140625" bestFit="1" customWidth="1"/>
    <col min="463" max="463" width="16.5703125" bestFit="1" customWidth="1"/>
    <col min="464" max="464" width="18.140625" bestFit="1" customWidth="1"/>
    <col min="465" max="465" width="16.5703125" bestFit="1" customWidth="1"/>
    <col min="466" max="466" width="18.140625" bestFit="1" customWidth="1"/>
    <col min="467" max="467" width="16.5703125" bestFit="1" customWidth="1"/>
    <col min="468" max="468" width="18.140625" bestFit="1" customWidth="1"/>
    <col min="469" max="469" width="16.5703125" bestFit="1" customWidth="1"/>
    <col min="470" max="470" width="18.140625" bestFit="1" customWidth="1"/>
    <col min="471" max="471" width="16.5703125" bestFit="1" customWidth="1"/>
    <col min="472" max="472" width="18.140625" bestFit="1" customWidth="1"/>
    <col min="473" max="473" width="16.5703125" bestFit="1" customWidth="1"/>
    <col min="474" max="474" width="18.140625" bestFit="1" customWidth="1"/>
    <col min="475" max="475" width="16.5703125" bestFit="1" customWidth="1"/>
    <col min="476" max="476" width="18.140625" bestFit="1" customWidth="1"/>
    <col min="477" max="477" width="16.5703125" bestFit="1" customWidth="1"/>
    <col min="478" max="478" width="18.140625" bestFit="1" customWidth="1"/>
    <col min="479" max="479" width="16.5703125" bestFit="1" customWidth="1"/>
    <col min="480" max="480" width="18.140625" bestFit="1" customWidth="1"/>
    <col min="481" max="481" width="16.5703125" bestFit="1" customWidth="1"/>
    <col min="482" max="482" width="18.140625" bestFit="1" customWidth="1"/>
    <col min="483" max="483" width="16.5703125" bestFit="1" customWidth="1"/>
    <col min="484" max="484" width="18.140625" bestFit="1" customWidth="1"/>
    <col min="485" max="485" width="16.5703125" bestFit="1" customWidth="1"/>
    <col min="486" max="486" width="18.140625" bestFit="1" customWidth="1"/>
    <col min="487" max="487" width="16.5703125" bestFit="1" customWidth="1"/>
    <col min="488" max="488" width="18.140625" bestFit="1" customWidth="1"/>
    <col min="489" max="489" width="16.5703125" bestFit="1" customWidth="1"/>
    <col min="490" max="490" width="18.140625" bestFit="1" customWidth="1"/>
    <col min="491" max="491" width="16.5703125" bestFit="1" customWidth="1"/>
    <col min="492" max="492" width="18.140625" bestFit="1" customWidth="1"/>
    <col min="493" max="493" width="16.5703125" bestFit="1" customWidth="1"/>
    <col min="494" max="494" width="18.140625" bestFit="1" customWidth="1"/>
    <col min="495" max="495" width="16.5703125" bestFit="1" customWidth="1"/>
    <col min="496" max="496" width="18.140625" bestFit="1" customWidth="1"/>
    <col min="497" max="497" width="16.5703125" bestFit="1" customWidth="1"/>
    <col min="498" max="498" width="18.140625" bestFit="1" customWidth="1"/>
    <col min="499" max="499" width="16.5703125" bestFit="1" customWidth="1"/>
    <col min="500" max="500" width="18.140625" bestFit="1" customWidth="1"/>
    <col min="501" max="501" width="16.5703125" bestFit="1" customWidth="1"/>
    <col min="502" max="502" width="18.140625" bestFit="1" customWidth="1"/>
    <col min="503" max="503" width="16.5703125" bestFit="1" customWidth="1"/>
    <col min="504" max="504" width="18.140625" bestFit="1" customWidth="1"/>
    <col min="505" max="505" width="16.5703125" bestFit="1" customWidth="1"/>
    <col min="506" max="506" width="18.140625" bestFit="1" customWidth="1"/>
    <col min="507" max="507" width="16.5703125" bestFit="1" customWidth="1"/>
    <col min="508" max="508" width="18.140625" bestFit="1" customWidth="1"/>
    <col min="509" max="509" width="16.5703125" bestFit="1" customWidth="1"/>
    <col min="510" max="510" width="18.140625" bestFit="1" customWidth="1"/>
    <col min="511" max="511" width="16.5703125" bestFit="1" customWidth="1"/>
    <col min="512" max="512" width="18.140625" bestFit="1" customWidth="1"/>
    <col min="513" max="513" width="16.5703125" bestFit="1" customWidth="1"/>
    <col min="514" max="514" width="18.140625" bestFit="1" customWidth="1"/>
    <col min="515" max="515" width="16.5703125" bestFit="1" customWidth="1"/>
    <col min="516" max="516" width="18.140625" bestFit="1" customWidth="1"/>
    <col min="517" max="517" width="16.5703125" bestFit="1" customWidth="1"/>
    <col min="518" max="518" width="18.140625" bestFit="1" customWidth="1"/>
    <col min="519" max="519" width="16.5703125" bestFit="1" customWidth="1"/>
    <col min="520" max="520" width="18.140625" bestFit="1" customWidth="1"/>
    <col min="521" max="521" width="16.5703125" bestFit="1" customWidth="1"/>
    <col min="522" max="522" width="18.140625" bestFit="1" customWidth="1"/>
    <col min="523" max="523" width="16.5703125" bestFit="1" customWidth="1"/>
    <col min="524" max="524" width="18.140625" bestFit="1" customWidth="1"/>
    <col min="525" max="525" width="16.5703125" bestFit="1" customWidth="1"/>
    <col min="526" max="526" width="18.140625" bestFit="1" customWidth="1"/>
    <col min="527" max="527" width="16.5703125" bestFit="1" customWidth="1"/>
    <col min="528" max="528" width="18.140625" bestFit="1" customWidth="1"/>
    <col min="529" max="529" width="16.5703125" bestFit="1" customWidth="1"/>
    <col min="530" max="530" width="18.140625" bestFit="1" customWidth="1"/>
    <col min="531" max="531" width="16.5703125" bestFit="1" customWidth="1"/>
    <col min="532" max="532" width="18.140625" bestFit="1" customWidth="1"/>
    <col min="533" max="533" width="16.5703125" bestFit="1" customWidth="1"/>
    <col min="534" max="534" width="18.140625" bestFit="1" customWidth="1"/>
    <col min="535" max="535" width="16.5703125" bestFit="1" customWidth="1"/>
    <col min="536" max="536" width="18.140625" bestFit="1" customWidth="1"/>
    <col min="537" max="537" width="16.5703125" bestFit="1" customWidth="1"/>
    <col min="538" max="538" width="18.140625" bestFit="1" customWidth="1"/>
    <col min="539" max="539" width="16.5703125" bestFit="1" customWidth="1"/>
    <col min="540" max="540" width="18.140625" bestFit="1" customWidth="1"/>
    <col min="541" max="541" width="16.5703125" bestFit="1" customWidth="1"/>
    <col min="542" max="542" width="18.140625" bestFit="1" customWidth="1"/>
    <col min="543" max="543" width="16.5703125" bestFit="1" customWidth="1"/>
    <col min="544" max="544" width="18.140625" bestFit="1" customWidth="1"/>
    <col min="545" max="545" width="16.5703125" bestFit="1" customWidth="1"/>
    <col min="546" max="546" width="18.140625" bestFit="1" customWidth="1"/>
    <col min="547" max="547" width="16.5703125" bestFit="1" customWidth="1"/>
    <col min="548" max="548" width="18.140625" bestFit="1" customWidth="1"/>
    <col min="549" max="549" width="16.5703125" bestFit="1" customWidth="1"/>
    <col min="550" max="550" width="18.140625" bestFit="1" customWidth="1"/>
    <col min="551" max="551" width="16.5703125" bestFit="1" customWidth="1"/>
    <col min="552" max="552" width="18.140625" bestFit="1" customWidth="1"/>
    <col min="553" max="553" width="16.5703125" bestFit="1" customWidth="1"/>
    <col min="554" max="554" width="18.140625" bestFit="1" customWidth="1"/>
    <col min="555" max="555" width="16.5703125" bestFit="1" customWidth="1"/>
    <col min="556" max="556" width="18.140625" bestFit="1" customWidth="1"/>
    <col min="557" max="557" width="16.5703125" bestFit="1" customWidth="1"/>
    <col min="558" max="558" width="18.140625" bestFit="1" customWidth="1"/>
    <col min="559" max="559" width="16.5703125" bestFit="1" customWidth="1"/>
    <col min="560" max="560" width="18.140625" bestFit="1" customWidth="1"/>
    <col min="561" max="561" width="16.5703125" bestFit="1" customWidth="1"/>
    <col min="562" max="562" width="18.140625" bestFit="1" customWidth="1"/>
    <col min="563" max="563" width="16.5703125" bestFit="1" customWidth="1"/>
    <col min="564" max="564" width="18.140625" bestFit="1" customWidth="1"/>
    <col min="565" max="565" width="16.5703125" bestFit="1" customWidth="1"/>
    <col min="566" max="566" width="18.140625" bestFit="1" customWidth="1"/>
    <col min="567" max="567" width="16.5703125" bestFit="1" customWidth="1"/>
    <col min="568" max="568" width="18.140625" bestFit="1" customWidth="1"/>
    <col min="569" max="569" width="16.5703125" bestFit="1" customWidth="1"/>
    <col min="570" max="570" width="18.140625" bestFit="1" customWidth="1"/>
    <col min="571" max="571" width="16.5703125" bestFit="1" customWidth="1"/>
    <col min="572" max="572" width="18.140625" bestFit="1" customWidth="1"/>
    <col min="573" max="573" width="16.5703125" bestFit="1" customWidth="1"/>
    <col min="574" max="574" width="18.140625" bestFit="1" customWidth="1"/>
    <col min="575" max="575" width="16.5703125" bestFit="1" customWidth="1"/>
    <col min="576" max="576" width="18.140625" bestFit="1" customWidth="1"/>
    <col min="577" max="577" width="16.5703125" bestFit="1" customWidth="1"/>
    <col min="578" max="578" width="18.140625" bestFit="1" customWidth="1"/>
    <col min="579" max="579" width="16.5703125" bestFit="1" customWidth="1"/>
    <col min="580" max="580" width="18.140625" bestFit="1" customWidth="1"/>
    <col min="581" max="581" width="16.5703125" bestFit="1" customWidth="1"/>
    <col min="582" max="582" width="18.140625" bestFit="1" customWidth="1"/>
    <col min="583" max="583" width="16.5703125" bestFit="1" customWidth="1"/>
    <col min="584" max="584" width="23.140625" bestFit="1" customWidth="1"/>
    <col min="585" max="585" width="21.5703125" bestFit="1" customWidth="1"/>
  </cols>
  <sheetData>
    <row r="1" spans="1:14" x14ac:dyDescent="0.25">
      <c r="A1" s="18" t="s">
        <v>4500</v>
      </c>
      <c r="B1" s="18" t="s">
        <v>4494</v>
      </c>
    </row>
    <row r="2" spans="1:14" x14ac:dyDescent="0.25">
      <c r="A2" s="18" t="s">
        <v>4492</v>
      </c>
      <c r="B2" t="s">
        <v>4501</v>
      </c>
      <c r="C2" t="s">
        <v>4502</v>
      </c>
      <c r="D2" t="s">
        <v>4503</v>
      </c>
      <c r="E2" t="s">
        <v>4504</v>
      </c>
      <c r="F2" t="s">
        <v>4505</v>
      </c>
      <c r="G2" t="s">
        <v>4506</v>
      </c>
      <c r="H2" t="s">
        <v>4507</v>
      </c>
      <c r="I2" t="s">
        <v>4508</v>
      </c>
      <c r="J2" t="s">
        <v>4509</v>
      </c>
      <c r="K2" t="s">
        <v>4510</v>
      </c>
      <c r="L2" t="s">
        <v>4511</v>
      </c>
      <c r="M2" t="s">
        <v>4512</v>
      </c>
      <c r="N2" t="s">
        <v>4493</v>
      </c>
    </row>
    <row r="3" spans="1:14" x14ac:dyDescent="0.25">
      <c r="A3" s="19" t="s">
        <v>958</v>
      </c>
      <c r="B3" s="17"/>
      <c r="C3" s="17"/>
      <c r="D3" s="17"/>
      <c r="E3" s="17"/>
      <c r="F3" s="17"/>
      <c r="G3" s="17">
        <v>11.98</v>
      </c>
      <c r="H3" s="17"/>
      <c r="I3" s="17"/>
      <c r="J3" s="17"/>
      <c r="K3" s="17"/>
      <c r="L3" s="17"/>
      <c r="M3" s="17"/>
      <c r="N3" s="17">
        <v>11.98</v>
      </c>
    </row>
    <row r="4" spans="1:14" x14ac:dyDescent="0.25">
      <c r="A4" s="19" t="s">
        <v>955</v>
      </c>
      <c r="B4" s="17"/>
      <c r="C4" s="17"/>
      <c r="D4" s="17">
        <v>26.97</v>
      </c>
      <c r="E4" s="17">
        <v>26.97</v>
      </c>
      <c r="F4" s="17">
        <v>26.97</v>
      </c>
      <c r="G4" s="17">
        <v>8.99</v>
      </c>
      <c r="H4" s="17">
        <v>17.98</v>
      </c>
      <c r="I4" s="17">
        <v>17.98</v>
      </c>
      <c r="J4" s="17">
        <v>8.99</v>
      </c>
      <c r="K4" s="17">
        <v>26.97</v>
      </c>
      <c r="L4" s="17">
        <v>8.99</v>
      </c>
      <c r="M4" s="17">
        <v>26.97</v>
      </c>
      <c r="N4" s="17">
        <v>197.78</v>
      </c>
    </row>
    <row r="5" spans="1:14" x14ac:dyDescent="0.25">
      <c r="A5" s="19" t="s">
        <v>952</v>
      </c>
      <c r="B5" s="17"/>
      <c r="C5" s="17">
        <v>9.99</v>
      </c>
      <c r="D5" s="17">
        <v>19.98</v>
      </c>
      <c r="E5" s="17"/>
      <c r="F5" s="17"/>
      <c r="G5" s="17"/>
      <c r="H5" s="17"/>
      <c r="I5" s="17">
        <v>9.99</v>
      </c>
      <c r="J5" s="17"/>
      <c r="K5" s="17"/>
      <c r="L5" s="17"/>
      <c r="M5" s="17"/>
      <c r="N5" s="17">
        <v>39.96</v>
      </c>
    </row>
    <row r="6" spans="1:14" x14ac:dyDescent="0.25">
      <c r="A6" s="19" t="s">
        <v>948</v>
      </c>
      <c r="B6" s="17">
        <v>29.940000000000005</v>
      </c>
      <c r="C6" s="17">
        <v>69.860000000000014</v>
      </c>
      <c r="D6" s="17">
        <v>29.940000000000005</v>
      </c>
      <c r="E6" s="17">
        <v>24.950000000000003</v>
      </c>
      <c r="F6" s="17">
        <v>24.950000000000003</v>
      </c>
      <c r="G6" s="17">
        <v>74.850000000000009</v>
      </c>
      <c r="H6" s="17">
        <v>69.860000000000014</v>
      </c>
      <c r="I6" s="17">
        <v>19.96</v>
      </c>
      <c r="J6" s="17"/>
      <c r="K6" s="17">
        <v>39.92</v>
      </c>
      <c r="L6" s="17">
        <v>54.890000000000008</v>
      </c>
      <c r="M6" s="17">
        <v>74.850000000000009</v>
      </c>
      <c r="N6" s="17">
        <v>513.97</v>
      </c>
    </row>
    <row r="7" spans="1:14" x14ac:dyDescent="0.25">
      <c r="A7" s="19" t="s">
        <v>945</v>
      </c>
      <c r="B7" s="17">
        <v>4.99</v>
      </c>
      <c r="C7" s="17"/>
      <c r="D7" s="17">
        <v>14.97</v>
      </c>
      <c r="E7" s="17">
        <v>4.99</v>
      </c>
      <c r="F7" s="17">
        <v>9.98</v>
      </c>
      <c r="G7" s="17">
        <v>44.910000000000011</v>
      </c>
      <c r="H7" s="17"/>
      <c r="I7" s="17">
        <v>24.950000000000003</v>
      </c>
      <c r="J7" s="17">
        <v>19.96</v>
      </c>
      <c r="K7" s="17"/>
      <c r="L7" s="17">
        <v>9.98</v>
      </c>
      <c r="M7" s="17"/>
      <c r="N7" s="17">
        <v>134.73000000000002</v>
      </c>
    </row>
    <row r="8" spans="1:14" x14ac:dyDescent="0.25">
      <c r="A8" s="19" t="s">
        <v>942</v>
      </c>
      <c r="B8" s="17">
        <v>13.98</v>
      </c>
      <c r="C8" s="17">
        <v>27.96</v>
      </c>
      <c r="D8" s="17">
        <v>6.99</v>
      </c>
      <c r="E8" s="17"/>
      <c r="F8" s="17"/>
      <c r="G8" s="17">
        <v>13.98</v>
      </c>
      <c r="H8" s="17"/>
      <c r="I8" s="17">
        <v>13.98</v>
      </c>
      <c r="J8" s="17">
        <v>6.99</v>
      </c>
      <c r="K8" s="17">
        <v>20.97</v>
      </c>
      <c r="L8" s="17"/>
      <c r="M8" s="17"/>
      <c r="N8" s="17">
        <v>104.85</v>
      </c>
    </row>
    <row r="9" spans="1:14" x14ac:dyDescent="0.25">
      <c r="A9" s="19" t="s">
        <v>939</v>
      </c>
      <c r="B9" s="17">
        <v>5.99</v>
      </c>
      <c r="C9" s="17"/>
      <c r="D9" s="17">
        <v>5.99</v>
      </c>
      <c r="E9" s="17"/>
      <c r="F9" s="17"/>
      <c r="G9" s="17"/>
      <c r="H9" s="17"/>
      <c r="I9" s="17"/>
      <c r="J9" s="17"/>
      <c r="K9" s="17"/>
      <c r="L9" s="17"/>
      <c r="M9" s="17"/>
      <c r="N9" s="17">
        <v>11.98</v>
      </c>
    </row>
    <row r="10" spans="1:14" x14ac:dyDescent="0.25">
      <c r="A10" s="19" t="s">
        <v>935</v>
      </c>
      <c r="B10" s="17">
        <v>13.98</v>
      </c>
      <c r="C10" s="17"/>
      <c r="D10" s="17">
        <v>6.99</v>
      </c>
      <c r="E10" s="17">
        <v>27.96</v>
      </c>
      <c r="F10" s="17">
        <v>6.99</v>
      </c>
      <c r="G10" s="17">
        <v>6.99</v>
      </c>
      <c r="H10" s="17">
        <v>34.950000000000003</v>
      </c>
      <c r="I10" s="17">
        <v>20.97</v>
      </c>
      <c r="J10" s="17">
        <v>48.930000000000007</v>
      </c>
      <c r="K10" s="17"/>
      <c r="L10" s="17"/>
      <c r="M10" s="17"/>
      <c r="N10" s="17">
        <v>167.76000000000002</v>
      </c>
    </row>
    <row r="11" spans="1:14" x14ac:dyDescent="0.25">
      <c r="A11" s="19" t="s">
        <v>932</v>
      </c>
      <c r="B11" s="17"/>
      <c r="C11" s="17"/>
      <c r="D11" s="17">
        <v>9.99</v>
      </c>
      <c r="E11" s="17">
        <v>9.99</v>
      </c>
      <c r="F11" s="17"/>
      <c r="G11" s="17"/>
      <c r="H11" s="17">
        <v>19.98</v>
      </c>
      <c r="I11" s="17"/>
      <c r="J11" s="17"/>
      <c r="K11" s="17"/>
      <c r="L11" s="17"/>
      <c r="M11" s="17"/>
      <c r="N11" s="17">
        <v>39.96</v>
      </c>
    </row>
    <row r="12" spans="1:14" x14ac:dyDescent="0.25">
      <c r="A12" s="19" t="s">
        <v>929</v>
      </c>
      <c r="B12" s="17"/>
      <c r="C12" s="17"/>
      <c r="D12" s="17"/>
      <c r="E12" s="17"/>
      <c r="F12" s="17"/>
      <c r="G12" s="17"/>
      <c r="H12" s="17"/>
      <c r="I12" s="17"/>
      <c r="J12" s="17"/>
      <c r="K12" s="17"/>
      <c r="L12" s="17"/>
      <c r="M12" s="17">
        <v>19.98</v>
      </c>
      <c r="N12" s="17">
        <v>19.98</v>
      </c>
    </row>
    <row r="13" spans="1:14" x14ac:dyDescent="0.25">
      <c r="A13" s="19" t="s">
        <v>926</v>
      </c>
      <c r="B13" s="17">
        <v>29.97</v>
      </c>
      <c r="C13" s="17"/>
      <c r="D13" s="17"/>
      <c r="E13" s="17">
        <v>19.98</v>
      </c>
      <c r="F13" s="17">
        <v>9.99</v>
      </c>
      <c r="G13" s="17">
        <v>19.98</v>
      </c>
      <c r="H13" s="17">
        <v>29.97</v>
      </c>
      <c r="I13" s="17">
        <v>19.98</v>
      </c>
      <c r="J13" s="17">
        <v>9.99</v>
      </c>
      <c r="K13" s="17">
        <v>19.98</v>
      </c>
      <c r="L13" s="17"/>
      <c r="M13" s="17">
        <v>9.99</v>
      </c>
      <c r="N13" s="17">
        <v>169.83</v>
      </c>
    </row>
    <row r="14" spans="1:14" x14ac:dyDescent="0.25">
      <c r="A14" s="19" t="s">
        <v>922</v>
      </c>
      <c r="B14" s="17"/>
      <c r="C14" s="17">
        <v>5.99</v>
      </c>
      <c r="D14" s="17"/>
      <c r="E14" s="17"/>
      <c r="F14" s="17"/>
      <c r="G14" s="17"/>
      <c r="H14" s="17"/>
      <c r="I14" s="17"/>
      <c r="J14" s="17"/>
      <c r="K14" s="17"/>
      <c r="L14" s="17"/>
      <c r="M14" s="17"/>
      <c r="N14" s="17">
        <v>5.99</v>
      </c>
    </row>
    <row r="15" spans="1:14" x14ac:dyDescent="0.25">
      <c r="A15" s="19" t="s">
        <v>918</v>
      </c>
      <c r="B15" s="17"/>
      <c r="C15" s="17"/>
      <c r="D15" s="17"/>
      <c r="E15" s="17"/>
      <c r="F15" s="17"/>
      <c r="G15" s="17"/>
      <c r="H15" s="17">
        <v>8.99</v>
      </c>
      <c r="I15" s="17"/>
      <c r="J15" s="17"/>
      <c r="K15" s="17"/>
      <c r="L15" s="17"/>
      <c r="M15" s="17"/>
      <c r="N15" s="17">
        <v>8.99</v>
      </c>
    </row>
    <row r="16" spans="1:14" x14ac:dyDescent="0.25">
      <c r="A16" s="19" t="s">
        <v>915</v>
      </c>
      <c r="B16" s="17">
        <v>9.99</v>
      </c>
      <c r="C16" s="17"/>
      <c r="D16" s="17"/>
      <c r="E16" s="17"/>
      <c r="F16" s="17"/>
      <c r="G16" s="17"/>
      <c r="H16" s="17">
        <v>19.98</v>
      </c>
      <c r="I16" s="17"/>
      <c r="J16" s="17"/>
      <c r="K16" s="17">
        <v>19.98</v>
      </c>
      <c r="L16" s="17"/>
      <c r="M16" s="17"/>
      <c r="N16" s="17">
        <v>49.95</v>
      </c>
    </row>
    <row r="17" spans="1:14" x14ac:dyDescent="0.25">
      <c r="A17" s="19" t="s">
        <v>912</v>
      </c>
      <c r="B17" s="17">
        <v>20.97</v>
      </c>
      <c r="C17" s="17"/>
      <c r="D17" s="17">
        <v>6.99</v>
      </c>
      <c r="E17" s="17"/>
      <c r="F17" s="17">
        <v>13.98</v>
      </c>
      <c r="G17" s="17">
        <v>6.99</v>
      </c>
      <c r="H17" s="17">
        <v>20.97</v>
      </c>
      <c r="I17" s="17">
        <v>20.97</v>
      </c>
      <c r="J17" s="17">
        <v>27.96</v>
      </c>
      <c r="K17" s="17">
        <v>13.98</v>
      </c>
      <c r="L17" s="17"/>
      <c r="M17" s="17">
        <v>27.96</v>
      </c>
      <c r="N17" s="17">
        <v>160.77000000000001</v>
      </c>
    </row>
    <row r="18" spans="1:14" x14ac:dyDescent="0.25">
      <c r="A18" s="19" t="s">
        <v>909</v>
      </c>
      <c r="B18" s="17"/>
      <c r="C18" s="17"/>
      <c r="D18" s="17"/>
      <c r="E18" s="17"/>
      <c r="F18" s="17"/>
      <c r="G18" s="17"/>
      <c r="H18" s="17">
        <v>11.98</v>
      </c>
      <c r="I18" s="17">
        <v>5.99</v>
      </c>
      <c r="J18" s="17">
        <v>5.99</v>
      </c>
      <c r="K18" s="17"/>
      <c r="L18" s="17"/>
      <c r="M18" s="17"/>
      <c r="N18" s="17">
        <v>23.96</v>
      </c>
    </row>
    <row r="19" spans="1:14" x14ac:dyDescent="0.25">
      <c r="A19" s="19" t="s">
        <v>903</v>
      </c>
      <c r="B19" s="17"/>
      <c r="C19" s="17"/>
      <c r="D19" s="17"/>
      <c r="E19" s="17"/>
      <c r="F19" s="17"/>
      <c r="G19" s="17"/>
      <c r="H19" s="17">
        <v>8.99</v>
      </c>
      <c r="I19" s="17"/>
      <c r="J19" s="17"/>
      <c r="K19" s="17"/>
      <c r="L19" s="17"/>
      <c r="M19" s="17">
        <v>8.99</v>
      </c>
      <c r="N19" s="17">
        <v>17.98</v>
      </c>
    </row>
    <row r="20" spans="1:14" x14ac:dyDescent="0.25">
      <c r="A20" s="19" t="s">
        <v>900</v>
      </c>
      <c r="B20" s="17"/>
      <c r="C20" s="17"/>
      <c r="D20" s="17"/>
      <c r="E20" s="17"/>
      <c r="F20" s="17"/>
      <c r="G20" s="17"/>
      <c r="H20" s="17">
        <v>4.99</v>
      </c>
      <c r="I20" s="17"/>
      <c r="J20" s="17"/>
      <c r="K20" s="17"/>
      <c r="L20" s="17"/>
      <c r="M20" s="17"/>
      <c r="N20" s="17">
        <v>4.99</v>
      </c>
    </row>
    <row r="21" spans="1:14" x14ac:dyDescent="0.25">
      <c r="A21" s="19" t="s">
        <v>897</v>
      </c>
      <c r="B21" s="17">
        <v>13.98</v>
      </c>
      <c r="C21" s="17">
        <v>6.99</v>
      </c>
      <c r="D21" s="17">
        <v>6.99</v>
      </c>
      <c r="E21" s="17">
        <v>6.99</v>
      </c>
      <c r="F21" s="17">
        <v>13.98</v>
      </c>
      <c r="G21" s="17">
        <v>6.99</v>
      </c>
      <c r="H21" s="17"/>
      <c r="I21" s="17">
        <v>34.950000000000003</v>
      </c>
      <c r="J21" s="17">
        <v>6.99</v>
      </c>
      <c r="K21" s="17">
        <v>27.96</v>
      </c>
      <c r="L21" s="17"/>
      <c r="M21" s="17">
        <v>27.96</v>
      </c>
      <c r="N21" s="17">
        <v>153.78</v>
      </c>
    </row>
    <row r="22" spans="1:14" x14ac:dyDescent="0.25">
      <c r="A22" s="19" t="s">
        <v>891</v>
      </c>
      <c r="B22" s="17">
        <v>17.98</v>
      </c>
      <c r="C22" s="17">
        <v>8.99</v>
      </c>
      <c r="D22" s="17">
        <v>8.99</v>
      </c>
      <c r="E22" s="17">
        <v>8.99</v>
      </c>
      <c r="F22" s="17">
        <v>17.98</v>
      </c>
      <c r="G22" s="17"/>
      <c r="H22" s="17">
        <v>8.99</v>
      </c>
      <c r="I22" s="17">
        <v>80.91</v>
      </c>
      <c r="J22" s="17">
        <v>44.95</v>
      </c>
      <c r="K22" s="17">
        <v>35.96</v>
      </c>
      <c r="L22" s="17">
        <v>17.98</v>
      </c>
      <c r="M22" s="17"/>
      <c r="N22" s="17">
        <v>251.71999999999997</v>
      </c>
    </row>
    <row r="23" spans="1:14" x14ac:dyDescent="0.25">
      <c r="A23" s="19" t="s">
        <v>887</v>
      </c>
      <c r="B23" s="17">
        <v>17.98</v>
      </c>
      <c r="C23" s="17"/>
      <c r="D23" s="17"/>
      <c r="E23" s="17"/>
      <c r="F23" s="17"/>
      <c r="G23" s="17"/>
      <c r="H23" s="17"/>
      <c r="I23" s="17"/>
      <c r="J23" s="17"/>
      <c r="K23" s="17"/>
      <c r="L23" s="17"/>
      <c r="M23" s="17"/>
      <c r="N23" s="17">
        <v>17.98</v>
      </c>
    </row>
    <row r="24" spans="1:14" x14ac:dyDescent="0.25">
      <c r="A24" s="19" t="s">
        <v>881</v>
      </c>
      <c r="B24" s="17"/>
      <c r="C24" s="17"/>
      <c r="D24" s="17"/>
      <c r="E24" s="17">
        <v>9.98</v>
      </c>
      <c r="F24" s="17">
        <v>4.99</v>
      </c>
      <c r="G24" s="17"/>
      <c r="H24" s="17"/>
      <c r="I24" s="17"/>
      <c r="J24" s="17">
        <v>4.99</v>
      </c>
      <c r="K24" s="17"/>
      <c r="L24" s="17"/>
      <c r="M24" s="17"/>
      <c r="N24" s="17">
        <v>19.96</v>
      </c>
    </row>
    <row r="25" spans="1:14" x14ac:dyDescent="0.25">
      <c r="A25" s="19" t="s">
        <v>878</v>
      </c>
      <c r="B25" s="17"/>
      <c r="C25" s="17"/>
      <c r="D25" s="17"/>
      <c r="E25" s="17">
        <v>26.97</v>
      </c>
      <c r="F25" s="17"/>
      <c r="G25" s="17"/>
      <c r="H25" s="17"/>
      <c r="I25" s="17"/>
      <c r="J25" s="17"/>
      <c r="K25" s="17"/>
      <c r="L25" s="17"/>
      <c r="M25" s="17"/>
      <c r="N25" s="17">
        <v>26.97</v>
      </c>
    </row>
    <row r="26" spans="1:14" x14ac:dyDescent="0.25">
      <c r="A26" s="19" t="s">
        <v>884</v>
      </c>
      <c r="B26" s="17">
        <v>5.99</v>
      </c>
      <c r="C26" s="17"/>
      <c r="D26" s="17"/>
      <c r="E26" s="17"/>
      <c r="F26" s="17"/>
      <c r="G26" s="17"/>
      <c r="H26" s="17"/>
      <c r="I26" s="17"/>
      <c r="J26" s="17"/>
      <c r="K26" s="17"/>
      <c r="L26" s="17">
        <v>5.99</v>
      </c>
      <c r="M26" s="17"/>
      <c r="N26" s="17">
        <v>11.98</v>
      </c>
    </row>
    <row r="27" spans="1:14" x14ac:dyDescent="0.25">
      <c r="A27" s="19" t="s">
        <v>875</v>
      </c>
      <c r="B27" s="17"/>
      <c r="C27" s="17">
        <v>8.99</v>
      </c>
      <c r="D27" s="17">
        <v>8.99</v>
      </c>
      <c r="E27" s="17">
        <v>17.98</v>
      </c>
      <c r="F27" s="17"/>
      <c r="G27" s="17"/>
      <c r="H27" s="17"/>
      <c r="I27" s="17"/>
      <c r="J27" s="17">
        <v>17.98</v>
      </c>
      <c r="K27" s="17">
        <v>17.98</v>
      </c>
      <c r="L27" s="17"/>
      <c r="M27" s="17"/>
      <c r="N27" s="17">
        <v>71.92</v>
      </c>
    </row>
    <row r="28" spans="1:14" x14ac:dyDescent="0.25">
      <c r="A28" s="19" t="s">
        <v>872</v>
      </c>
      <c r="B28" s="17"/>
      <c r="C28" s="17"/>
      <c r="D28" s="17"/>
      <c r="E28" s="17"/>
      <c r="F28" s="17"/>
      <c r="G28" s="17"/>
      <c r="H28" s="17"/>
      <c r="I28" s="17">
        <v>26.97</v>
      </c>
      <c r="J28" s="17"/>
      <c r="K28" s="17"/>
      <c r="L28" s="17"/>
      <c r="M28" s="17">
        <v>8.99</v>
      </c>
      <c r="N28" s="17">
        <v>35.96</v>
      </c>
    </row>
    <row r="29" spans="1:14" x14ac:dyDescent="0.25">
      <c r="A29" s="19" t="s">
        <v>869</v>
      </c>
      <c r="B29" s="17">
        <v>24.950000000000003</v>
      </c>
      <c r="C29" s="17">
        <v>9.98</v>
      </c>
      <c r="D29" s="17">
        <v>9.98</v>
      </c>
      <c r="E29" s="17">
        <v>4.99</v>
      </c>
      <c r="F29" s="17"/>
      <c r="G29" s="17">
        <v>4.99</v>
      </c>
      <c r="H29" s="17">
        <v>14.97</v>
      </c>
      <c r="I29" s="17">
        <v>14.97</v>
      </c>
      <c r="J29" s="17">
        <v>4.99</v>
      </c>
      <c r="K29" s="17"/>
      <c r="L29" s="17">
        <v>4.99</v>
      </c>
      <c r="M29" s="17">
        <v>14.97</v>
      </c>
      <c r="N29" s="17">
        <v>109.78</v>
      </c>
    </row>
    <row r="30" spans="1:14" x14ac:dyDescent="0.25">
      <c r="A30" s="19" t="s">
        <v>865</v>
      </c>
      <c r="B30" s="17"/>
      <c r="C30" s="17"/>
      <c r="D30" s="17"/>
      <c r="E30" s="17"/>
      <c r="F30" s="17"/>
      <c r="G30" s="17">
        <v>4.99</v>
      </c>
      <c r="H30" s="17"/>
      <c r="I30" s="17"/>
      <c r="J30" s="17"/>
      <c r="K30" s="17"/>
      <c r="L30" s="17"/>
      <c r="M30" s="17"/>
      <c r="N30" s="17">
        <v>4.99</v>
      </c>
    </row>
    <row r="31" spans="1:14" x14ac:dyDescent="0.25">
      <c r="A31" s="19" t="s">
        <v>861</v>
      </c>
      <c r="B31" s="17"/>
      <c r="C31" s="17"/>
      <c r="D31" s="17"/>
      <c r="E31" s="17">
        <v>8.99</v>
      </c>
      <c r="F31" s="17"/>
      <c r="G31" s="17"/>
      <c r="H31" s="17"/>
      <c r="I31" s="17"/>
      <c r="J31" s="17"/>
      <c r="K31" s="17">
        <v>26.97</v>
      </c>
      <c r="L31" s="17">
        <v>8.99</v>
      </c>
      <c r="M31" s="17">
        <v>17.98</v>
      </c>
      <c r="N31" s="17">
        <v>62.930000000000007</v>
      </c>
    </row>
    <row r="32" spans="1:14" x14ac:dyDescent="0.25">
      <c r="A32" s="19" t="s">
        <v>854</v>
      </c>
      <c r="B32" s="17">
        <v>17.98</v>
      </c>
      <c r="C32" s="17">
        <v>44.95</v>
      </c>
      <c r="D32" s="17"/>
      <c r="E32" s="17">
        <v>8.99</v>
      </c>
      <c r="F32" s="17">
        <v>8.99</v>
      </c>
      <c r="G32" s="17">
        <v>17.98</v>
      </c>
      <c r="H32" s="17">
        <v>44.95</v>
      </c>
      <c r="I32" s="17">
        <v>17.98</v>
      </c>
      <c r="J32" s="17">
        <v>26.97</v>
      </c>
      <c r="K32" s="17">
        <v>17.98</v>
      </c>
      <c r="L32" s="17">
        <v>8.99</v>
      </c>
      <c r="M32" s="17"/>
      <c r="N32" s="17">
        <v>215.76</v>
      </c>
    </row>
    <row r="33" spans="1:14" x14ac:dyDescent="0.25">
      <c r="A33" s="19" t="s">
        <v>848</v>
      </c>
      <c r="B33" s="17">
        <v>8.99</v>
      </c>
      <c r="C33" s="17"/>
      <c r="D33" s="17"/>
      <c r="E33" s="17"/>
      <c r="F33" s="17"/>
      <c r="G33" s="17">
        <v>8.99</v>
      </c>
      <c r="H33" s="17"/>
      <c r="I33" s="17"/>
      <c r="J33" s="17">
        <v>17.98</v>
      </c>
      <c r="K33" s="17"/>
      <c r="L33" s="17"/>
      <c r="M33" s="17"/>
      <c r="N33" s="17">
        <v>35.96</v>
      </c>
    </row>
    <row r="34" spans="1:14" x14ac:dyDescent="0.25">
      <c r="A34" s="19" t="s">
        <v>845</v>
      </c>
      <c r="B34" s="17">
        <v>15.98</v>
      </c>
      <c r="C34" s="17">
        <v>31.96</v>
      </c>
      <c r="D34" s="17">
        <v>7.99</v>
      </c>
      <c r="E34" s="17">
        <v>31.96</v>
      </c>
      <c r="F34" s="17">
        <v>15.98</v>
      </c>
      <c r="G34" s="17"/>
      <c r="H34" s="17">
        <v>23.97</v>
      </c>
      <c r="I34" s="17">
        <v>39.950000000000003</v>
      </c>
      <c r="J34" s="17">
        <v>15.98</v>
      </c>
      <c r="K34" s="17">
        <v>39.950000000000003</v>
      </c>
      <c r="L34" s="17"/>
      <c r="M34" s="17">
        <v>15.98</v>
      </c>
      <c r="N34" s="17">
        <v>239.70000000000002</v>
      </c>
    </row>
    <row r="35" spans="1:14" x14ac:dyDescent="0.25">
      <c r="A35" s="19" t="s">
        <v>842</v>
      </c>
      <c r="B35" s="17">
        <v>9.98</v>
      </c>
      <c r="C35" s="17">
        <v>19.96</v>
      </c>
      <c r="D35" s="17"/>
      <c r="E35" s="17">
        <v>14.97</v>
      </c>
      <c r="F35" s="17">
        <v>19.96</v>
      </c>
      <c r="G35" s="17">
        <v>4.99</v>
      </c>
      <c r="H35" s="17">
        <v>14.97</v>
      </c>
      <c r="I35" s="17">
        <v>4.99</v>
      </c>
      <c r="J35" s="17">
        <v>9.98</v>
      </c>
      <c r="K35" s="17">
        <v>14.97</v>
      </c>
      <c r="L35" s="17">
        <v>4.99</v>
      </c>
      <c r="M35" s="17"/>
      <c r="N35" s="17">
        <v>119.75999999999999</v>
      </c>
    </row>
    <row r="36" spans="1:14" x14ac:dyDescent="0.25">
      <c r="A36" s="19" t="s">
        <v>839</v>
      </c>
      <c r="B36" s="17"/>
      <c r="C36" s="17"/>
      <c r="D36" s="17"/>
      <c r="E36" s="17">
        <v>9.98</v>
      </c>
      <c r="F36" s="17"/>
      <c r="G36" s="17"/>
      <c r="H36" s="17">
        <v>4.99</v>
      </c>
      <c r="I36" s="17"/>
      <c r="J36" s="17"/>
      <c r="K36" s="17"/>
      <c r="L36" s="17"/>
      <c r="M36" s="17">
        <v>4.99</v>
      </c>
      <c r="N36" s="17">
        <v>19.96</v>
      </c>
    </row>
    <row r="37" spans="1:14" x14ac:dyDescent="0.25">
      <c r="A37" s="19" t="s">
        <v>832</v>
      </c>
      <c r="B37" s="17"/>
      <c r="C37" s="17"/>
      <c r="D37" s="17"/>
      <c r="E37" s="17">
        <v>11.98</v>
      </c>
      <c r="F37" s="17">
        <v>11.98</v>
      </c>
      <c r="G37" s="17"/>
      <c r="H37" s="17">
        <v>5.99</v>
      </c>
      <c r="I37" s="17"/>
      <c r="J37" s="17"/>
      <c r="K37" s="17">
        <v>11.98</v>
      </c>
      <c r="L37" s="17"/>
      <c r="M37" s="17"/>
      <c r="N37" s="17">
        <v>41.930000000000007</v>
      </c>
    </row>
    <row r="38" spans="1:14" x14ac:dyDescent="0.25">
      <c r="A38" s="19" t="s">
        <v>829</v>
      </c>
      <c r="B38" s="17"/>
      <c r="C38" s="17"/>
      <c r="D38" s="17"/>
      <c r="E38" s="17">
        <v>17.97</v>
      </c>
      <c r="F38" s="17"/>
      <c r="G38" s="17"/>
      <c r="H38" s="17"/>
      <c r="I38" s="17"/>
      <c r="J38" s="17"/>
      <c r="K38" s="17"/>
      <c r="L38" s="17"/>
      <c r="M38" s="17"/>
      <c r="N38" s="17">
        <v>17.97</v>
      </c>
    </row>
    <row r="39" spans="1:14" x14ac:dyDescent="0.25">
      <c r="A39" s="19" t="s">
        <v>826</v>
      </c>
      <c r="B39" s="17"/>
      <c r="C39" s="17"/>
      <c r="D39" s="17"/>
      <c r="E39" s="17"/>
      <c r="F39" s="17"/>
      <c r="G39" s="17"/>
      <c r="H39" s="17"/>
      <c r="I39" s="17"/>
      <c r="J39" s="17"/>
      <c r="K39" s="17">
        <v>5.99</v>
      </c>
      <c r="L39" s="17"/>
      <c r="M39" s="17"/>
      <c r="N39" s="17">
        <v>5.99</v>
      </c>
    </row>
    <row r="40" spans="1:14" x14ac:dyDescent="0.25">
      <c r="A40" s="19" t="s">
        <v>823</v>
      </c>
      <c r="B40" s="17"/>
      <c r="C40" s="17"/>
      <c r="D40" s="17">
        <v>5.99</v>
      </c>
      <c r="E40" s="17"/>
      <c r="F40" s="17"/>
      <c r="G40" s="17"/>
      <c r="H40" s="17"/>
      <c r="I40" s="17"/>
      <c r="J40" s="17">
        <v>17.97</v>
      </c>
      <c r="K40" s="17">
        <v>5.99</v>
      </c>
      <c r="L40" s="17"/>
      <c r="M40" s="17"/>
      <c r="N40" s="17">
        <v>29.950000000000003</v>
      </c>
    </row>
    <row r="41" spans="1:14" x14ac:dyDescent="0.25">
      <c r="A41" s="19" t="s">
        <v>503</v>
      </c>
      <c r="B41" s="17"/>
      <c r="C41" s="17">
        <v>29.97</v>
      </c>
      <c r="D41" s="17">
        <v>49.95</v>
      </c>
      <c r="E41" s="17">
        <v>9.99</v>
      </c>
      <c r="F41" s="17">
        <v>19.98</v>
      </c>
      <c r="G41" s="17">
        <v>9.99</v>
      </c>
      <c r="H41" s="17">
        <v>19.98</v>
      </c>
      <c r="I41" s="17">
        <v>19.98</v>
      </c>
      <c r="J41" s="17">
        <v>29.97</v>
      </c>
      <c r="K41" s="17">
        <v>29.97</v>
      </c>
      <c r="L41" s="17"/>
      <c r="M41" s="17"/>
      <c r="N41" s="17">
        <v>219.77999999999997</v>
      </c>
    </row>
    <row r="42" spans="1:14" x14ac:dyDescent="0.25">
      <c r="A42" s="19" t="s">
        <v>820</v>
      </c>
      <c r="B42" s="17"/>
      <c r="C42" s="17">
        <v>9.99</v>
      </c>
      <c r="D42" s="17">
        <v>29.97</v>
      </c>
      <c r="E42" s="17">
        <v>19.98</v>
      </c>
      <c r="F42" s="17"/>
      <c r="G42" s="17">
        <v>19.98</v>
      </c>
      <c r="H42" s="17">
        <v>9.99</v>
      </c>
      <c r="I42" s="17">
        <v>29.97</v>
      </c>
      <c r="J42" s="17">
        <v>29.97</v>
      </c>
      <c r="K42" s="17">
        <v>19.98</v>
      </c>
      <c r="L42" s="17">
        <v>19.98</v>
      </c>
      <c r="M42" s="17">
        <v>69.930000000000007</v>
      </c>
      <c r="N42" s="17">
        <v>259.74</v>
      </c>
    </row>
    <row r="43" spans="1:14" x14ac:dyDescent="0.25">
      <c r="A43" s="19" t="s">
        <v>817</v>
      </c>
      <c r="B43" s="17">
        <v>5.99</v>
      </c>
      <c r="C43" s="17"/>
      <c r="D43" s="17">
        <v>11.98</v>
      </c>
      <c r="E43" s="17"/>
      <c r="F43" s="17"/>
      <c r="G43" s="17"/>
      <c r="H43" s="17"/>
      <c r="I43" s="17"/>
      <c r="J43" s="17"/>
      <c r="K43" s="17"/>
      <c r="L43" s="17"/>
      <c r="M43" s="17"/>
      <c r="N43" s="17">
        <v>17.97</v>
      </c>
    </row>
    <row r="44" spans="1:14" x14ac:dyDescent="0.25">
      <c r="A44" s="19" t="s">
        <v>810</v>
      </c>
      <c r="B44" s="17"/>
      <c r="C44" s="17"/>
      <c r="D44" s="17"/>
      <c r="E44" s="17"/>
      <c r="F44" s="17">
        <v>15.98</v>
      </c>
      <c r="G44" s="17"/>
      <c r="H44" s="17"/>
      <c r="I44" s="17"/>
      <c r="J44" s="17"/>
      <c r="K44" s="17"/>
      <c r="L44" s="17"/>
      <c r="M44" s="17"/>
      <c r="N44" s="17">
        <v>15.98</v>
      </c>
    </row>
    <row r="45" spans="1:14" x14ac:dyDescent="0.25">
      <c r="A45" s="19" t="s">
        <v>806</v>
      </c>
      <c r="B45" s="17"/>
      <c r="C45" s="17"/>
      <c r="D45" s="17">
        <v>5.99</v>
      </c>
      <c r="E45" s="17"/>
      <c r="F45" s="17"/>
      <c r="G45" s="17"/>
      <c r="H45" s="17"/>
      <c r="I45" s="17"/>
      <c r="J45" s="17"/>
      <c r="K45" s="17"/>
      <c r="L45" s="17">
        <v>5.99</v>
      </c>
      <c r="M45" s="17"/>
      <c r="N45" s="17">
        <v>11.98</v>
      </c>
    </row>
    <row r="46" spans="1:14" x14ac:dyDescent="0.25">
      <c r="A46" s="19" t="s">
        <v>802</v>
      </c>
      <c r="B46" s="17"/>
      <c r="C46" s="17"/>
      <c r="D46" s="17"/>
      <c r="E46" s="17">
        <v>8.99</v>
      </c>
      <c r="F46" s="17"/>
      <c r="G46" s="17"/>
      <c r="H46" s="17"/>
      <c r="I46" s="17"/>
      <c r="J46" s="17">
        <v>8.99</v>
      </c>
      <c r="K46" s="17"/>
      <c r="L46" s="17"/>
      <c r="M46" s="17">
        <v>17.98</v>
      </c>
      <c r="N46" s="17">
        <v>35.96</v>
      </c>
    </row>
    <row r="47" spans="1:14" x14ac:dyDescent="0.25">
      <c r="A47" s="19" t="s">
        <v>799</v>
      </c>
      <c r="B47" s="17"/>
      <c r="C47" s="17"/>
      <c r="D47" s="17">
        <v>15.98</v>
      </c>
      <c r="E47" s="17"/>
      <c r="F47" s="17"/>
      <c r="G47" s="17"/>
      <c r="H47" s="17"/>
      <c r="I47" s="17"/>
      <c r="J47" s="17">
        <v>7.99</v>
      </c>
      <c r="K47" s="17"/>
      <c r="L47" s="17"/>
      <c r="M47" s="17"/>
      <c r="N47" s="17">
        <v>23.97</v>
      </c>
    </row>
    <row r="48" spans="1:14" x14ac:dyDescent="0.25">
      <c r="A48" s="19" t="s">
        <v>792</v>
      </c>
      <c r="B48" s="17">
        <v>29.97</v>
      </c>
      <c r="C48" s="17">
        <v>19.98</v>
      </c>
      <c r="D48" s="17"/>
      <c r="E48" s="17">
        <v>9.99</v>
      </c>
      <c r="F48" s="17">
        <v>19.98</v>
      </c>
      <c r="G48" s="17">
        <v>19.98</v>
      </c>
      <c r="H48" s="17">
        <v>39.96</v>
      </c>
      <c r="I48" s="17"/>
      <c r="J48" s="17">
        <v>29.97</v>
      </c>
      <c r="K48" s="17">
        <v>19.98</v>
      </c>
      <c r="L48" s="17"/>
      <c r="M48" s="17">
        <v>19.98</v>
      </c>
      <c r="N48" s="17">
        <v>209.79</v>
      </c>
    </row>
    <row r="49" spans="1:14" x14ac:dyDescent="0.25">
      <c r="A49" s="19" t="s">
        <v>788</v>
      </c>
      <c r="B49" s="17">
        <v>11.98</v>
      </c>
      <c r="C49" s="17"/>
      <c r="D49" s="17"/>
      <c r="E49" s="17"/>
      <c r="F49" s="17">
        <v>5.99</v>
      </c>
      <c r="G49" s="17"/>
      <c r="H49" s="17"/>
      <c r="I49" s="17">
        <v>5.99</v>
      </c>
      <c r="J49" s="17"/>
      <c r="K49" s="17"/>
      <c r="L49" s="17"/>
      <c r="M49" s="17"/>
      <c r="N49" s="17">
        <v>23.96</v>
      </c>
    </row>
    <row r="50" spans="1:14" x14ac:dyDescent="0.25">
      <c r="A50" s="19" t="s">
        <v>784</v>
      </c>
      <c r="B50" s="17"/>
      <c r="C50" s="17">
        <v>5.99</v>
      </c>
      <c r="D50" s="17"/>
      <c r="E50" s="17">
        <v>11.98</v>
      </c>
      <c r="F50" s="17">
        <v>5.99</v>
      </c>
      <c r="G50" s="17"/>
      <c r="H50" s="17"/>
      <c r="I50" s="17"/>
      <c r="J50" s="17"/>
      <c r="K50" s="17"/>
      <c r="L50" s="17"/>
      <c r="M50" s="17"/>
      <c r="N50" s="17">
        <v>23.96</v>
      </c>
    </row>
    <row r="51" spans="1:14" x14ac:dyDescent="0.25">
      <c r="A51" s="19" t="s">
        <v>781</v>
      </c>
      <c r="B51" s="17"/>
      <c r="C51" s="17">
        <v>5.99</v>
      </c>
      <c r="D51" s="17">
        <v>17.97</v>
      </c>
      <c r="E51" s="17">
        <v>5.99</v>
      </c>
      <c r="F51" s="17">
        <v>17.97</v>
      </c>
      <c r="G51" s="17">
        <v>5.99</v>
      </c>
      <c r="H51" s="17">
        <v>11.98</v>
      </c>
      <c r="I51" s="17">
        <v>17.97</v>
      </c>
      <c r="J51" s="17">
        <v>11.98</v>
      </c>
      <c r="K51" s="17">
        <v>11.98</v>
      </c>
      <c r="L51" s="17">
        <v>11.98</v>
      </c>
      <c r="M51" s="17">
        <v>17.97</v>
      </c>
      <c r="N51" s="17">
        <v>137.77000000000001</v>
      </c>
    </row>
    <row r="52" spans="1:14" x14ac:dyDescent="0.25">
      <c r="A52" s="19" t="s">
        <v>774</v>
      </c>
      <c r="B52" s="17">
        <v>5.99</v>
      </c>
      <c r="C52" s="17"/>
      <c r="D52" s="17"/>
      <c r="E52" s="17"/>
      <c r="F52" s="17"/>
      <c r="G52" s="17"/>
      <c r="H52" s="17">
        <v>5.99</v>
      </c>
      <c r="I52" s="17"/>
      <c r="J52" s="17"/>
      <c r="K52" s="17">
        <v>5.99</v>
      </c>
      <c r="L52" s="17"/>
      <c r="M52" s="17">
        <v>5.99</v>
      </c>
      <c r="N52" s="17">
        <v>23.96</v>
      </c>
    </row>
    <row r="53" spans="1:14" x14ac:dyDescent="0.25">
      <c r="A53" s="19" t="s">
        <v>777</v>
      </c>
      <c r="B53" s="17"/>
      <c r="C53" s="17"/>
      <c r="D53" s="17">
        <v>19.96</v>
      </c>
      <c r="E53" s="17"/>
      <c r="F53" s="17"/>
      <c r="G53" s="17"/>
      <c r="H53" s="17"/>
      <c r="I53" s="17"/>
      <c r="J53" s="17">
        <v>9.98</v>
      </c>
      <c r="K53" s="17"/>
      <c r="L53" s="17"/>
      <c r="M53" s="17"/>
      <c r="N53" s="17">
        <v>29.94</v>
      </c>
    </row>
    <row r="54" spans="1:14" x14ac:dyDescent="0.25">
      <c r="A54" s="19" t="s">
        <v>767</v>
      </c>
      <c r="B54" s="17">
        <v>6.99</v>
      </c>
      <c r="C54" s="17"/>
      <c r="D54" s="17"/>
      <c r="E54" s="17"/>
      <c r="F54" s="17"/>
      <c r="G54" s="17"/>
      <c r="H54" s="17"/>
      <c r="I54" s="17"/>
      <c r="J54" s="17">
        <v>6.99</v>
      </c>
      <c r="K54" s="17"/>
      <c r="L54" s="17"/>
      <c r="M54" s="17"/>
      <c r="N54" s="17">
        <v>13.98</v>
      </c>
    </row>
    <row r="55" spans="1:14" x14ac:dyDescent="0.25">
      <c r="A55" s="19" t="s">
        <v>771</v>
      </c>
      <c r="B55" s="17">
        <v>39.96</v>
      </c>
      <c r="C55" s="17">
        <v>29.97</v>
      </c>
      <c r="D55" s="17">
        <v>49.95</v>
      </c>
      <c r="E55" s="17">
        <v>29.97</v>
      </c>
      <c r="F55" s="17">
        <v>39.96</v>
      </c>
      <c r="G55" s="17">
        <v>69.930000000000007</v>
      </c>
      <c r="H55" s="17">
        <v>19.98</v>
      </c>
      <c r="I55" s="17">
        <v>19.98</v>
      </c>
      <c r="J55" s="17">
        <v>39.96</v>
      </c>
      <c r="K55" s="17">
        <v>19.98</v>
      </c>
      <c r="L55" s="17"/>
      <c r="M55" s="17">
        <v>69.930000000000007</v>
      </c>
      <c r="N55" s="17">
        <v>429.57000000000005</v>
      </c>
    </row>
    <row r="56" spans="1:14" x14ac:dyDescent="0.25">
      <c r="A56" s="19" t="s">
        <v>761</v>
      </c>
      <c r="B56" s="17">
        <v>17.98</v>
      </c>
      <c r="C56" s="17">
        <v>8.99</v>
      </c>
      <c r="D56" s="17">
        <v>17.98</v>
      </c>
      <c r="E56" s="17">
        <v>35.96</v>
      </c>
      <c r="F56" s="17"/>
      <c r="G56" s="17">
        <v>26.97</v>
      </c>
      <c r="H56" s="17">
        <v>35.96</v>
      </c>
      <c r="I56" s="17">
        <v>17.98</v>
      </c>
      <c r="J56" s="17">
        <v>35.96</v>
      </c>
      <c r="K56" s="17">
        <v>26.97</v>
      </c>
      <c r="L56" s="17">
        <v>8.99</v>
      </c>
      <c r="M56" s="17">
        <v>62.930000000000007</v>
      </c>
      <c r="N56" s="17">
        <v>296.67</v>
      </c>
    </row>
    <row r="57" spans="1:14" x14ac:dyDescent="0.25">
      <c r="A57" s="19" t="s">
        <v>749</v>
      </c>
      <c r="B57" s="17">
        <v>101.82999999999998</v>
      </c>
      <c r="C57" s="17">
        <v>41.930000000000007</v>
      </c>
      <c r="D57" s="17">
        <v>59.900000000000006</v>
      </c>
      <c r="E57" s="17">
        <v>65.890000000000015</v>
      </c>
      <c r="F57" s="17">
        <v>65.89</v>
      </c>
      <c r="G57" s="17">
        <v>113.80999999999999</v>
      </c>
      <c r="H57" s="17">
        <v>77.86999999999999</v>
      </c>
      <c r="I57" s="17">
        <v>83.859999999999985</v>
      </c>
      <c r="J57" s="17">
        <v>5.99</v>
      </c>
      <c r="K57" s="17">
        <v>101.82999999999998</v>
      </c>
      <c r="L57" s="17">
        <v>41.930000000000007</v>
      </c>
      <c r="M57" s="17">
        <v>29.950000000000003</v>
      </c>
      <c r="N57" s="17">
        <v>790.68000000000006</v>
      </c>
    </row>
    <row r="58" spans="1:14" x14ac:dyDescent="0.25">
      <c r="A58" s="19" t="s">
        <v>746</v>
      </c>
      <c r="B58" s="17"/>
      <c r="C58" s="17"/>
      <c r="D58" s="17">
        <v>7.99</v>
      </c>
      <c r="E58" s="17"/>
      <c r="F58" s="17"/>
      <c r="G58" s="17">
        <v>7.99</v>
      </c>
      <c r="H58" s="17"/>
      <c r="I58" s="17"/>
      <c r="J58" s="17"/>
      <c r="K58" s="17">
        <v>7.99</v>
      </c>
      <c r="L58" s="17"/>
      <c r="M58" s="17"/>
      <c r="N58" s="17">
        <v>23.97</v>
      </c>
    </row>
    <row r="59" spans="1:14" x14ac:dyDescent="0.25">
      <c r="A59" s="19" t="s">
        <v>742</v>
      </c>
      <c r="B59" s="17"/>
      <c r="C59" s="17"/>
      <c r="D59" s="17"/>
      <c r="E59" s="17"/>
      <c r="F59" s="17"/>
      <c r="G59" s="17"/>
      <c r="H59" s="17"/>
      <c r="I59" s="17"/>
      <c r="J59" s="17">
        <v>23.97</v>
      </c>
      <c r="K59" s="17"/>
      <c r="L59" s="17"/>
      <c r="M59" s="17"/>
      <c r="N59" s="17">
        <v>23.97</v>
      </c>
    </row>
    <row r="60" spans="1:14" x14ac:dyDescent="0.25">
      <c r="A60" s="19" t="s">
        <v>739</v>
      </c>
      <c r="B60" s="17">
        <v>26.97</v>
      </c>
      <c r="C60" s="17">
        <v>35.96</v>
      </c>
      <c r="D60" s="17">
        <v>8.99</v>
      </c>
      <c r="E60" s="17">
        <v>8.99</v>
      </c>
      <c r="F60" s="17">
        <v>26.97</v>
      </c>
      <c r="G60" s="17">
        <v>44.95</v>
      </c>
      <c r="H60" s="17"/>
      <c r="I60" s="17"/>
      <c r="J60" s="17">
        <v>8.99</v>
      </c>
      <c r="K60" s="17">
        <v>17.98</v>
      </c>
      <c r="L60" s="17"/>
      <c r="M60" s="17">
        <v>26.97</v>
      </c>
      <c r="N60" s="17">
        <v>206.76999999999998</v>
      </c>
    </row>
    <row r="61" spans="1:14" x14ac:dyDescent="0.25">
      <c r="A61" s="19" t="s">
        <v>735</v>
      </c>
      <c r="B61" s="17">
        <v>14.97</v>
      </c>
      <c r="C61" s="17">
        <v>4.99</v>
      </c>
      <c r="D61" s="17"/>
      <c r="E61" s="17">
        <v>9.98</v>
      </c>
      <c r="F61" s="17">
        <v>9.98</v>
      </c>
      <c r="G61" s="17"/>
      <c r="H61" s="17">
        <v>14.97</v>
      </c>
      <c r="I61" s="17">
        <v>4.99</v>
      </c>
      <c r="J61" s="17">
        <v>9.98</v>
      </c>
      <c r="K61" s="17"/>
      <c r="L61" s="17"/>
      <c r="M61" s="17">
        <v>4.99</v>
      </c>
      <c r="N61" s="17">
        <v>74.849999999999994</v>
      </c>
    </row>
    <row r="62" spans="1:14" x14ac:dyDescent="0.25">
      <c r="A62" s="19" t="s">
        <v>729</v>
      </c>
      <c r="B62" s="17"/>
      <c r="C62" s="17">
        <v>8.99</v>
      </c>
      <c r="D62" s="17">
        <v>8.99</v>
      </c>
      <c r="E62" s="17">
        <v>8.99</v>
      </c>
      <c r="F62" s="17"/>
      <c r="G62" s="17"/>
      <c r="H62" s="17"/>
      <c r="I62" s="17"/>
      <c r="J62" s="17"/>
      <c r="K62" s="17"/>
      <c r="L62" s="17"/>
      <c r="M62" s="17"/>
      <c r="N62" s="17">
        <v>26.97</v>
      </c>
    </row>
    <row r="63" spans="1:14" x14ac:dyDescent="0.25">
      <c r="A63" s="19" t="s">
        <v>732</v>
      </c>
      <c r="B63" s="17"/>
      <c r="C63" s="17">
        <v>9.99</v>
      </c>
      <c r="D63" s="17">
        <v>9.99</v>
      </c>
      <c r="E63" s="17">
        <v>29.97</v>
      </c>
      <c r="F63" s="17">
        <v>9.99</v>
      </c>
      <c r="G63" s="17">
        <v>19.98</v>
      </c>
      <c r="H63" s="17">
        <v>49.95</v>
      </c>
      <c r="I63" s="17">
        <v>49.95</v>
      </c>
      <c r="J63" s="17">
        <v>19.98</v>
      </c>
      <c r="K63" s="17">
        <v>19.98</v>
      </c>
      <c r="L63" s="17"/>
      <c r="M63" s="17">
        <v>19.98</v>
      </c>
      <c r="N63" s="17">
        <v>239.75999999999996</v>
      </c>
    </row>
    <row r="64" spans="1:14" x14ac:dyDescent="0.25">
      <c r="A64" s="19" t="s">
        <v>722</v>
      </c>
      <c r="B64" s="17"/>
      <c r="C64" s="17"/>
      <c r="D64" s="17">
        <v>13.98</v>
      </c>
      <c r="E64" s="17"/>
      <c r="F64" s="17"/>
      <c r="G64" s="17"/>
      <c r="H64" s="17"/>
      <c r="I64" s="17">
        <v>13.98</v>
      </c>
      <c r="J64" s="17">
        <v>6.99</v>
      </c>
      <c r="K64" s="17"/>
      <c r="L64" s="17"/>
      <c r="M64" s="17"/>
      <c r="N64" s="17">
        <v>34.950000000000003</v>
      </c>
    </row>
    <row r="65" spans="1:14" x14ac:dyDescent="0.25">
      <c r="A65" s="19" t="s">
        <v>719</v>
      </c>
      <c r="B65" s="17"/>
      <c r="C65" s="17"/>
      <c r="D65" s="17"/>
      <c r="E65" s="17"/>
      <c r="F65" s="17">
        <v>17.98</v>
      </c>
      <c r="G65" s="17"/>
      <c r="H65" s="17"/>
      <c r="I65" s="17"/>
      <c r="J65" s="17"/>
      <c r="K65" s="17"/>
      <c r="L65" s="17"/>
      <c r="M65" s="17">
        <v>8.99</v>
      </c>
      <c r="N65" s="17">
        <v>26.97</v>
      </c>
    </row>
    <row r="66" spans="1:14" x14ac:dyDescent="0.25">
      <c r="A66" s="19" t="s">
        <v>715</v>
      </c>
      <c r="B66" s="17"/>
      <c r="C66" s="17"/>
      <c r="D66" s="17"/>
      <c r="E66" s="17"/>
      <c r="F66" s="17"/>
      <c r="G66" s="17">
        <v>8.99</v>
      </c>
      <c r="H66" s="17"/>
      <c r="I66" s="17"/>
      <c r="J66" s="17"/>
      <c r="K66" s="17"/>
      <c r="L66" s="17">
        <v>8.99</v>
      </c>
      <c r="M66" s="17"/>
      <c r="N66" s="17">
        <v>17.98</v>
      </c>
    </row>
    <row r="67" spans="1:14" x14ac:dyDescent="0.25">
      <c r="A67" s="19" t="s">
        <v>711</v>
      </c>
      <c r="B67" s="17"/>
      <c r="C67" s="17"/>
      <c r="D67" s="17">
        <v>4.99</v>
      </c>
      <c r="E67" s="17">
        <v>4.99</v>
      </c>
      <c r="F67" s="17"/>
      <c r="G67" s="17"/>
      <c r="H67" s="17"/>
      <c r="I67" s="17"/>
      <c r="J67" s="17">
        <v>14.97</v>
      </c>
      <c r="K67" s="17">
        <v>4.99</v>
      </c>
      <c r="L67" s="17"/>
      <c r="M67" s="17"/>
      <c r="N67" s="17">
        <v>29.940000000000005</v>
      </c>
    </row>
    <row r="68" spans="1:14" x14ac:dyDescent="0.25">
      <c r="A68" s="19" t="s">
        <v>707</v>
      </c>
      <c r="B68" s="17">
        <v>87.89</v>
      </c>
      <c r="C68" s="17">
        <v>63.920000000000009</v>
      </c>
      <c r="D68" s="17">
        <v>31.96</v>
      </c>
      <c r="E68" s="17">
        <v>31.96</v>
      </c>
      <c r="F68" s="17">
        <v>95.88</v>
      </c>
      <c r="G68" s="17">
        <v>79.900000000000006</v>
      </c>
      <c r="H68" s="17">
        <v>111.86000000000001</v>
      </c>
      <c r="I68" s="17">
        <v>103.87</v>
      </c>
      <c r="J68" s="17">
        <v>23.97</v>
      </c>
      <c r="K68" s="17">
        <v>95.88000000000001</v>
      </c>
      <c r="L68" s="17">
        <v>47.940000000000005</v>
      </c>
      <c r="M68" s="17">
        <v>31.96</v>
      </c>
      <c r="N68" s="17">
        <v>806.99000000000012</v>
      </c>
    </row>
    <row r="69" spans="1:14" x14ac:dyDescent="0.25">
      <c r="A69" s="19" t="s">
        <v>704</v>
      </c>
      <c r="B69" s="17">
        <v>19.96</v>
      </c>
      <c r="C69" s="17">
        <v>19.96</v>
      </c>
      <c r="D69" s="17">
        <v>14.97</v>
      </c>
      <c r="E69" s="17">
        <v>19.96</v>
      </c>
      <c r="F69" s="17">
        <v>4.99</v>
      </c>
      <c r="G69" s="17">
        <v>4.99</v>
      </c>
      <c r="H69" s="17">
        <v>4.99</v>
      </c>
      <c r="I69" s="17">
        <v>9.98</v>
      </c>
      <c r="J69" s="17">
        <v>24.950000000000003</v>
      </c>
      <c r="K69" s="17">
        <v>24.950000000000003</v>
      </c>
      <c r="L69" s="17"/>
      <c r="M69" s="17">
        <v>29.94</v>
      </c>
      <c r="N69" s="17">
        <v>179.64</v>
      </c>
    </row>
    <row r="70" spans="1:14" x14ac:dyDescent="0.25">
      <c r="A70" s="19" t="s">
        <v>701</v>
      </c>
      <c r="B70" s="17"/>
      <c r="C70" s="17"/>
      <c r="D70" s="17"/>
      <c r="E70" s="17"/>
      <c r="F70" s="17"/>
      <c r="G70" s="17"/>
      <c r="H70" s="17"/>
      <c r="I70" s="17"/>
      <c r="J70" s="17">
        <v>7.99</v>
      </c>
      <c r="K70" s="17"/>
      <c r="L70" s="17"/>
      <c r="M70" s="17"/>
      <c r="N70" s="17">
        <v>7.99</v>
      </c>
    </row>
    <row r="71" spans="1:14" x14ac:dyDescent="0.25">
      <c r="A71" s="19" t="s">
        <v>697</v>
      </c>
      <c r="B71" s="17">
        <v>5.99</v>
      </c>
      <c r="C71" s="17">
        <v>17.97</v>
      </c>
      <c r="D71" s="17">
        <v>17.97</v>
      </c>
      <c r="E71" s="17">
        <v>17.97</v>
      </c>
      <c r="F71" s="17">
        <v>11.98</v>
      </c>
      <c r="G71" s="17">
        <v>11.98</v>
      </c>
      <c r="H71" s="17">
        <v>17.97</v>
      </c>
      <c r="I71" s="17">
        <v>11.98</v>
      </c>
      <c r="J71" s="17">
        <v>29.950000000000003</v>
      </c>
      <c r="K71" s="17">
        <v>29.950000000000003</v>
      </c>
      <c r="L71" s="17">
        <v>23.96</v>
      </c>
      <c r="M71" s="17">
        <v>53.910000000000011</v>
      </c>
      <c r="N71" s="17">
        <v>251.57999999999998</v>
      </c>
    </row>
    <row r="72" spans="1:14" x14ac:dyDescent="0.25">
      <c r="A72" s="19" t="s">
        <v>693</v>
      </c>
      <c r="B72" s="17">
        <v>23.97</v>
      </c>
      <c r="C72" s="17"/>
      <c r="D72" s="17"/>
      <c r="E72" s="17">
        <v>15.98</v>
      </c>
      <c r="F72" s="17">
        <v>39.950000000000003</v>
      </c>
      <c r="G72" s="17">
        <v>15.98</v>
      </c>
      <c r="H72" s="17"/>
      <c r="I72" s="17">
        <v>31.96</v>
      </c>
      <c r="J72" s="17">
        <v>23.97</v>
      </c>
      <c r="K72" s="17">
        <v>7.99</v>
      </c>
      <c r="L72" s="17">
        <v>7.99</v>
      </c>
      <c r="M72" s="17"/>
      <c r="N72" s="17">
        <v>167.79000000000002</v>
      </c>
    </row>
    <row r="73" spans="1:14" x14ac:dyDescent="0.25">
      <c r="A73" s="19" t="s">
        <v>690</v>
      </c>
      <c r="B73" s="17">
        <v>7.99</v>
      </c>
      <c r="C73" s="17">
        <v>31.96</v>
      </c>
      <c r="D73" s="17"/>
      <c r="E73" s="17"/>
      <c r="F73" s="17">
        <v>7.99</v>
      </c>
      <c r="G73" s="17">
        <v>31.96</v>
      </c>
      <c r="H73" s="17">
        <v>7.99</v>
      </c>
      <c r="I73" s="17">
        <v>15.98</v>
      </c>
      <c r="J73" s="17">
        <v>7.99</v>
      </c>
      <c r="K73" s="17">
        <v>15.98</v>
      </c>
      <c r="L73" s="17"/>
      <c r="M73" s="17">
        <v>7.99</v>
      </c>
      <c r="N73" s="17">
        <v>135.83000000000001</v>
      </c>
    </row>
    <row r="74" spans="1:14" x14ac:dyDescent="0.25">
      <c r="A74" s="19" t="s">
        <v>687</v>
      </c>
      <c r="B74" s="17">
        <v>109.89</v>
      </c>
      <c r="C74" s="17">
        <v>59.940000000000005</v>
      </c>
      <c r="D74" s="17">
        <v>109.89</v>
      </c>
      <c r="E74" s="17">
        <v>119.87999999999998</v>
      </c>
      <c r="F74" s="17">
        <v>129.86999999999998</v>
      </c>
      <c r="G74" s="17">
        <v>109.88999999999999</v>
      </c>
      <c r="H74" s="17">
        <v>69.929999999999993</v>
      </c>
      <c r="I74" s="17">
        <v>179.82</v>
      </c>
      <c r="J74" s="17">
        <v>29.97</v>
      </c>
      <c r="K74" s="17">
        <v>209.78999999999996</v>
      </c>
      <c r="L74" s="17">
        <v>19.98</v>
      </c>
      <c r="M74" s="17">
        <v>209.79000000000002</v>
      </c>
      <c r="N74" s="17">
        <v>1358.6399999999999</v>
      </c>
    </row>
    <row r="75" spans="1:14" x14ac:dyDescent="0.25">
      <c r="A75" s="19" t="s">
        <v>684</v>
      </c>
      <c r="B75" s="17">
        <v>62.93</v>
      </c>
      <c r="C75" s="17"/>
      <c r="D75" s="17">
        <v>17.98</v>
      </c>
      <c r="E75" s="17">
        <v>8.99</v>
      </c>
      <c r="F75" s="17">
        <v>8.99</v>
      </c>
      <c r="G75" s="17">
        <v>8.99</v>
      </c>
      <c r="H75" s="17">
        <v>62.930000000000007</v>
      </c>
      <c r="I75" s="17">
        <v>26.97</v>
      </c>
      <c r="J75" s="17">
        <v>35.96</v>
      </c>
      <c r="K75" s="17">
        <v>26.97</v>
      </c>
      <c r="L75" s="17"/>
      <c r="M75" s="17">
        <v>26.97</v>
      </c>
      <c r="N75" s="17">
        <v>287.68000000000006</v>
      </c>
    </row>
    <row r="76" spans="1:14" x14ac:dyDescent="0.25">
      <c r="A76" s="19" t="s">
        <v>680</v>
      </c>
      <c r="B76" s="17">
        <v>26.97</v>
      </c>
      <c r="C76" s="17">
        <v>8.99</v>
      </c>
      <c r="D76" s="17">
        <v>8.99</v>
      </c>
      <c r="E76" s="17">
        <v>17.98</v>
      </c>
      <c r="F76" s="17">
        <v>17.98</v>
      </c>
      <c r="G76" s="17">
        <v>26.97</v>
      </c>
      <c r="H76" s="17">
        <v>17.98</v>
      </c>
      <c r="I76" s="17">
        <v>17.98</v>
      </c>
      <c r="J76" s="17">
        <v>26.97</v>
      </c>
      <c r="K76" s="17">
        <v>8.99</v>
      </c>
      <c r="L76" s="17"/>
      <c r="M76" s="17">
        <v>44.95</v>
      </c>
      <c r="N76" s="17">
        <v>224.75</v>
      </c>
    </row>
    <row r="77" spans="1:14" x14ac:dyDescent="0.25">
      <c r="A77" s="19" t="s">
        <v>677</v>
      </c>
      <c r="B77" s="17"/>
      <c r="C77" s="17">
        <v>8.99</v>
      </c>
      <c r="D77" s="17"/>
      <c r="E77" s="17"/>
      <c r="F77" s="17"/>
      <c r="G77" s="17"/>
      <c r="H77" s="17">
        <v>8.99</v>
      </c>
      <c r="I77" s="17"/>
      <c r="J77" s="17"/>
      <c r="K77" s="17">
        <v>8.99</v>
      </c>
      <c r="L77" s="17"/>
      <c r="M77" s="17"/>
      <c r="N77" s="17">
        <v>26.97</v>
      </c>
    </row>
    <row r="78" spans="1:14" x14ac:dyDescent="0.25">
      <c r="A78" s="19" t="s">
        <v>674</v>
      </c>
      <c r="B78" s="17"/>
      <c r="C78" s="17"/>
      <c r="D78" s="17"/>
      <c r="E78" s="17"/>
      <c r="F78" s="17"/>
      <c r="G78" s="17"/>
      <c r="H78" s="17"/>
      <c r="I78" s="17"/>
      <c r="J78" s="17"/>
      <c r="K78" s="17">
        <v>5.99</v>
      </c>
      <c r="L78" s="17"/>
      <c r="M78" s="17"/>
      <c r="N78" s="17">
        <v>5.99</v>
      </c>
    </row>
    <row r="79" spans="1:14" x14ac:dyDescent="0.25">
      <c r="A79" s="19" t="s">
        <v>671</v>
      </c>
      <c r="B79" s="17">
        <v>6.99</v>
      </c>
      <c r="C79" s="17">
        <v>34.950000000000003</v>
      </c>
      <c r="D79" s="17">
        <v>13.98</v>
      </c>
      <c r="E79" s="17">
        <v>13.98</v>
      </c>
      <c r="F79" s="17">
        <v>34.950000000000003</v>
      </c>
      <c r="G79" s="17">
        <v>13.98</v>
      </c>
      <c r="H79" s="17">
        <v>6.99</v>
      </c>
      <c r="I79" s="17">
        <v>27.96</v>
      </c>
      <c r="J79" s="17">
        <v>27.96</v>
      </c>
      <c r="K79" s="17">
        <v>6.99</v>
      </c>
      <c r="L79" s="17">
        <v>6.99</v>
      </c>
      <c r="M79" s="17">
        <v>6.99</v>
      </c>
      <c r="N79" s="17">
        <v>202.71000000000004</v>
      </c>
    </row>
    <row r="80" spans="1:14" x14ac:dyDescent="0.25">
      <c r="A80" s="19" t="s">
        <v>664</v>
      </c>
      <c r="B80" s="17"/>
      <c r="C80" s="17">
        <v>15.98</v>
      </c>
      <c r="D80" s="17"/>
      <c r="E80" s="17">
        <v>7.99</v>
      </c>
      <c r="F80" s="17"/>
      <c r="G80" s="17"/>
      <c r="H80" s="17"/>
      <c r="I80" s="17"/>
      <c r="J80" s="17"/>
      <c r="K80" s="17"/>
      <c r="L80" s="17"/>
      <c r="M80" s="17"/>
      <c r="N80" s="17">
        <v>23.97</v>
      </c>
    </row>
    <row r="81" spans="1:14" x14ac:dyDescent="0.25">
      <c r="A81" s="19" t="s">
        <v>661</v>
      </c>
      <c r="B81" s="17"/>
      <c r="C81" s="17"/>
      <c r="D81" s="17"/>
      <c r="E81" s="17"/>
      <c r="F81" s="17">
        <v>8.99</v>
      </c>
      <c r="G81" s="17"/>
      <c r="H81" s="17"/>
      <c r="I81" s="17"/>
      <c r="J81" s="17">
        <v>8.99</v>
      </c>
      <c r="K81" s="17"/>
      <c r="L81" s="17"/>
      <c r="M81" s="17"/>
      <c r="N81" s="17">
        <v>17.98</v>
      </c>
    </row>
    <row r="82" spans="1:14" x14ac:dyDescent="0.25">
      <c r="A82" s="19" t="s">
        <v>657</v>
      </c>
      <c r="B82" s="17">
        <v>29.97</v>
      </c>
      <c r="C82" s="17">
        <v>39.96</v>
      </c>
      <c r="D82" s="17">
        <v>9.99</v>
      </c>
      <c r="E82" s="17">
        <v>39.96</v>
      </c>
      <c r="F82" s="17"/>
      <c r="G82" s="17"/>
      <c r="H82" s="17">
        <v>49.95</v>
      </c>
      <c r="I82" s="17">
        <v>9.99</v>
      </c>
      <c r="J82" s="17"/>
      <c r="K82" s="17"/>
      <c r="L82" s="17"/>
      <c r="M82" s="17">
        <v>9.99</v>
      </c>
      <c r="N82" s="17">
        <v>189.81</v>
      </c>
    </row>
    <row r="83" spans="1:14" x14ac:dyDescent="0.25">
      <c r="A83" s="19" t="s">
        <v>654</v>
      </c>
      <c r="B83" s="17">
        <v>5.99</v>
      </c>
      <c r="C83" s="17">
        <v>5.99</v>
      </c>
      <c r="D83" s="17">
        <v>11.98</v>
      </c>
      <c r="E83" s="17"/>
      <c r="F83" s="17">
        <v>11.98</v>
      </c>
      <c r="G83" s="17"/>
      <c r="H83" s="17">
        <v>17.97</v>
      </c>
      <c r="I83" s="17">
        <v>17.97</v>
      </c>
      <c r="J83" s="17"/>
      <c r="K83" s="17"/>
      <c r="L83" s="17">
        <v>17.97</v>
      </c>
      <c r="M83" s="17"/>
      <c r="N83" s="17">
        <v>89.85</v>
      </c>
    </row>
    <row r="84" spans="1:14" x14ac:dyDescent="0.25">
      <c r="A84" s="19" t="s">
        <v>651</v>
      </c>
      <c r="B84" s="17"/>
      <c r="C84" s="17">
        <v>14.97</v>
      </c>
      <c r="D84" s="17"/>
      <c r="E84" s="17"/>
      <c r="F84" s="17"/>
      <c r="G84" s="17"/>
      <c r="H84" s="17"/>
      <c r="I84" s="17"/>
      <c r="J84" s="17">
        <v>9.98</v>
      </c>
      <c r="K84" s="17"/>
      <c r="L84" s="17">
        <v>4.99</v>
      </c>
      <c r="M84" s="17"/>
      <c r="N84" s="17">
        <v>29.940000000000005</v>
      </c>
    </row>
    <row r="85" spans="1:14" x14ac:dyDescent="0.25">
      <c r="A85" s="19" t="s">
        <v>648</v>
      </c>
      <c r="B85" s="17"/>
      <c r="C85" s="17"/>
      <c r="D85" s="17"/>
      <c r="E85" s="17">
        <v>13.98</v>
      </c>
      <c r="F85" s="17"/>
      <c r="G85" s="17"/>
      <c r="H85" s="17"/>
      <c r="I85" s="17"/>
      <c r="J85" s="17"/>
      <c r="K85" s="17"/>
      <c r="L85" s="17"/>
      <c r="M85" s="17"/>
      <c r="N85" s="17">
        <v>13.98</v>
      </c>
    </row>
    <row r="86" spans="1:14" x14ac:dyDescent="0.25">
      <c r="A86" s="19" t="s">
        <v>645</v>
      </c>
      <c r="B86" s="17"/>
      <c r="C86" s="17"/>
      <c r="D86" s="17">
        <v>15.98</v>
      </c>
      <c r="E86" s="17">
        <v>7.99</v>
      </c>
      <c r="F86" s="17"/>
      <c r="G86" s="17"/>
      <c r="H86" s="17"/>
      <c r="I86" s="17"/>
      <c r="J86" s="17"/>
      <c r="K86" s="17"/>
      <c r="L86" s="17"/>
      <c r="M86" s="17"/>
      <c r="N86" s="17">
        <v>23.97</v>
      </c>
    </row>
    <row r="87" spans="1:14" x14ac:dyDescent="0.25">
      <c r="A87" s="19" t="s">
        <v>642</v>
      </c>
      <c r="B87" s="17">
        <v>99.899999999999991</v>
      </c>
      <c r="C87" s="17">
        <v>159.84</v>
      </c>
      <c r="D87" s="17">
        <v>149.84999999999997</v>
      </c>
      <c r="E87" s="17">
        <v>49.95</v>
      </c>
      <c r="F87" s="17">
        <v>79.92</v>
      </c>
      <c r="G87" s="17">
        <v>79.92</v>
      </c>
      <c r="H87" s="17">
        <v>139.86000000000001</v>
      </c>
      <c r="I87" s="17">
        <v>119.87999999999998</v>
      </c>
      <c r="J87" s="17">
        <v>89.91</v>
      </c>
      <c r="K87" s="17">
        <v>119.88</v>
      </c>
      <c r="L87" s="17">
        <v>89.91</v>
      </c>
      <c r="M87" s="17">
        <v>139.86000000000001</v>
      </c>
      <c r="N87" s="17">
        <v>1318.6799999999998</v>
      </c>
    </row>
    <row r="88" spans="1:14" x14ac:dyDescent="0.25">
      <c r="A88" s="19" t="s">
        <v>638</v>
      </c>
      <c r="B88" s="17"/>
      <c r="C88" s="17"/>
      <c r="D88" s="17"/>
      <c r="E88" s="17"/>
      <c r="F88" s="17">
        <v>6.99</v>
      </c>
      <c r="G88" s="17"/>
      <c r="H88" s="17">
        <v>13.98</v>
      </c>
      <c r="I88" s="17">
        <v>6.99</v>
      </c>
      <c r="J88" s="17"/>
      <c r="K88" s="17"/>
      <c r="L88" s="17"/>
      <c r="M88" s="17"/>
      <c r="N88" s="17">
        <v>27.96</v>
      </c>
    </row>
    <row r="89" spans="1:14" x14ac:dyDescent="0.25">
      <c r="A89" s="19" t="s">
        <v>631</v>
      </c>
      <c r="B89" s="17">
        <v>11.98</v>
      </c>
      <c r="C89" s="17"/>
      <c r="D89" s="17"/>
      <c r="E89" s="17"/>
      <c r="F89" s="17"/>
      <c r="G89" s="17"/>
      <c r="H89" s="17"/>
      <c r="I89" s="17"/>
      <c r="J89" s="17"/>
      <c r="K89" s="17"/>
      <c r="L89" s="17"/>
      <c r="M89" s="17"/>
      <c r="N89" s="17">
        <v>11.98</v>
      </c>
    </row>
    <row r="90" spans="1:14" x14ac:dyDescent="0.25">
      <c r="A90" s="19" t="s">
        <v>634</v>
      </c>
      <c r="B90" s="17"/>
      <c r="C90" s="17"/>
      <c r="D90" s="17"/>
      <c r="E90" s="17">
        <v>13.98</v>
      </c>
      <c r="F90" s="17"/>
      <c r="G90" s="17"/>
      <c r="H90" s="17"/>
      <c r="I90" s="17"/>
      <c r="J90" s="17"/>
      <c r="K90" s="17"/>
      <c r="L90" s="17"/>
      <c r="M90" s="17"/>
      <c r="N90" s="17">
        <v>13.98</v>
      </c>
    </row>
    <row r="91" spans="1:14" x14ac:dyDescent="0.25">
      <c r="A91" s="19" t="s">
        <v>624</v>
      </c>
      <c r="B91" s="17"/>
      <c r="C91" s="17">
        <v>9.99</v>
      </c>
      <c r="D91" s="17"/>
      <c r="E91" s="17"/>
      <c r="F91" s="17"/>
      <c r="G91" s="17"/>
      <c r="H91" s="17"/>
      <c r="I91" s="17"/>
      <c r="J91" s="17"/>
      <c r="K91" s="17">
        <v>19.98</v>
      </c>
      <c r="L91" s="17">
        <v>9.99</v>
      </c>
      <c r="M91" s="17"/>
      <c r="N91" s="17">
        <v>39.96</v>
      </c>
    </row>
    <row r="92" spans="1:14" x14ac:dyDescent="0.25">
      <c r="A92" s="19" t="s">
        <v>617</v>
      </c>
      <c r="B92" s="17"/>
      <c r="C92" s="17"/>
      <c r="D92" s="17"/>
      <c r="E92" s="17"/>
      <c r="F92" s="17"/>
      <c r="G92" s="17"/>
      <c r="H92" s="17"/>
      <c r="I92" s="17"/>
      <c r="J92" s="17"/>
      <c r="K92" s="17"/>
      <c r="L92" s="17"/>
      <c r="M92" s="17">
        <v>9.99</v>
      </c>
      <c r="N92" s="17">
        <v>9.99</v>
      </c>
    </row>
    <row r="93" spans="1:14" x14ac:dyDescent="0.25">
      <c r="A93" s="19" t="s">
        <v>613</v>
      </c>
      <c r="B93" s="17"/>
      <c r="C93" s="17"/>
      <c r="D93" s="17"/>
      <c r="E93" s="17"/>
      <c r="F93" s="17"/>
      <c r="G93" s="17"/>
      <c r="H93" s="17"/>
      <c r="I93" s="17">
        <v>19.98</v>
      </c>
      <c r="J93" s="17"/>
      <c r="K93" s="17"/>
      <c r="L93" s="17"/>
      <c r="M93" s="17"/>
      <c r="N93" s="17">
        <v>19.98</v>
      </c>
    </row>
    <row r="94" spans="1:14" x14ac:dyDescent="0.25">
      <c r="A94" s="19" t="s">
        <v>610</v>
      </c>
      <c r="B94" s="17">
        <v>19.98</v>
      </c>
      <c r="C94" s="17">
        <v>39.96</v>
      </c>
      <c r="D94" s="17">
        <v>29.97</v>
      </c>
      <c r="E94" s="17">
        <v>9.99</v>
      </c>
      <c r="F94" s="17">
        <v>29.97</v>
      </c>
      <c r="G94" s="17">
        <v>29.97</v>
      </c>
      <c r="H94" s="17">
        <v>39.96</v>
      </c>
      <c r="I94" s="17">
        <v>39.96</v>
      </c>
      <c r="J94" s="17"/>
      <c r="K94" s="17">
        <v>19.98</v>
      </c>
      <c r="L94" s="17"/>
      <c r="M94" s="17">
        <v>29.97</v>
      </c>
      <c r="N94" s="17">
        <v>289.71000000000004</v>
      </c>
    </row>
    <row r="95" spans="1:14" x14ac:dyDescent="0.25">
      <c r="A95" s="19" t="s">
        <v>607</v>
      </c>
      <c r="B95" s="17">
        <v>9.99</v>
      </c>
      <c r="C95" s="17"/>
      <c r="D95" s="17"/>
      <c r="E95" s="17"/>
      <c r="F95" s="17"/>
      <c r="G95" s="17"/>
      <c r="H95" s="17"/>
      <c r="I95" s="17"/>
      <c r="J95" s="17"/>
      <c r="K95" s="17"/>
      <c r="L95" s="17"/>
      <c r="M95" s="17"/>
      <c r="N95" s="17">
        <v>9.99</v>
      </c>
    </row>
    <row r="96" spans="1:14" x14ac:dyDescent="0.25">
      <c r="A96" s="19" t="s">
        <v>604</v>
      </c>
      <c r="B96" s="17">
        <v>9.99</v>
      </c>
      <c r="C96" s="17"/>
      <c r="D96" s="17"/>
      <c r="E96" s="17"/>
      <c r="F96" s="17"/>
      <c r="G96" s="17"/>
      <c r="H96" s="17"/>
      <c r="I96" s="17"/>
      <c r="J96" s="17"/>
      <c r="K96" s="17"/>
      <c r="L96" s="17"/>
      <c r="M96" s="17"/>
      <c r="N96" s="17">
        <v>9.99</v>
      </c>
    </row>
    <row r="97" spans="1:14" x14ac:dyDescent="0.25">
      <c r="A97" s="19" t="s">
        <v>600</v>
      </c>
      <c r="B97" s="17">
        <v>17.97</v>
      </c>
      <c r="C97" s="17">
        <v>5.99</v>
      </c>
      <c r="D97" s="17">
        <v>17.97</v>
      </c>
      <c r="E97" s="17">
        <v>5.99</v>
      </c>
      <c r="F97" s="17">
        <v>11.98</v>
      </c>
      <c r="G97" s="17">
        <v>23.96</v>
      </c>
      <c r="H97" s="17">
        <v>5.99</v>
      </c>
      <c r="I97" s="17">
        <v>17.97</v>
      </c>
      <c r="J97" s="17">
        <v>11.98</v>
      </c>
      <c r="K97" s="17">
        <v>5.99</v>
      </c>
      <c r="L97" s="17">
        <v>5.99</v>
      </c>
      <c r="M97" s="17"/>
      <c r="N97" s="17">
        <v>131.78</v>
      </c>
    </row>
    <row r="98" spans="1:14" x14ac:dyDescent="0.25">
      <c r="A98" s="19" t="s">
        <v>596</v>
      </c>
      <c r="B98" s="17">
        <v>7.99</v>
      </c>
      <c r="C98" s="17">
        <v>23.97</v>
      </c>
      <c r="D98" s="17">
        <v>7.99</v>
      </c>
      <c r="E98" s="17">
        <v>7.99</v>
      </c>
      <c r="F98" s="17">
        <v>7.99</v>
      </c>
      <c r="G98" s="17">
        <v>15.98</v>
      </c>
      <c r="H98" s="17"/>
      <c r="I98" s="17">
        <v>15.98</v>
      </c>
      <c r="J98" s="17">
        <v>23.97</v>
      </c>
      <c r="K98" s="17"/>
      <c r="L98" s="17">
        <v>15.98</v>
      </c>
      <c r="M98" s="17">
        <v>47.940000000000005</v>
      </c>
      <c r="N98" s="17">
        <v>175.78000000000003</v>
      </c>
    </row>
    <row r="99" spans="1:14" x14ac:dyDescent="0.25">
      <c r="A99" s="19" t="s">
        <v>588</v>
      </c>
      <c r="B99" s="17">
        <v>19.96</v>
      </c>
      <c r="C99" s="17">
        <v>9.98</v>
      </c>
      <c r="D99" s="17">
        <v>9.98</v>
      </c>
      <c r="E99" s="17">
        <v>24.950000000000003</v>
      </c>
      <c r="F99" s="17"/>
      <c r="G99" s="17">
        <v>19.96</v>
      </c>
      <c r="H99" s="17">
        <v>14.97</v>
      </c>
      <c r="I99" s="17">
        <v>9.98</v>
      </c>
      <c r="J99" s="17">
        <v>4.99</v>
      </c>
      <c r="K99" s="17">
        <v>4.99</v>
      </c>
      <c r="L99" s="17">
        <v>24.950000000000003</v>
      </c>
      <c r="M99" s="17">
        <v>14.97</v>
      </c>
      <c r="N99" s="17">
        <v>159.68</v>
      </c>
    </row>
    <row r="100" spans="1:14" x14ac:dyDescent="0.25">
      <c r="A100" s="19" t="s">
        <v>585</v>
      </c>
      <c r="B100" s="17">
        <v>29.97</v>
      </c>
      <c r="C100" s="17">
        <v>9.99</v>
      </c>
      <c r="D100" s="17">
        <v>19.98</v>
      </c>
      <c r="E100" s="17">
        <v>19.98</v>
      </c>
      <c r="F100" s="17">
        <v>9.99</v>
      </c>
      <c r="G100" s="17">
        <v>19.98</v>
      </c>
      <c r="H100" s="17">
        <v>69.930000000000007</v>
      </c>
      <c r="I100" s="17">
        <v>9.99</v>
      </c>
      <c r="J100" s="17"/>
      <c r="K100" s="17">
        <v>19.98</v>
      </c>
      <c r="L100" s="17">
        <v>79.92</v>
      </c>
      <c r="M100" s="17">
        <v>29.97</v>
      </c>
      <c r="N100" s="17">
        <v>319.67999999999995</v>
      </c>
    </row>
    <row r="101" spans="1:14" x14ac:dyDescent="0.25">
      <c r="A101" s="19" t="s">
        <v>579</v>
      </c>
      <c r="B101" s="17">
        <v>139.85999999999999</v>
      </c>
      <c r="C101" s="17">
        <v>49.95</v>
      </c>
      <c r="D101" s="17">
        <v>69.929999999999993</v>
      </c>
      <c r="E101" s="17">
        <v>69.930000000000007</v>
      </c>
      <c r="F101" s="17">
        <v>39.96</v>
      </c>
      <c r="G101" s="17">
        <v>99.899999999999991</v>
      </c>
      <c r="H101" s="17">
        <v>159.84</v>
      </c>
      <c r="I101" s="17">
        <v>129.87</v>
      </c>
      <c r="J101" s="17">
        <v>49.95</v>
      </c>
      <c r="K101" s="17">
        <v>89.91</v>
      </c>
      <c r="L101" s="17">
        <v>119.88000000000001</v>
      </c>
      <c r="M101" s="17">
        <v>99.899999999999991</v>
      </c>
      <c r="N101" s="17">
        <v>1118.8800000000001</v>
      </c>
    </row>
    <row r="102" spans="1:14" x14ac:dyDescent="0.25">
      <c r="A102" s="19" t="s">
        <v>576</v>
      </c>
      <c r="B102" s="17"/>
      <c r="C102" s="17">
        <v>6.99</v>
      </c>
      <c r="D102" s="17"/>
      <c r="E102" s="17"/>
      <c r="F102" s="17"/>
      <c r="G102" s="17"/>
      <c r="H102" s="17"/>
      <c r="I102" s="17"/>
      <c r="J102" s="17"/>
      <c r="K102" s="17"/>
      <c r="L102" s="17"/>
      <c r="M102" s="17"/>
      <c r="N102" s="17">
        <v>6.99</v>
      </c>
    </row>
    <row r="103" spans="1:14" x14ac:dyDescent="0.25">
      <c r="A103" s="19" t="s">
        <v>573</v>
      </c>
      <c r="B103" s="17"/>
      <c r="C103" s="17"/>
      <c r="D103" s="17"/>
      <c r="E103" s="17">
        <v>9.98</v>
      </c>
      <c r="F103" s="17"/>
      <c r="G103" s="17"/>
      <c r="H103" s="17"/>
      <c r="I103" s="17"/>
      <c r="J103" s="17"/>
      <c r="K103" s="17"/>
      <c r="L103" s="17"/>
      <c r="M103" s="17"/>
      <c r="N103" s="17">
        <v>9.98</v>
      </c>
    </row>
    <row r="104" spans="1:14" x14ac:dyDescent="0.25">
      <c r="A104" s="19" t="s">
        <v>570</v>
      </c>
      <c r="B104" s="17">
        <v>13.98</v>
      </c>
      <c r="C104" s="17">
        <v>6.99</v>
      </c>
      <c r="D104" s="17">
        <v>41.94</v>
      </c>
      <c r="E104" s="17">
        <v>20.97</v>
      </c>
      <c r="F104" s="17">
        <v>6.99</v>
      </c>
      <c r="G104" s="17">
        <v>20.97</v>
      </c>
      <c r="H104" s="17">
        <v>13.98</v>
      </c>
      <c r="I104" s="17">
        <v>48.930000000000007</v>
      </c>
      <c r="J104" s="17">
        <v>27.96</v>
      </c>
      <c r="K104" s="17"/>
      <c r="L104" s="17"/>
      <c r="M104" s="17">
        <v>27.96</v>
      </c>
      <c r="N104" s="17">
        <v>230.67000000000002</v>
      </c>
    </row>
    <row r="105" spans="1:14" x14ac:dyDescent="0.25">
      <c r="A105" s="19" t="s">
        <v>566</v>
      </c>
      <c r="B105" s="17"/>
      <c r="C105" s="17"/>
      <c r="D105" s="17"/>
      <c r="E105" s="17">
        <v>13.98</v>
      </c>
      <c r="F105" s="17"/>
      <c r="G105" s="17"/>
      <c r="H105" s="17"/>
      <c r="I105" s="17">
        <v>6.99</v>
      </c>
      <c r="J105" s="17"/>
      <c r="K105" s="17"/>
      <c r="L105" s="17"/>
      <c r="M105" s="17"/>
      <c r="N105" s="17">
        <v>20.97</v>
      </c>
    </row>
    <row r="106" spans="1:14" x14ac:dyDescent="0.25">
      <c r="A106" s="19" t="s">
        <v>563</v>
      </c>
      <c r="B106" s="17">
        <v>20.97</v>
      </c>
      <c r="C106" s="17">
        <v>6.99</v>
      </c>
      <c r="D106" s="17"/>
      <c r="E106" s="17">
        <v>20.97</v>
      </c>
      <c r="F106" s="17">
        <v>13.98</v>
      </c>
      <c r="G106" s="17">
        <v>20.97</v>
      </c>
      <c r="H106" s="17">
        <v>13.98</v>
      </c>
      <c r="I106" s="17"/>
      <c r="J106" s="17">
        <v>27.96</v>
      </c>
      <c r="K106" s="17">
        <v>13.98</v>
      </c>
      <c r="L106" s="17">
        <v>6.99</v>
      </c>
      <c r="M106" s="17">
        <v>6.99</v>
      </c>
      <c r="N106" s="17">
        <v>153.78</v>
      </c>
    </row>
    <row r="107" spans="1:14" x14ac:dyDescent="0.25">
      <c r="A107" s="19" t="s">
        <v>560</v>
      </c>
      <c r="B107" s="17">
        <v>26.97</v>
      </c>
      <c r="C107" s="17">
        <v>26.97</v>
      </c>
      <c r="D107" s="17">
        <v>17.98</v>
      </c>
      <c r="E107" s="17">
        <v>8.99</v>
      </c>
      <c r="F107" s="17">
        <v>26.97</v>
      </c>
      <c r="G107" s="17">
        <v>17.98</v>
      </c>
      <c r="H107" s="17">
        <v>8.99</v>
      </c>
      <c r="I107" s="17">
        <v>8.99</v>
      </c>
      <c r="J107" s="17">
        <v>17.98</v>
      </c>
      <c r="K107" s="17"/>
      <c r="L107" s="17">
        <v>26.97</v>
      </c>
      <c r="M107" s="17">
        <v>26.97</v>
      </c>
      <c r="N107" s="17">
        <v>215.76</v>
      </c>
    </row>
    <row r="108" spans="1:14" x14ac:dyDescent="0.25">
      <c r="A108" s="19" t="s">
        <v>556</v>
      </c>
      <c r="B108" s="17"/>
      <c r="C108" s="17"/>
      <c r="D108" s="17"/>
      <c r="E108" s="17"/>
      <c r="F108" s="17"/>
      <c r="G108" s="17"/>
      <c r="H108" s="17">
        <v>5.99</v>
      </c>
      <c r="I108" s="17">
        <v>11.98</v>
      </c>
      <c r="J108" s="17"/>
      <c r="K108" s="17"/>
      <c r="L108" s="17"/>
      <c r="M108" s="17"/>
      <c r="N108" s="17">
        <v>17.97</v>
      </c>
    </row>
    <row r="109" spans="1:14" x14ac:dyDescent="0.25">
      <c r="A109" s="19" t="s">
        <v>552</v>
      </c>
      <c r="B109" s="17">
        <v>41.940000000000005</v>
      </c>
      <c r="C109" s="17">
        <v>13.98</v>
      </c>
      <c r="D109" s="17">
        <v>48.930000000000007</v>
      </c>
      <c r="E109" s="17">
        <v>62.910000000000011</v>
      </c>
      <c r="F109" s="17">
        <v>41.940000000000005</v>
      </c>
      <c r="G109" s="17">
        <v>83.88000000000001</v>
      </c>
      <c r="H109" s="17">
        <v>69.900000000000006</v>
      </c>
      <c r="I109" s="17">
        <v>62.910000000000011</v>
      </c>
      <c r="J109" s="17">
        <v>41.94</v>
      </c>
      <c r="K109" s="17">
        <v>41.940000000000005</v>
      </c>
      <c r="L109" s="17">
        <v>69.900000000000006</v>
      </c>
      <c r="M109" s="17">
        <v>41.94</v>
      </c>
      <c r="N109" s="17">
        <v>622.11000000000013</v>
      </c>
    </row>
    <row r="110" spans="1:14" x14ac:dyDescent="0.25">
      <c r="A110" s="19" t="s">
        <v>548</v>
      </c>
      <c r="B110" s="17"/>
      <c r="C110" s="17">
        <v>5.99</v>
      </c>
      <c r="D110" s="17"/>
      <c r="E110" s="17">
        <v>11.98</v>
      </c>
      <c r="F110" s="17">
        <v>17.97</v>
      </c>
      <c r="G110" s="17">
        <v>17.97</v>
      </c>
      <c r="H110" s="17"/>
      <c r="I110" s="17">
        <v>17.97</v>
      </c>
      <c r="J110" s="17"/>
      <c r="K110" s="17"/>
      <c r="L110" s="17">
        <v>5.99</v>
      </c>
      <c r="M110" s="17"/>
      <c r="N110" s="17">
        <v>77.86999999999999</v>
      </c>
    </row>
    <row r="111" spans="1:14" x14ac:dyDescent="0.25">
      <c r="A111" s="19" t="s">
        <v>545</v>
      </c>
      <c r="B111" s="17"/>
      <c r="C111" s="17"/>
      <c r="D111" s="17"/>
      <c r="E111" s="17"/>
      <c r="F111" s="17"/>
      <c r="G111" s="17"/>
      <c r="H111" s="17"/>
      <c r="I111" s="17"/>
      <c r="J111" s="17"/>
      <c r="K111" s="17">
        <v>6.99</v>
      </c>
      <c r="L111" s="17"/>
      <c r="M111" s="17"/>
      <c r="N111" s="17">
        <v>6.99</v>
      </c>
    </row>
    <row r="112" spans="1:14" x14ac:dyDescent="0.25">
      <c r="A112" s="19" t="s">
        <v>543</v>
      </c>
      <c r="B112" s="17"/>
      <c r="C112" s="17"/>
      <c r="D112" s="17">
        <v>4.99</v>
      </c>
      <c r="E112" s="17"/>
      <c r="F112" s="17"/>
      <c r="G112" s="17"/>
      <c r="H112" s="17">
        <v>4.99</v>
      </c>
      <c r="I112" s="17"/>
      <c r="J112" s="17">
        <v>4.99</v>
      </c>
      <c r="K112" s="17"/>
      <c r="L112" s="17"/>
      <c r="M112" s="17"/>
      <c r="N112" s="17">
        <v>14.97</v>
      </c>
    </row>
    <row r="113" spans="1:14" x14ac:dyDescent="0.25">
      <c r="A113" s="19" t="s">
        <v>535</v>
      </c>
      <c r="B113" s="17"/>
      <c r="C113" s="17"/>
      <c r="D113" s="17">
        <v>4.99</v>
      </c>
      <c r="E113" s="17">
        <v>4.99</v>
      </c>
      <c r="F113" s="17"/>
      <c r="G113" s="17"/>
      <c r="H113" s="17"/>
      <c r="I113" s="17"/>
      <c r="J113" s="17"/>
      <c r="K113" s="17"/>
      <c r="L113" s="17"/>
      <c r="M113" s="17"/>
      <c r="N113" s="17">
        <v>9.98</v>
      </c>
    </row>
    <row r="114" spans="1:14" x14ac:dyDescent="0.25">
      <c r="A114" s="19" t="s">
        <v>532</v>
      </c>
      <c r="B114" s="17"/>
      <c r="C114" s="17">
        <v>9.99</v>
      </c>
      <c r="D114" s="17"/>
      <c r="E114" s="17"/>
      <c r="F114" s="17"/>
      <c r="G114" s="17"/>
      <c r="H114" s="17"/>
      <c r="I114" s="17">
        <v>9.99</v>
      </c>
      <c r="J114" s="17"/>
      <c r="K114" s="17"/>
      <c r="L114" s="17">
        <v>9.99</v>
      </c>
      <c r="M114" s="17"/>
      <c r="N114" s="17">
        <v>29.97</v>
      </c>
    </row>
    <row r="115" spans="1:14" x14ac:dyDescent="0.25">
      <c r="A115" s="19" t="s">
        <v>528</v>
      </c>
      <c r="B115" s="17">
        <v>11.98</v>
      </c>
      <c r="C115" s="17"/>
      <c r="D115" s="17">
        <v>5.99</v>
      </c>
      <c r="E115" s="17">
        <v>23.96</v>
      </c>
      <c r="F115" s="17">
        <v>11.98</v>
      </c>
      <c r="G115" s="17">
        <v>5.99</v>
      </c>
      <c r="H115" s="17">
        <v>5.99</v>
      </c>
      <c r="I115" s="17">
        <v>5.99</v>
      </c>
      <c r="J115" s="17">
        <v>17.97</v>
      </c>
      <c r="K115" s="17"/>
      <c r="L115" s="17"/>
      <c r="M115" s="17">
        <v>17.97</v>
      </c>
      <c r="N115" s="17">
        <v>107.82</v>
      </c>
    </row>
    <row r="116" spans="1:14" x14ac:dyDescent="0.25">
      <c r="A116" s="19" t="s">
        <v>525</v>
      </c>
      <c r="B116" s="17"/>
      <c r="C116" s="17"/>
      <c r="D116" s="17"/>
      <c r="E116" s="17"/>
      <c r="F116" s="17">
        <v>19.98</v>
      </c>
      <c r="G116" s="17"/>
      <c r="H116" s="17"/>
      <c r="I116" s="17"/>
      <c r="J116" s="17"/>
      <c r="K116" s="17"/>
      <c r="L116" s="17"/>
      <c r="M116" s="17"/>
      <c r="N116" s="17">
        <v>19.98</v>
      </c>
    </row>
    <row r="117" spans="1:14" x14ac:dyDescent="0.25">
      <c r="A117" s="19" t="s">
        <v>521</v>
      </c>
      <c r="B117" s="17">
        <v>7.99</v>
      </c>
      <c r="C117" s="17"/>
      <c r="D117" s="17">
        <v>15.98</v>
      </c>
      <c r="E117" s="17"/>
      <c r="F117" s="17"/>
      <c r="G117" s="17"/>
      <c r="H117" s="17"/>
      <c r="I117" s="17"/>
      <c r="J117" s="17"/>
      <c r="K117" s="17"/>
      <c r="L117" s="17">
        <v>7.99</v>
      </c>
      <c r="M117" s="17"/>
      <c r="N117" s="17">
        <v>31.96</v>
      </c>
    </row>
    <row r="118" spans="1:14" x14ac:dyDescent="0.25">
      <c r="A118" s="19" t="s">
        <v>517</v>
      </c>
      <c r="B118" s="17"/>
      <c r="C118" s="17"/>
      <c r="D118" s="17"/>
      <c r="E118" s="17">
        <v>5.99</v>
      </c>
      <c r="F118" s="17"/>
      <c r="G118" s="17"/>
      <c r="H118" s="17"/>
      <c r="I118" s="17">
        <v>11.98</v>
      </c>
      <c r="J118" s="17"/>
      <c r="K118" s="17"/>
      <c r="L118" s="17"/>
      <c r="M118" s="17"/>
      <c r="N118" s="17">
        <v>17.97</v>
      </c>
    </row>
    <row r="119" spans="1:14" x14ac:dyDescent="0.25">
      <c r="A119" s="19" t="s">
        <v>514</v>
      </c>
      <c r="B119" s="17">
        <v>83.88</v>
      </c>
      <c r="C119" s="17">
        <v>41.94</v>
      </c>
      <c r="D119" s="17">
        <v>55.920000000000009</v>
      </c>
      <c r="E119" s="17">
        <v>62.910000000000004</v>
      </c>
      <c r="F119" s="17">
        <v>76.89</v>
      </c>
      <c r="G119" s="17">
        <v>48.930000000000007</v>
      </c>
      <c r="H119" s="17">
        <v>153.77999999999997</v>
      </c>
      <c r="I119" s="17">
        <v>76.89</v>
      </c>
      <c r="J119" s="17">
        <v>48.930000000000007</v>
      </c>
      <c r="K119" s="17">
        <v>76.89</v>
      </c>
      <c r="L119" s="17">
        <v>146.79</v>
      </c>
      <c r="M119" s="17">
        <v>69.900000000000006</v>
      </c>
      <c r="N119" s="17">
        <v>943.64999999999986</v>
      </c>
    </row>
    <row r="120" spans="1:14" x14ac:dyDescent="0.25">
      <c r="A120" s="19" t="s">
        <v>510</v>
      </c>
      <c r="B120" s="17"/>
      <c r="C120" s="17">
        <v>9.98</v>
      </c>
      <c r="D120" s="17"/>
      <c r="E120" s="17"/>
      <c r="F120" s="17">
        <v>4.99</v>
      </c>
      <c r="G120" s="17"/>
      <c r="H120" s="17"/>
      <c r="I120" s="17">
        <v>9.98</v>
      </c>
      <c r="J120" s="17"/>
      <c r="K120" s="17"/>
      <c r="L120" s="17"/>
      <c r="M120" s="17"/>
      <c r="N120" s="17">
        <v>24.950000000000003</v>
      </c>
    </row>
    <row r="121" spans="1:14" x14ac:dyDescent="0.25">
      <c r="A121" s="19" t="s">
        <v>500</v>
      </c>
      <c r="B121" s="17"/>
      <c r="C121" s="17">
        <v>13.98</v>
      </c>
      <c r="D121" s="17">
        <v>13.98</v>
      </c>
      <c r="E121" s="17"/>
      <c r="F121" s="17"/>
      <c r="G121" s="17"/>
      <c r="H121" s="17"/>
      <c r="I121" s="17"/>
      <c r="J121" s="17"/>
      <c r="K121" s="17"/>
      <c r="L121" s="17"/>
      <c r="M121" s="17"/>
      <c r="N121" s="17">
        <v>27.96</v>
      </c>
    </row>
    <row r="122" spans="1:14" x14ac:dyDescent="0.25">
      <c r="A122" s="19" t="s">
        <v>507</v>
      </c>
      <c r="B122" s="17">
        <v>34.950000000000003</v>
      </c>
      <c r="C122" s="17">
        <v>34.950000000000003</v>
      </c>
      <c r="D122" s="17">
        <v>20.97</v>
      </c>
      <c r="E122" s="17">
        <v>13.98</v>
      </c>
      <c r="F122" s="17">
        <v>13.98</v>
      </c>
      <c r="G122" s="17">
        <v>13.98</v>
      </c>
      <c r="H122" s="17">
        <v>13.98</v>
      </c>
      <c r="I122" s="17">
        <v>13.98</v>
      </c>
      <c r="J122" s="17"/>
      <c r="K122" s="17">
        <v>6.99</v>
      </c>
      <c r="L122" s="17">
        <v>13.98</v>
      </c>
      <c r="M122" s="17">
        <v>13.98</v>
      </c>
      <c r="N122" s="17">
        <v>195.71999999999997</v>
      </c>
    </row>
    <row r="123" spans="1:14" x14ac:dyDescent="0.25">
      <c r="A123" s="19" t="s">
        <v>496</v>
      </c>
      <c r="B123" s="17"/>
      <c r="C123" s="17"/>
      <c r="D123" s="17"/>
      <c r="E123" s="17">
        <v>8.99</v>
      </c>
      <c r="F123" s="17"/>
      <c r="G123" s="17"/>
      <c r="H123" s="17"/>
      <c r="I123" s="17"/>
      <c r="J123" s="17"/>
      <c r="K123" s="17"/>
      <c r="L123" s="17"/>
      <c r="M123" s="17"/>
      <c r="N123" s="17">
        <v>8.99</v>
      </c>
    </row>
    <row r="124" spans="1:14" x14ac:dyDescent="0.25">
      <c r="A124" s="19" t="s">
        <v>492</v>
      </c>
      <c r="B124" s="17"/>
      <c r="C124" s="17"/>
      <c r="D124" s="17"/>
      <c r="E124" s="17"/>
      <c r="F124" s="17"/>
      <c r="G124" s="17">
        <v>7.99</v>
      </c>
      <c r="H124" s="17">
        <v>7.99</v>
      </c>
      <c r="I124" s="17">
        <v>15.98</v>
      </c>
      <c r="J124" s="17"/>
      <c r="K124" s="17"/>
      <c r="L124" s="17"/>
      <c r="M124" s="17"/>
      <c r="N124" s="17">
        <v>31.96</v>
      </c>
    </row>
    <row r="125" spans="1:14" x14ac:dyDescent="0.25">
      <c r="A125" s="19" t="s">
        <v>488</v>
      </c>
      <c r="B125" s="17"/>
      <c r="C125" s="17"/>
      <c r="D125" s="17"/>
      <c r="E125" s="17"/>
      <c r="F125" s="17"/>
      <c r="G125" s="17"/>
      <c r="H125" s="17"/>
      <c r="I125" s="17"/>
      <c r="J125" s="17">
        <v>8.99</v>
      </c>
      <c r="K125" s="17">
        <v>8.99</v>
      </c>
      <c r="L125" s="17"/>
      <c r="M125" s="17"/>
      <c r="N125" s="17">
        <v>17.98</v>
      </c>
    </row>
    <row r="126" spans="1:14" x14ac:dyDescent="0.25">
      <c r="A126" s="19" t="s">
        <v>485</v>
      </c>
      <c r="B126" s="17"/>
      <c r="C126" s="17"/>
      <c r="D126" s="17"/>
      <c r="E126" s="17"/>
      <c r="F126" s="17"/>
      <c r="G126" s="17"/>
      <c r="H126" s="17">
        <v>9.98</v>
      </c>
      <c r="I126" s="17"/>
      <c r="J126" s="17"/>
      <c r="K126" s="17"/>
      <c r="L126" s="17"/>
      <c r="M126" s="17"/>
      <c r="N126" s="17">
        <v>9.98</v>
      </c>
    </row>
    <row r="127" spans="1:14" x14ac:dyDescent="0.25">
      <c r="A127" s="19" t="s">
        <v>479</v>
      </c>
      <c r="B127" s="17"/>
      <c r="C127" s="17"/>
      <c r="D127" s="17">
        <v>13.98</v>
      </c>
      <c r="E127" s="17"/>
      <c r="F127" s="17">
        <v>13.98</v>
      </c>
      <c r="G127" s="17"/>
      <c r="H127" s="17"/>
      <c r="I127" s="17"/>
      <c r="J127" s="17"/>
      <c r="K127" s="17"/>
      <c r="L127" s="17"/>
      <c r="M127" s="17"/>
      <c r="N127" s="17">
        <v>27.96</v>
      </c>
    </row>
    <row r="128" spans="1:14" x14ac:dyDescent="0.25">
      <c r="A128" s="19" t="s">
        <v>482</v>
      </c>
      <c r="B128" s="17">
        <v>8.99</v>
      </c>
      <c r="C128" s="17">
        <v>44.95</v>
      </c>
      <c r="D128" s="17">
        <v>26.97</v>
      </c>
      <c r="E128" s="17">
        <v>17.98</v>
      </c>
      <c r="F128" s="17"/>
      <c r="G128" s="17">
        <v>44.95</v>
      </c>
      <c r="H128" s="17"/>
      <c r="I128" s="17">
        <v>26.97</v>
      </c>
      <c r="J128" s="17">
        <v>26.97</v>
      </c>
      <c r="K128" s="17">
        <v>35.96</v>
      </c>
      <c r="L128" s="17">
        <v>8.99</v>
      </c>
      <c r="M128" s="17">
        <v>44.95</v>
      </c>
      <c r="N128" s="17">
        <v>287.68</v>
      </c>
    </row>
    <row r="129" spans="1:14" x14ac:dyDescent="0.25">
      <c r="A129" s="19" t="s">
        <v>475</v>
      </c>
      <c r="B129" s="17"/>
      <c r="C129" s="17"/>
      <c r="D129" s="17"/>
      <c r="E129" s="17"/>
      <c r="F129" s="17">
        <v>7.99</v>
      </c>
      <c r="G129" s="17"/>
      <c r="H129" s="17"/>
      <c r="I129" s="17"/>
      <c r="J129" s="17"/>
      <c r="K129" s="17"/>
      <c r="L129" s="17"/>
      <c r="M129" s="17"/>
      <c r="N129" s="17">
        <v>7.99</v>
      </c>
    </row>
    <row r="130" spans="1:14" x14ac:dyDescent="0.25">
      <c r="A130" s="19" t="s">
        <v>472</v>
      </c>
      <c r="B130" s="17"/>
      <c r="C130" s="17"/>
      <c r="D130" s="17">
        <v>4.99</v>
      </c>
      <c r="E130" s="17"/>
      <c r="F130" s="17"/>
      <c r="G130" s="17"/>
      <c r="H130" s="17"/>
      <c r="I130" s="17"/>
      <c r="J130" s="17"/>
      <c r="K130" s="17"/>
      <c r="L130" s="17"/>
      <c r="M130" s="17"/>
      <c r="N130" s="17">
        <v>4.99</v>
      </c>
    </row>
    <row r="131" spans="1:14" x14ac:dyDescent="0.25">
      <c r="A131" s="19" t="s">
        <v>468</v>
      </c>
      <c r="B131" s="17"/>
      <c r="C131" s="17">
        <v>11.98</v>
      </c>
      <c r="D131" s="17"/>
      <c r="E131" s="17">
        <v>5.99</v>
      </c>
      <c r="F131" s="17"/>
      <c r="G131" s="17">
        <v>5.99</v>
      </c>
      <c r="H131" s="17"/>
      <c r="I131" s="17"/>
      <c r="J131" s="17"/>
      <c r="K131" s="17"/>
      <c r="L131" s="17"/>
      <c r="M131" s="17"/>
      <c r="N131" s="17">
        <v>23.96</v>
      </c>
    </row>
    <row r="132" spans="1:14" x14ac:dyDescent="0.25">
      <c r="A132" s="19" t="s">
        <v>464</v>
      </c>
      <c r="B132" s="17"/>
      <c r="C132" s="17"/>
      <c r="D132" s="17"/>
      <c r="E132" s="17"/>
      <c r="F132" s="17"/>
      <c r="G132" s="17"/>
      <c r="H132" s="17"/>
      <c r="I132" s="17"/>
      <c r="J132" s="17">
        <v>8.99</v>
      </c>
      <c r="K132" s="17">
        <v>8.99</v>
      </c>
      <c r="L132" s="17"/>
      <c r="M132" s="17"/>
      <c r="N132" s="17">
        <v>17.98</v>
      </c>
    </row>
    <row r="133" spans="1:14" x14ac:dyDescent="0.25">
      <c r="A133" s="19" t="s">
        <v>461</v>
      </c>
      <c r="B133" s="17"/>
      <c r="C133" s="17"/>
      <c r="D133" s="17"/>
      <c r="E133" s="17">
        <v>20.97</v>
      </c>
      <c r="F133" s="17"/>
      <c r="G133" s="17"/>
      <c r="H133" s="17">
        <v>6.99</v>
      </c>
      <c r="I133" s="17"/>
      <c r="J133" s="17"/>
      <c r="K133" s="17"/>
      <c r="L133" s="17"/>
      <c r="M133" s="17"/>
      <c r="N133" s="17">
        <v>27.96</v>
      </c>
    </row>
    <row r="134" spans="1:14" x14ac:dyDescent="0.25">
      <c r="A134" s="19" t="s">
        <v>457</v>
      </c>
      <c r="B134" s="17"/>
      <c r="C134" s="17"/>
      <c r="D134" s="17">
        <v>9.98</v>
      </c>
      <c r="E134" s="17"/>
      <c r="F134" s="17"/>
      <c r="G134" s="17">
        <v>4.99</v>
      </c>
      <c r="H134" s="17"/>
      <c r="I134" s="17"/>
      <c r="J134" s="17"/>
      <c r="K134" s="17">
        <v>4.99</v>
      </c>
      <c r="L134" s="17"/>
      <c r="M134" s="17">
        <v>4.99</v>
      </c>
      <c r="N134" s="17">
        <v>24.950000000000003</v>
      </c>
    </row>
    <row r="135" spans="1:14" x14ac:dyDescent="0.25">
      <c r="A135" s="19" t="s">
        <v>454</v>
      </c>
      <c r="B135" s="17"/>
      <c r="C135" s="17">
        <v>7.99</v>
      </c>
      <c r="D135" s="17"/>
      <c r="E135" s="17"/>
      <c r="F135" s="17"/>
      <c r="G135" s="17"/>
      <c r="H135" s="17"/>
      <c r="I135" s="17"/>
      <c r="J135" s="17"/>
      <c r="K135" s="17"/>
      <c r="L135" s="17"/>
      <c r="M135" s="17"/>
      <c r="N135" s="17">
        <v>7.99</v>
      </c>
    </row>
    <row r="136" spans="1:14" x14ac:dyDescent="0.25">
      <c r="A136" s="19" t="s">
        <v>448</v>
      </c>
      <c r="B136" s="17"/>
      <c r="C136" s="17">
        <v>8.99</v>
      </c>
      <c r="D136" s="17"/>
      <c r="E136" s="17"/>
      <c r="F136" s="17">
        <v>17.98</v>
      </c>
      <c r="G136" s="17"/>
      <c r="H136" s="17">
        <v>8.99</v>
      </c>
      <c r="I136" s="17"/>
      <c r="J136" s="17"/>
      <c r="K136" s="17"/>
      <c r="L136" s="17">
        <v>8.99</v>
      </c>
      <c r="M136" s="17"/>
      <c r="N136" s="17">
        <v>44.95</v>
      </c>
    </row>
    <row r="137" spans="1:14" x14ac:dyDescent="0.25">
      <c r="A137" s="19" t="s">
        <v>445</v>
      </c>
      <c r="B137" s="17">
        <v>31.96</v>
      </c>
      <c r="C137" s="17"/>
      <c r="D137" s="17">
        <v>23.97</v>
      </c>
      <c r="E137" s="17">
        <v>31.96</v>
      </c>
      <c r="F137" s="17">
        <v>15.98</v>
      </c>
      <c r="G137" s="17">
        <v>15.98</v>
      </c>
      <c r="H137" s="17">
        <v>15.98</v>
      </c>
      <c r="I137" s="17">
        <v>7.99</v>
      </c>
      <c r="J137" s="17"/>
      <c r="K137" s="17">
        <v>15.98</v>
      </c>
      <c r="L137" s="17">
        <v>7.99</v>
      </c>
      <c r="M137" s="17">
        <v>7.99</v>
      </c>
      <c r="N137" s="17">
        <v>175.78000000000003</v>
      </c>
    </row>
    <row r="138" spans="1:14" x14ac:dyDescent="0.25">
      <c r="A138" s="19" t="s">
        <v>442</v>
      </c>
      <c r="B138" s="17"/>
      <c r="C138" s="17"/>
      <c r="D138" s="17"/>
      <c r="E138" s="17"/>
      <c r="F138" s="17"/>
      <c r="G138" s="17"/>
      <c r="H138" s="17"/>
      <c r="I138" s="17"/>
      <c r="J138" s="17">
        <v>4.99</v>
      </c>
      <c r="K138" s="17">
        <v>4.99</v>
      </c>
      <c r="L138" s="17"/>
      <c r="M138" s="17"/>
      <c r="N138" s="17">
        <v>9.98</v>
      </c>
    </row>
    <row r="139" spans="1:14" x14ac:dyDescent="0.25">
      <c r="A139" s="19" t="s">
        <v>429</v>
      </c>
      <c r="B139" s="17">
        <v>6.99</v>
      </c>
      <c r="C139" s="17"/>
      <c r="D139" s="17"/>
      <c r="E139" s="17"/>
      <c r="F139" s="17"/>
      <c r="G139" s="17"/>
      <c r="H139" s="17"/>
      <c r="I139" s="17"/>
      <c r="J139" s="17">
        <v>6.99</v>
      </c>
      <c r="K139" s="17"/>
      <c r="L139" s="17"/>
      <c r="M139" s="17"/>
      <c r="N139" s="17">
        <v>13.98</v>
      </c>
    </row>
    <row r="140" spans="1:14" x14ac:dyDescent="0.25">
      <c r="A140" s="19" t="s">
        <v>432</v>
      </c>
      <c r="B140" s="17"/>
      <c r="C140" s="17">
        <v>8.99</v>
      </c>
      <c r="D140" s="17"/>
      <c r="E140" s="17"/>
      <c r="F140" s="17"/>
      <c r="G140" s="17"/>
      <c r="H140" s="17"/>
      <c r="I140" s="17">
        <v>26.97</v>
      </c>
      <c r="J140" s="17"/>
      <c r="K140" s="17"/>
      <c r="L140" s="17"/>
      <c r="M140" s="17"/>
      <c r="N140" s="17">
        <v>35.96</v>
      </c>
    </row>
    <row r="141" spans="1:14" x14ac:dyDescent="0.25">
      <c r="A141" s="19" t="s">
        <v>426</v>
      </c>
      <c r="B141" s="17"/>
      <c r="C141" s="17"/>
      <c r="D141" s="17"/>
      <c r="E141" s="17">
        <v>17.98</v>
      </c>
      <c r="F141" s="17"/>
      <c r="G141" s="17"/>
      <c r="H141" s="17">
        <v>17.98</v>
      </c>
      <c r="I141" s="17">
        <v>17.98</v>
      </c>
      <c r="J141" s="17">
        <v>8.99</v>
      </c>
      <c r="K141" s="17">
        <v>8.99</v>
      </c>
      <c r="L141" s="17"/>
      <c r="M141" s="17"/>
      <c r="N141" s="17">
        <v>71.92</v>
      </c>
    </row>
    <row r="142" spans="1:14" x14ac:dyDescent="0.25">
      <c r="A142" s="19" t="s">
        <v>423</v>
      </c>
      <c r="B142" s="17"/>
      <c r="C142" s="17"/>
      <c r="D142" s="17"/>
      <c r="E142" s="17"/>
      <c r="F142" s="17"/>
      <c r="G142" s="17"/>
      <c r="H142" s="17"/>
      <c r="I142" s="17">
        <v>4.99</v>
      </c>
      <c r="J142" s="17"/>
      <c r="K142" s="17">
        <v>4.99</v>
      </c>
      <c r="L142" s="17"/>
      <c r="M142" s="17"/>
      <c r="N142" s="17">
        <v>9.98</v>
      </c>
    </row>
    <row r="143" spans="1:14" x14ac:dyDescent="0.25">
      <c r="A143" s="19" t="s">
        <v>412</v>
      </c>
      <c r="B143" s="17"/>
      <c r="C143" s="17"/>
      <c r="D143" s="17"/>
      <c r="E143" s="17"/>
      <c r="F143" s="17"/>
      <c r="G143" s="17"/>
      <c r="H143" s="17"/>
      <c r="I143" s="17"/>
      <c r="J143" s="17"/>
      <c r="K143" s="17"/>
      <c r="L143" s="17"/>
      <c r="M143" s="17">
        <v>9.99</v>
      </c>
      <c r="N143" s="17">
        <v>9.99</v>
      </c>
    </row>
    <row r="144" spans="1:14" x14ac:dyDescent="0.25">
      <c r="A144" s="19" t="s">
        <v>416</v>
      </c>
      <c r="B144" s="17"/>
      <c r="C144" s="17"/>
      <c r="D144" s="17">
        <v>7.99</v>
      </c>
      <c r="E144" s="17">
        <v>7.99</v>
      </c>
      <c r="F144" s="17"/>
      <c r="G144" s="17"/>
      <c r="H144" s="17"/>
      <c r="I144" s="17"/>
      <c r="J144" s="17">
        <v>15.98</v>
      </c>
      <c r="K144" s="17">
        <v>15.98</v>
      </c>
      <c r="L144" s="17"/>
      <c r="M144" s="17"/>
      <c r="N144" s="17">
        <v>47.94</v>
      </c>
    </row>
    <row r="145" spans="1:14" x14ac:dyDescent="0.25">
      <c r="A145" s="19" t="s">
        <v>408</v>
      </c>
      <c r="B145" s="17"/>
      <c r="C145" s="17"/>
      <c r="D145" s="17"/>
      <c r="E145" s="17">
        <v>19.98</v>
      </c>
      <c r="F145" s="17">
        <v>9.99</v>
      </c>
      <c r="G145" s="17"/>
      <c r="H145" s="17"/>
      <c r="I145" s="17"/>
      <c r="J145" s="17">
        <v>9.99</v>
      </c>
      <c r="K145" s="17">
        <v>19.98</v>
      </c>
      <c r="L145" s="17"/>
      <c r="M145" s="17">
        <v>9.99</v>
      </c>
      <c r="N145" s="17">
        <v>69.929999999999993</v>
      </c>
    </row>
    <row r="146" spans="1:14" x14ac:dyDescent="0.25">
      <c r="A146" s="19" t="s">
        <v>404</v>
      </c>
      <c r="B146" s="17"/>
      <c r="C146" s="17">
        <v>5.99</v>
      </c>
      <c r="D146" s="17"/>
      <c r="E146" s="17"/>
      <c r="F146" s="17"/>
      <c r="G146" s="17"/>
      <c r="H146" s="17"/>
      <c r="I146" s="17"/>
      <c r="J146" s="17"/>
      <c r="K146" s="17"/>
      <c r="L146" s="17">
        <v>5.99</v>
      </c>
      <c r="M146" s="17"/>
      <c r="N146" s="17">
        <v>11.98</v>
      </c>
    </row>
    <row r="147" spans="1:14" x14ac:dyDescent="0.25">
      <c r="A147" s="19" t="s">
        <v>400</v>
      </c>
      <c r="B147" s="17">
        <v>69.860000000000014</v>
      </c>
      <c r="C147" s="17">
        <v>19.96</v>
      </c>
      <c r="D147" s="17">
        <v>49.900000000000013</v>
      </c>
      <c r="E147" s="17">
        <v>44.910000000000011</v>
      </c>
      <c r="F147" s="17">
        <v>59.88000000000001</v>
      </c>
      <c r="G147" s="17">
        <v>34.930000000000007</v>
      </c>
      <c r="H147" s="17">
        <v>54.890000000000015</v>
      </c>
      <c r="I147" s="17">
        <v>79.839999999999989</v>
      </c>
      <c r="J147" s="17">
        <v>54.890000000000015</v>
      </c>
      <c r="K147" s="17">
        <v>69.860000000000014</v>
      </c>
      <c r="L147" s="17">
        <v>24.950000000000003</v>
      </c>
      <c r="M147" s="17">
        <v>74.850000000000009</v>
      </c>
      <c r="N147" s="17">
        <v>638.72000000000014</v>
      </c>
    </row>
    <row r="148" spans="1:14" x14ac:dyDescent="0.25">
      <c r="A148" s="19" t="s">
        <v>396</v>
      </c>
      <c r="B148" s="17">
        <v>89.9</v>
      </c>
      <c r="C148" s="17">
        <v>17.98</v>
      </c>
      <c r="D148" s="17"/>
      <c r="E148" s="17">
        <v>17.98</v>
      </c>
      <c r="F148" s="17">
        <v>8.99</v>
      </c>
      <c r="G148" s="17">
        <v>26.97</v>
      </c>
      <c r="H148" s="17">
        <v>17.98</v>
      </c>
      <c r="I148" s="17">
        <v>8.99</v>
      </c>
      <c r="J148" s="17">
        <v>35.96</v>
      </c>
      <c r="K148" s="17"/>
      <c r="L148" s="17"/>
      <c r="M148" s="17">
        <v>26.97</v>
      </c>
      <c r="N148" s="17">
        <v>251.72000000000003</v>
      </c>
    </row>
    <row r="149" spans="1:14" x14ac:dyDescent="0.25">
      <c r="A149" s="19" t="s">
        <v>389</v>
      </c>
      <c r="B149" s="17">
        <v>9.98</v>
      </c>
      <c r="C149" s="17">
        <v>4.99</v>
      </c>
      <c r="D149" s="17">
        <v>9.98</v>
      </c>
      <c r="E149" s="17">
        <v>9.98</v>
      </c>
      <c r="F149" s="17">
        <v>9.98</v>
      </c>
      <c r="G149" s="17"/>
      <c r="H149" s="17"/>
      <c r="I149" s="17">
        <v>4.99</v>
      </c>
      <c r="J149" s="17">
        <v>29.94</v>
      </c>
      <c r="K149" s="17">
        <v>14.97</v>
      </c>
      <c r="L149" s="17"/>
      <c r="M149" s="17">
        <v>19.96</v>
      </c>
      <c r="N149" s="17">
        <v>114.77000000000001</v>
      </c>
    </row>
    <row r="150" spans="1:14" x14ac:dyDescent="0.25">
      <c r="A150" s="19" t="s">
        <v>385</v>
      </c>
      <c r="B150" s="17"/>
      <c r="C150" s="17"/>
      <c r="D150" s="17"/>
      <c r="E150" s="17"/>
      <c r="F150" s="17">
        <v>9.99</v>
      </c>
      <c r="G150" s="17"/>
      <c r="H150" s="17"/>
      <c r="I150" s="17"/>
      <c r="J150" s="17"/>
      <c r="K150" s="17"/>
      <c r="L150" s="17"/>
      <c r="M150" s="17"/>
      <c r="N150" s="17">
        <v>9.99</v>
      </c>
    </row>
    <row r="151" spans="1:14" x14ac:dyDescent="0.25">
      <c r="A151" s="19" t="s">
        <v>381</v>
      </c>
      <c r="B151" s="17"/>
      <c r="C151" s="17"/>
      <c r="D151" s="17"/>
      <c r="E151" s="17">
        <v>17.98</v>
      </c>
      <c r="F151" s="17"/>
      <c r="G151" s="17"/>
      <c r="H151" s="17"/>
      <c r="I151" s="17"/>
      <c r="J151" s="17"/>
      <c r="K151" s="17"/>
      <c r="L151" s="17"/>
      <c r="M151" s="17"/>
      <c r="N151" s="17">
        <v>17.98</v>
      </c>
    </row>
    <row r="152" spans="1:14" x14ac:dyDescent="0.25">
      <c r="A152" s="19" t="s">
        <v>377</v>
      </c>
      <c r="B152" s="17"/>
      <c r="C152" s="17"/>
      <c r="D152" s="17"/>
      <c r="E152" s="17"/>
      <c r="F152" s="17"/>
      <c r="G152" s="17"/>
      <c r="H152" s="17"/>
      <c r="I152" s="17"/>
      <c r="J152" s="17">
        <v>11.98</v>
      </c>
      <c r="K152" s="17"/>
      <c r="L152" s="17"/>
      <c r="M152" s="17"/>
      <c r="N152" s="17">
        <v>11.98</v>
      </c>
    </row>
    <row r="153" spans="1:14" x14ac:dyDescent="0.25">
      <c r="A153" s="19" t="s">
        <v>373</v>
      </c>
      <c r="B153" s="17">
        <v>79.900000000000006</v>
      </c>
      <c r="C153" s="17">
        <v>111.86000000000001</v>
      </c>
      <c r="D153" s="17">
        <v>127.83999999999999</v>
      </c>
      <c r="E153" s="17">
        <v>47.940000000000005</v>
      </c>
      <c r="F153" s="17">
        <v>55.930000000000007</v>
      </c>
      <c r="G153" s="17">
        <v>95.88000000000001</v>
      </c>
      <c r="H153" s="17">
        <v>95.88000000000001</v>
      </c>
      <c r="I153" s="17">
        <v>111.86</v>
      </c>
      <c r="J153" s="17">
        <v>103.86999999999999</v>
      </c>
      <c r="K153" s="17">
        <v>103.86999999999999</v>
      </c>
      <c r="L153" s="17">
        <v>103.86999999999999</v>
      </c>
      <c r="M153" s="17">
        <v>79.900000000000006</v>
      </c>
      <c r="N153" s="17">
        <v>1118.6000000000001</v>
      </c>
    </row>
    <row r="154" spans="1:14" x14ac:dyDescent="0.25">
      <c r="A154" s="19" t="s">
        <v>582</v>
      </c>
      <c r="B154" s="17">
        <v>9.99</v>
      </c>
      <c r="C154" s="17"/>
      <c r="D154" s="17"/>
      <c r="E154" s="17"/>
      <c r="F154" s="17"/>
      <c r="G154" s="17"/>
      <c r="H154" s="17"/>
      <c r="I154" s="17"/>
      <c r="J154" s="17"/>
      <c r="K154" s="17">
        <v>19.98</v>
      </c>
      <c r="L154" s="17"/>
      <c r="M154" s="17"/>
      <c r="N154" s="17">
        <v>29.97</v>
      </c>
    </row>
    <row r="155" spans="1:14" x14ac:dyDescent="0.25">
      <c r="A155" s="19" t="s">
        <v>420</v>
      </c>
      <c r="B155" s="17">
        <v>5.99</v>
      </c>
      <c r="C155" s="17"/>
      <c r="D155" s="17"/>
      <c r="E155" s="17">
        <v>5.99</v>
      </c>
      <c r="F155" s="17"/>
      <c r="G155" s="17"/>
      <c r="H155" s="17">
        <v>5.99</v>
      </c>
      <c r="I155" s="17"/>
      <c r="J155" s="17"/>
      <c r="K155" s="17"/>
      <c r="L155" s="17"/>
      <c r="M155" s="17"/>
      <c r="N155" s="17">
        <v>17.97</v>
      </c>
    </row>
    <row r="156" spans="1:14" x14ac:dyDescent="0.25">
      <c r="A156" s="19" t="s">
        <v>628</v>
      </c>
      <c r="B156" s="17">
        <v>13.98</v>
      </c>
      <c r="C156" s="17"/>
      <c r="D156" s="17"/>
      <c r="E156" s="17">
        <v>13.98</v>
      </c>
      <c r="F156" s="17"/>
      <c r="G156" s="17"/>
      <c r="H156" s="17"/>
      <c r="I156" s="17"/>
      <c r="J156" s="17">
        <v>6.99</v>
      </c>
      <c r="K156" s="17">
        <v>6.99</v>
      </c>
      <c r="L156" s="17"/>
      <c r="M156" s="17"/>
      <c r="N156" s="17">
        <v>41.940000000000005</v>
      </c>
    </row>
    <row r="157" spans="1:14" x14ac:dyDescent="0.25">
      <c r="A157" s="19" t="s">
        <v>851</v>
      </c>
      <c r="B157" s="17"/>
      <c r="C157" s="17">
        <v>7.99</v>
      </c>
      <c r="D157" s="17"/>
      <c r="E157" s="17"/>
      <c r="F157" s="17"/>
      <c r="G157" s="17"/>
      <c r="H157" s="17"/>
      <c r="I157" s="17"/>
      <c r="J157" s="17"/>
      <c r="K157" s="17"/>
      <c r="L157" s="17"/>
      <c r="M157" s="17"/>
      <c r="N157" s="17">
        <v>7.99</v>
      </c>
    </row>
    <row r="158" spans="1:14" x14ac:dyDescent="0.25">
      <c r="A158" s="19" t="s">
        <v>592</v>
      </c>
      <c r="B158" s="17"/>
      <c r="C158" s="17">
        <v>8.99</v>
      </c>
      <c r="D158" s="17"/>
      <c r="E158" s="17"/>
      <c r="F158" s="17"/>
      <c r="G158" s="17"/>
      <c r="H158" s="17">
        <v>8.99</v>
      </c>
      <c r="I158" s="17"/>
      <c r="J158" s="17"/>
      <c r="K158" s="17"/>
      <c r="L158" s="17"/>
      <c r="M158" s="17"/>
      <c r="N158" s="17">
        <v>17.98</v>
      </c>
    </row>
    <row r="159" spans="1:14" x14ac:dyDescent="0.25">
      <c r="A159" s="19" t="s">
        <v>796</v>
      </c>
      <c r="B159" s="17"/>
      <c r="C159" s="17">
        <v>8.99</v>
      </c>
      <c r="D159" s="17"/>
      <c r="E159" s="17"/>
      <c r="F159" s="17">
        <v>8.99</v>
      </c>
      <c r="G159" s="17"/>
      <c r="H159" s="17"/>
      <c r="I159" s="17"/>
      <c r="J159" s="17"/>
      <c r="K159" s="17">
        <v>17.98</v>
      </c>
      <c r="L159" s="17"/>
      <c r="M159" s="17"/>
      <c r="N159" s="17">
        <v>35.96</v>
      </c>
    </row>
    <row r="160" spans="1:14" x14ac:dyDescent="0.25">
      <c r="A160" s="19" t="s">
        <v>451</v>
      </c>
      <c r="B160" s="17"/>
      <c r="C160" s="17"/>
      <c r="D160" s="17"/>
      <c r="E160" s="17">
        <v>11.98</v>
      </c>
      <c r="F160" s="17"/>
      <c r="G160" s="17"/>
      <c r="H160" s="17"/>
      <c r="I160" s="17"/>
      <c r="J160" s="17"/>
      <c r="K160" s="17"/>
      <c r="L160" s="17"/>
      <c r="M160" s="17"/>
      <c r="N160" s="17">
        <v>11.98</v>
      </c>
    </row>
    <row r="161" spans="1:14" x14ac:dyDescent="0.25">
      <c r="A161" s="19" t="s">
        <v>906</v>
      </c>
      <c r="B161" s="17"/>
      <c r="C161" s="17"/>
      <c r="D161" s="17"/>
      <c r="E161" s="17">
        <v>8.99</v>
      </c>
      <c r="F161" s="17"/>
      <c r="G161" s="17"/>
      <c r="H161" s="17"/>
      <c r="I161" s="17"/>
      <c r="J161" s="17"/>
      <c r="K161" s="17"/>
      <c r="L161" s="17"/>
      <c r="M161" s="17">
        <v>26.97</v>
      </c>
      <c r="N161" s="17">
        <v>35.96</v>
      </c>
    </row>
    <row r="162" spans="1:14" x14ac:dyDescent="0.25">
      <c r="A162" s="19" t="s">
        <v>836</v>
      </c>
      <c r="B162" s="17"/>
      <c r="C162" s="17"/>
      <c r="D162" s="17"/>
      <c r="E162" s="17"/>
      <c r="F162" s="17">
        <v>7.99</v>
      </c>
      <c r="G162" s="17">
        <v>7.99</v>
      </c>
      <c r="H162" s="17"/>
      <c r="I162" s="17"/>
      <c r="J162" s="17"/>
      <c r="K162" s="17"/>
      <c r="L162" s="17"/>
      <c r="M162" s="17"/>
      <c r="N162" s="17">
        <v>15.98</v>
      </c>
    </row>
    <row r="163" spans="1:14" x14ac:dyDescent="0.25">
      <c r="A163" s="19" t="s">
        <v>764</v>
      </c>
      <c r="B163" s="17"/>
      <c r="C163" s="17"/>
      <c r="D163" s="17"/>
      <c r="E163" s="17"/>
      <c r="F163" s="17"/>
      <c r="G163" s="17"/>
      <c r="H163" s="17"/>
      <c r="I163" s="17"/>
      <c r="J163" s="17">
        <v>19.98</v>
      </c>
      <c r="K163" s="17"/>
      <c r="L163" s="17">
        <v>9.99</v>
      </c>
      <c r="M163" s="17">
        <v>9.99</v>
      </c>
      <c r="N163" s="17">
        <v>39.96</v>
      </c>
    </row>
    <row r="164" spans="1:14" x14ac:dyDescent="0.25">
      <c r="A164" s="19" t="s">
        <v>813</v>
      </c>
      <c r="B164" s="17"/>
      <c r="C164" s="17"/>
      <c r="D164" s="17"/>
      <c r="E164" s="17"/>
      <c r="F164" s="17"/>
      <c r="G164" s="17"/>
      <c r="H164" s="17"/>
      <c r="I164" s="17"/>
      <c r="J164" s="17">
        <v>11.98</v>
      </c>
      <c r="K164" s="17"/>
      <c r="L164" s="17"/>
      <c r="M164" s="17">
        <v>11.98</v>
      </c>
      <c r="N164" s="17">
        <v>23.96</v>
      </c>
    </row>
    <row r="165" spans="1:14" x14ac:dyDescent="0.25">
      <c r="A165" s="19" t="s">
        <v>4493</v>
      </c>
      <c r="B165" s="17">
        <v>1852.5800000000004</v>
      </c>
      <c r="C165" s="17">
        <v>1540.0100000000009</v>
      </c>
      <c r="D165" s="17">
        <v>1578.930000000001</v>
      </c>
      <c r="E165" s="17">
        <v>1649.8000000000013</v>
      </c>
      <c r="F165" s="17">
        <v>1467.0700000000008</v>
      </c>
      <c r="G165" s="17">
        <v>1656.8100000000009</v>
      </c>
      <c r="H165" s="17">
        <v>2019.4000000000008</v>
      </c>
      <c r="I165" s="17">
        <v>2058.3400000000006</v>
      </c>
      <c r="J165" s="17">
        <v>1594.880000000001</v>
      </c>
      <c r="K165" s="17">
        <v>1868.610000000001</v>
      </c>
      <c r="L165" s="17">
        <v>1159.46</v>
      </c>
      <c r="M165" s="17">
        <v>1944.5300000000009</v>
      </c>
      <c r="N165" s="17">
        <v>20390.419999999991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22</vt:i4>
      </vt:variant>
    </vt:vector>
  </HeadingPairs>
  <TitlesOfParts>
    <vt:vector size="29" baseType="lpstr">
      <vt:lpstr>Schema</vt:lpstr>
      <vt:lpstr>customers.rows</vt:lpstr>
      <vt:lpstr>products.rows</vt:lpstr>
      <vt:lpstr>orders.rows</vt:lpstr>
      <vt:lpstr>products_in_orders.rows</vt:lpstr>
      <vt:lpstr>PivotCustomerSales</vt:lpstr>
      <vt:lpstr>PivotProductSales</vt:lpstr>
      <vt:lpstr>customers.rows!Column__id</vt:lpstr>
      <vt:lpstr>orders.rows!Column__id</vt:lpstr>
      <vt:lpstr>products.rows!Column__id</vt:lpstr>
      <vt:lpstr>products_in_orders.rows!Column__id</vt:lpstr>
      <vt:lpstr>customers.rows!Column__modified_by</vt:lpstr>
      <vt:lpstr>customers.rows!Column__modified_on</vt:lpstr>
      <vt:lpstr>orders.rows!Column__modified_on</vt:lpstr>
      <vt:lpstr>products.rows!Column__modified_on</vt:lpstr>
      <vt:lpstr>products_in_orders.rows!Column__modified_on</vt:lpstr>
      <vt:lpstr>customers.rows!Column__ref</vt:lpstr>
      <vt:lpstr>orders.rows!Column__ref</vt:lpstr>
      <vt:lpstr>products.rows!Column__ref</vt:lpstr>
      <vt:lpstr>products_in_orders.rows!Column__ref</vt:lpstr>
      <vt:lpstr>customers.rows!Column__status</vt:lpstr>
      <vt:lpstr>orders.rows!Column__status</vt:lpstr>
      <vt:lpstr>products.rows!Column__status</vt:lpstr>
      <vt:lpstr>products_in_orders.rows!Column__status</vt:lpstr>
      <vt:lpstr>products.rows!id</vt:lpstr>
      <vt:lpstr>products.rows!modified_by</vt:lpstr>
      <vt:lpstr>products.rows!modified_on</vt:lpstr>
      <vt:lpstr>products.rows!ref</vt:lpstr>
      <vt:lpstr>products.rows!status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Kottow</dc:creator>
  <cp:keywords/>
  <dc:description>based on Tim Hall's awesome REST library</dc:description>
  <cp:lastModifiedBy>daniel kottow</cp:lastModifiedBy>
  <cp:revision/>
  <dcterms:created xsi:type="dcterms:W3CDTF">2011-08-25T14:29:57Z</dcterms:created>
  <dcterms:modified xsi:type="dcterms:W3CDTF">2015-12-08T15:54:34Z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seUrl">
    <vt:lpwstr>http://api.donkeylift.com/</vt:lpwstr>
  </property>
</Properties>
</file>